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glennsy\Desktop\FINAL SUBMISSION\"/>
    </mc:Choice>
  </mc:AlternateContent>
  <xr:revisionPtr revIDLastSave="0" documentId="13_ncr:1_{28B724B1-39C5-4193-B44C-E789E746D0FE}" xr6:coauthVersionLast="44" xr6:coauthVersionMax="44" xr10:uidLastSave="{00000000-0000-0000-0000-000000000000}"/>
  <workbookProtection workbookAlgorithmName="SHA-512" workbookHashValue="nRJW4chz67yELDMrfGSVfuFqzcP/xemImIFnMEDCrZ4yUaPUAUsuss1JjX0QTT0ktmnMqpr5E0X4ZQd2SmXCkw==" workbookSaltValue="QnkzhYSv5WUlmr0BzngH5A==" workbookSpinCount="100000" lockStructure="1"/>
  <bookViews>
    <workbookView xWindow="-110" yWindow="-110" windowWidth="19420" windowHeight="10420" tabRatio="904" activeTab="1" xr2:uid="{00000000-000D-0000-FFFF-FFFF00000000}"/>
  </bookViews>
  <sheets>
    <sheet name="Assumptions" sheetId="33" r:id="rId1"/>
    <sheet name="Summary II" sheetId="48" r:id="rId2"/>
    <sheet name="S&amp;U" sheetId="32" r:id="rId3"/>
    <sheet name="Budget" sheetId="31" r:id="rId4"/>
    <sheet name="Parcel Breakdown" sheetId="43" r:id="rId5"/>
    <sheet name="Parcel x Block Info" sheetId="49" r:id="rId6"/>
    <sheet name="Demolition" sheetId="50" r:id="rId7"/>
    <sheet name="Infrastructure" sheetId="45" r:id="rId8"/>
    <sheet name="Acquisition" sheetId="46" r:id="rId9"/>
    <sheet name="Loan Sizing" sheetId="39" r:id="rId10"/>
    <sheet name="Phase I Pro Forma" sheetId="38" r:id="rId11"/>
    <sheet name="Phase II Pro Forma" sheetId="40" r:id="rId12"/>
    <sheet name="Phase III Pro Forma" sheetId="41" r:id="rId13"/>
    <sheet name="Master Pro Forma" sheetId="52" r:id="rId14"/>
    <sheet name="Cash Flow Roll-up" sheetId="42" r:id="rId15"/>
    <sheet name="Public Benefits" sheetId="47" r:id="rId16"/>
    <sheet name="Official Summary" sheetId="28" r:id="rId17"/>
  </sheets>
  <externalReferences>
    <externalReference r:id="rId18"/>
  </externalReferences>
  <definedNames>
    <definedName name="_xlnm.Print_Area" localSheetId="16">'Official Summary'!$A$1:$O$133</definedName>
    <definedName name="_xlnm.Print_Area" localSheetId="1">'Summary II'!$A$1:$V$108</definedName>
  </definedNames>
  <calcPr calcId="191028" calcMode="autoNoTable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45" l="1"/>
  <c r="D127" i="28"/>
  <c r="F128" i="28"/>
  <c r="J70" i="28"/>
  <c r="D66" i="28" l="1"/>
  <c r="O69" i="48"/>
  <c r="T77" i="48"/>
  <c r="R77" i="48"/>
  <c r="Q20" i="32"/>
  <c r="R20" i="32"/>
  <c r="F47" i="39"/>
  <c r="I21" i="32"/>
  <c r="R57" i="48"/>
  <c r="G31" i="31"/>
  <c r="J18" i="32"/>
  <c r="I18" i="32"/>
  <c r="H18" i="32"/>
  <c r="J31" i="31"/>
  <c r="I31" i="31"/>
  <c r="H31" i="31"/>
  <c r="G30" i="31"/>
  <c r="H30" i="31"/>
  <c r="AZ24" i="43"/>
  <c r="AZ25" i="43"/>
  <c r="M35" i="49"/>
  <c r="M34" i="49"/>
  <c r="M28" i="49"/>
  <c r="M29" i="49"/>
  <c r="N26" i="28" l="1"/>
  <c r="N20" i="28"/>
  <c r="M20" i="28"/>
  <c r="L20" i="28"/>
  <c r="K20" i="28"/>
  <c r="J20" i="28"/>
  <c r="I20" i="28"/>
  <c r="H20" i="28"/>
  <c r="H17" i="43"/>
  <c r="AF14" i="43"/>
  <c r="D296" i="38" l="1"/>
  <c r="N136" i="33"/>
  <c r="AZ16" i="43"/>
  <c r="F61" i="52" l="1"/>
  <c r="G61" i="52"/>
  <c r="H61" i="52"/>
  <c r="I61" i="52"/>
  <c r="J61" i="52"/>
  <c r="K61" i="52"/>
  <c r="L61" i="52"/>
  <c r="M61" i="52"/>
  <c r="N61" i="52"/>
  <c r="O61" i="52"/>
  <c r="P61" i="52"/>
  <c r="Q61" i="52"/>
  <c r="R61" i="52"/>
  <c r="S61" i="52"/>
  <c r="T61" i="52"/>
  <c r="U61" i="52"/>
  <c r="V61" i="52"/>
  <c r="W61" i="52"/>
  <c r="X61" i="52"/>
  <c r="Y61" i="52"/>
  <c r="Z61" i="52"/>
  <c r="F62" i="52"/>
  <c r="G62" i="52"/>
  <c r="J62" i="52"/>
  <c r="L62" i="52"/>
  <c r="M62" i="52"/>
  <c r="N62" i="52"/>
  <c r="O62" i="52"/>
  <c r="P62" i="52"/>
  <c r="Q62" i="52"/>
  <c r="R62" i="52"/>
  <c r="S62" i="52"/>
  <c r="T62" i="52"/>
  <c r="U62" i="52"/>
  <c r="V62" i="52"/>
  <c r="W62" i="52"/>
  <c r="X62" i="52"/>
  <c r="Y62" i="52"/>
  <c r="Z62" i="52"/>
  <c r="F63" i="52"/>
  <c r="G63" i="52"/>
  <c r="I63" i="52"/>
  <c r="J63" i="52"/>
  <c r="L63" i="52"/>
  <c r="M63" i="52"/>
  <c r="N63" i="52"/>
  <c r="O63" i="52"/>
  <c r="P63" i="52"/>
  <c r="Q63" i="52"/>
  <c r="R63" i="52"/>
  <c r="S63" i="52"/>
  <c r="T63" i="52"/>
  <c r="U63" i="52"/>
  <c r="V63" i="52"/>
  <c r="W63" i="52"/>
  <c r="X63" i="52"/>
  <c r="Y63" i="52"/>
  <c r="Z63" i="52"/>
  <c r="F64" i="52"/>
  <c r="G64" i="52"/>
  <c r="H64" i="52"/>
  <c r="I64" i="52"/>
  <c r="J64" i="52"/>
  <c r="K64" i="52"/>
  <c r="L64" i="52"/>
  <c r="M64" i="52"/>
  <c r="N64" i="52"/>
  <c r="O64" i="52"/>
  <c r="P64" i="52"/>
  <c r="Q64" i="52"/>
  <c r="R64" i="52"/>
  <c r="S64" i="52"/>
  <c r="T64" i="52"/>
  <c r="U64" i="52"/>
  <c r="V64" i="52"/>
  <c r="W64" i="52"/>
  <c r="X64" i="52"/>
  <c r="Y64" i="52"/>
  <c r="Z64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S65" i="52"/>
  <c r="T65" i="52"/>
  <c r="U65" i="52"/>
  <c r="V65" i="52"/>
  <c r="W65" i="52"/>
  <c r="X65" i="52"/>
  <c r="Y65" i="52"/>
  <c r="Z65" i="52"/>
  <c r="F41" i="52"/>
  <c r="F16" i="52"/>
  <c r="G16" i="52"/>
  <c r="H16" i="52"/>
  <c r="I16" i="52"/>
  <c r="J16" i="52"/>
  <c r="K16" i="52"/>
  <c r="L16" i="52"/>
  <c r="M16" i="52"/>
  <c r="N16" i="52"/>
  <c r="O16" i="52"/>
  <c r="P16" i="52"/>
  <c r="Q16" i="52"/>
  <c r="R16" i="52"/>
  <c r="S16" i="52"/>
  <c r="T16" i="52"/>
  <c r="U16" i="52"/>
  <c r="V16" i="52"/>
  <c r="W16" i="52"/>
  <c r="X16" i="52"/>
  <c r="Y16" i="52"/>
  <c r="Z16" i="52"/>
  <c r="F17" i="52"/>
  <c r="G17" i="52"/>
  <c r="J17" i="52"/>
  <c r="L17" i="52"/>
  <c r="M17" i="52"/>
  <c r="N17" i="52"/>
  <c r="O17" i="52"/>
  <c r="P17" i="52"/>
  <c r="Q17" i="52"/>
  <c r="R17" i="52"/>
  <c r="S17" i="52"/>
  <c r="T17" i="52"/>
  <c r="U17" i="52"/>
  <c r="V17" i="52"/>
  <c r="W17" i="52"/>
  <c r="X17" i="52"/>
  <c r="Y17" i="52"/>
  <c r="Z17" i="52"/>
  <c r="F18" i="52"/>
  <c r="G18" i="52"/>
  <c r="I18" i="52"/>
  <c r="J18" i="52"/>
  <c r="L18" i="52"/>
  <c r="M18" i="52"/>
  <c r="N18" i="52"/>
  <c r="O18" i="52"/>
  <c r="P18" i="52"/>
  <c r="Q18" i="52"/>
  <c r="R18" i="52"/>
  <c r="S18" i="52"/>
  <c r="T18" i="52"/>
  <c r="U18" i="52"/>
  <c r="V18" i="52"/>
  <c r="W18" i="52"/>
  <c r="X18" i="52"/>
  <c r="Y18" i="52"/>
  <c r="Z18" i="52"/>
  <c r="F19" i="52"/>
  <c r="G19" i="52"/>
  <c r="H19" i="52"/>
  <c r="I19" i="52"/>
  <c r="J19" i="52"/>
  <c r="K19" i="52"/>
  <c r="L19" i="52"/>
  <c r="M19" i="52"/>
  <c r="N19" i="52"/>
  <c r="O19" i="52"/>
  <c r="P19" i="52"/>
  <c r="Q19" i="52"/>
  <c r="R19" i="52"/>
  <c r="S19" i="52"/>
  <c r="T19" i="52"/>
  <c r="U19" i="52"/>
  <c r="V19" i="52"/>
  <c r="W19" i="52"/>
  <c r="X19" i="52"/>
  <c r="Y19" i="52"/>
  <c r="Z19" i="52"/>
  <c r="G20" i="52"/>
  <c r="H20" i="52"/>
  <c r="I20" i="52"/>
  <c r="J20" i="52"/>
  <c r="K20" i="52"/>
  <c r="L20" i="52"/>
  <c r="M20" i="52"/>
  <c r="N20" i="52"/>
  <c r="O20" i="52"/>
  <c r="P20" i="52"/>
  <c r="Q20" i="52"/>
  <c r="R20" i="52"/>
  <c r="S20" i="52"/>
  <c r="T20" i="52"/>
  <c r="U20" i="52"/>
  <c r="V20" i="52"/>
  <c r="W20" i="52"/>
  <c r="X20" i="52"/>
  <c r="Y20" i="52"/>
  <c r="Z20" i="52"/>
  <c r="G21" i="52"/>
  <c r="L21" i="52"/>
  <c r="M21" i="52"/>
  <c r="N21" i="52"/>
  <c r="O21" i="52"/>
  <c r="P21" i="52"/>
  <c r="Q21" i="52"/>
  <c r="R21" i="52"/>
  <c r="S21" i="52"/>
  <c r="T21" i="52"/>
  <c r="U21" i="52"/>
  <c r="V21" i="52"/>
  <c r="W21" i="52"/>
  <c r="X21" i="52"/>
  <c r="Y21" i="52"/>
  <c r="Z21" i="52"/>
  <c r="F237" i="41"/>
  <c r="D237" i="41" s="1"/>
  <c r="G237" i="41"/>
  <c r="H237" i="41"/>
  <c r="I237" i="41"/>
  <c r="J237" i="41"/>
  <c r="K237" i="41"/>
  <c r="L237" i="41"/>
  <c r="M237" i="41"/>
  <c r="N237" i="41"/>
  <c r="O237" i="41"/>
  <c r="P237" i="41"/>
  <c r="Q237" i="41"/>
  <c r="R237" i="41"/>
  <c r="S237" i="41"/>
  <c r="T237" i="41"/>
  <c r="U237" i="41"/>
  <c r="V237" i="41"/>
  <c r="W237" i="41"/>
  <c r="X237" i="41"/>
  <c r="Y237" i="41"/>
  <c r="Z237" i="41"/>
  <c r="F238" i="41"/>
  <c r="G238" i="41"/>
  <c r="I238" i="41"/>
  <c r="J238" i="41"/>
  <c r="K238" i="41"/>
  <c r="L238" i="41"/>
  <c r="M238" i="41"/>
  <c r="N238" i="41"/>
  <c r="O238" i="41"/>
  <c r="P238" i="41"/>
  <c r="Q238" i="41"/>
  <c r="R238" i="41"/>
  <c r="S238" i="41"/>
  <c r="T238" i="41"/>
  <c r="U238" i="41"/>
  <c r="V238" i="41"/>
  <c r="W238" i="41"/>
  <c r="X238" i="41"/>
  <c r="Y238" i="41"/>
  <c r="Z238" i="41"/>
  <c r="F239" i="41"/>
  <c r="G239" i="41"/>
  <c r="I239" i="41"/>
  <c r="J239" i="41"/>
  <c r="K239" i="41"/>
  <c r="L239" i="41"/>
  <c r="M239" i="41"/>
  <c r="N239" i="41"/>
  <c r="O239" i="41"/>
  <c r="P239" i="41"/>
  <c r="Q239" i="41"/>
  <c r="R239" i="41"/>
  <c r="S239" i="41"/>
  <c r="T239" i="41"/>
  <c r="U239" i="41"/>
  <c r="V239" i="41"/>
  <c r="W239" i="41"/>
  <c r="X239" i="41"/>
  <c r="Y239" i="41"/>
  <c r="Z239" i="41"/>
  <c r="F240" i="41"/>
  <c r="G240" i="41"/>
  <c r="D240" i="41" s="1"/>
  <c r="H240" i="41"/>
  <c r="I240" i="41"/>
  <c r="J240" i="41"/>
  <c r="K240" i="41"/>
  <c r="L240" i="41"/>
  <c r="M240" i="41"/>
  <c r="N240" i="41"/>
  <c r="O240" i="41"/>
  <c r="P240" i="41"/>
  <c r="Q240" i="41"/>
  <c r="R240" i="41"/>
  <c r="S240" i="41"/>
  <c r="T240" i="41"/>
  <c r="U240" i="41"/>
  <c r="V240" i="41"/>
  <c r="W240" i="41"/>
  <c r="X240" i="41"/>
  <c r="Y240" i="41"/>
  <c r="Z240" i="41"/>
  <c r="F241" i="41"/>
  <c r="G241" i="41"/>
  <c r="H241" i="41"/>
  <c r="I241" i="41"/>
  <c r="J241" i="41"/>
  <c r="K241" i="41"/>
  <c r="L241" i="41"/>
  <c r="D241" i="41" s="1"/>
  <c r="M241" i="41"/>
  <c r="N241" i="41"/>
  <c r="O241" i="41"/>
  <c r="P241" i="41"/>
  <c r="Q241" i="41"/>
  <c r="R241" i="41"/>
  <c r="S241" i="41"/>
  <c r="T241" i="41"/>
  <c r="U241" i="41"/>
  <c r="V241" i="41"/>
  <c r="W241" i="41"/>
  <c r="X241" i="41"/>
  <c r="Y241" i="41"/>
  <c r="Z241" i="41"/>
  <c r="I242" i="41"/>
  <c r="J242" i="41"/>
  <c r="K242" i="41"/>
  <c r="L242" i="41"/>
  <c r="M242" i="41"/>
  <c r="N242" i="41"/>
  <c r="O242" i="41"/>
  <c r="P242" i="41"/>
  <c r="Q242" i="41"/>
  <c r="R242" i="41"/>
  <c r="S242" i="41"/>
  <c r="T242" i="41"/>
  <c r="U242" i="41"/>
  <c r="V242" i="41"/>
  <c r="W242" i="41"/>
  <c r="X242" i="41"/>
  <c r="Y242" i="41"/>
  <c r="Z242" i="41"/>
  <c r="G230" i="41"/>
  <c r="D341" i="38"/>
  <c r="F192" i="41"/>
  <c r="F273" i="40"/>
  <c r="D273" i="40" s="1"/>
  <c r="G273" i="40"/>
  <c r="H273" i="40"/>
  <c r="I273" i="40"/>
  <c r="J273" i="40"/>
  <c r="K273" i="40"/>
  <c r="L273" i="40"/>
  <c r="M273" i="40"/>
  <c r="N273" i="40"/>
  <c r="O273" i="40"/>
  <c r="P273" i="40"/>
  <c r="Q273" i="40"/>
  <c r="R273" i="40"/>
  <c r="S273" i="40"/>
  <c r="T273" i="40"/>
  <c r="U273" i="40"/>
  <c r="V273" i="40"/>
  <c r="W273" i="40"/>
  <c r="X273" i="40"/>
  <c r="Y273" i="40"/>
  <c r="Z273" i="40"/>
  <c r="F274" i="40"/>
  <c r="G274" i="40"/>
  <c r="I274" i="40"/>
  <c r="J274" i="40"/>
  <c r="K274" i="40"/>
  <c r="L274" i="40"/>
  <c r="M274" i="40"/>
  <c r="N274" i="40"/>
  <c r="O274" i="40"/>
  <c r="P274" i="40"/>
  <c r="Q274" i="40"/>
  <c r="R274" i="40"/>
  <c r="S274" i="40"/>
  <c r="T274" i="40"/>
  <c r="U274" i="40"/>
  <c r="V274" i="40"/>
  <c r="W274" i="40"/>
  <c r="X274" i="40"/>
  <c r="Y274" i="40"/>
  <c r="Z274" i="40"/>
  <c r="F275" i="40"/>
  <c r="G275" i="40"/>
  <c r="D275" i="40" s="1"/>
  <c r="H275" i="40"/>
  <c r="I275" i="40"/>
  <c r="J275" i="40"/>
  <c r="K275" i="40"/>
  <c r="L275" i="40"/>
  <c r="M275" i="40"/>
  <c r="N275" i="40"/>
  <c r="O275" i="40"/>
  <c r="P275" i="40"/>
  <c r="Q275" i="40"/>
  <c r="R275" i="40"/>
  <c r="S275" i="40"/>
  <c r="T275" i="40"/>
  <c r="U275" i="40"/>
  <c r="V275" i="40"/>
  <c r="W275" i="40"/>
  <c r="X275" i="40"/>
  <c r="Y275" i="40"/>
  <c r="Z275" i="40"/>
  <c r="F276" i="40"/>
  <c r="D276" i="40" s="1"/>
  <c r="G276" i="40"/>
  <c r="H276" i="40"/>
  <c r="I276" i="40"/>
  <c r="J276" i="40"/>
  <c r="K276" i="40"/>
  <c r="L276" i="40"/>
  <c r="M276" i="40"/>
  <c r="N276" i="40"/>
  <c r="O276" i="40"/>
  <c r="P276" i="40"/>
  <c r="Q276" i="40"/>
  <c r="R276" i="40"/>
  <c r="S276" i="40"/>
  <c r="T276" i="40"/>
  <c r="U276" i="40"/>
  <c r="V276" i="40"/>
  <c r="W276" i="40"/>
  <c r="X276" i="40"/>
  <c r="Y276" i="40"/>
  <c r="Z276" i="40"/>
  <c r="F277" i="40"/>
  <c r="G277" i="40"/>
  <c r="D277" i="40" s="1"/>
  <c r="H277" i="40"/>
  <c r="I277" i="40"/>
  <c r="J277" i="40"/>
  <c r="K277" i="40"/>
  <c r="L277" i="40"/>
  <c r="M277" i="40"/>
  <c r="N277" i="40"/>
  <c r="O277" i="40"/>
  <c r="P277" i="40"/>
  <c r="Q277" i="40"/>
  <c r="R277" i="40"/>
  <c r="S277" i="40"/>
  <c r="T277" i="40"/>
  <c r="U277" i="40"/>
  <c r="V277" i="40"/>
  <c r="W277" i="40"/>
  <c r="X277" i="40"/>
  <c r="Y277" i="40"/>
  <c r="Z277" i="40"/>
  <c r="D228" i="40"/>
  <c r="G341" i="38"/>
  <c r="H341" i="38"/>
  <c r="I341" i="38"/>
  <c r="J341" i="38"/>
  <c r="K341" i="38"/>
  <c r="L341" i="38"/>
  <c r="M341" i="38"/>
  <c r="N341" i="38"/>
  <c r="O341" i="38"/>
  <c r="P341" i="38"/>
  <c r="Q341" i="38"/>
  <c r="R341" i="38"/>
  <c r="S341" i="38"/>
  <c r="T341" i="38"/>
  <c r="U341" i="38"/>
  <c r="V341" i="38"/>
  <c r="W341" i="38"/>
  <c r="X341" i="38"/>
  <c r="Y341" i="38"/>
  <c r="Z341" i="38"/>
  <c r="F342" i="38"/>
  <c r="G342" i="38"/>
  <c r="I342" i="38"/>
  <c r="J342" i="38"/>
  <c r="K342" i="38"/>
  <c r="L342" i="38"/>
  <c r="M342" i="38"/>
  <c r="N342" i="38"/>
  <c r="O342" i="38"/>
  <c r="P342" i="38"/>
  <c r="Q342" i="38"/>
  <c r="R342" i="38"/>
  <c r="S342" i="38"/>
  <c r="T342" i="38"/>
  <c r="U342" i="38"/>
  <c r="V342" i="38"/>
  <c r="W342" i="38"/>
  <c r="X342" i="38"/>
  <c r="Y342" i="38"/>
  <c r="Z342" i="38"/>
  <c r="F343" i="38"/>
  <c r="G343" i="38"/>
  <c r="I343" i="38"/>
  <c r="J343" i="38"/>
  <c r="K343" i="38"/>
  <c r="L343" i="38"/>
  <c r="M343" i="38"/>
  <c r="N343" i="38"/>
  <c r="O343" i="38"/>
  <c r="P343" i="38"/>
  <c r="Q343" i="38"/>
  <c r="R343" i="38"/>
  <c r="S343" i="38"/>
  <c r="T343" i="38"/>
  <c r="U343" i="38"/>
  <c r="V343" i="38"/>
  <c r="W343" i="38"/>
  <c r="X343" i="38"/>
  <c r="Y343" i="38"/>
  <c r="Z343" i="38"/>
  <c r="F296" i="38"/>
  <c r="F341" i="38" s="1"/>
  <c r="D192" i="41" l="1"/>
  <c r="D61" i="52"/>
  <c r="F49" i="52" l="1"/>
  <c r="G49" i="52" s="1"/>
  <c r="H49" i="52" s="1"/>
  <c r="I49" i="52" s="1"/>
  <c r="J49" i="52" s="1"/>
  <c r="K49" i="52" s="1"/>
  <c r="L49" i="52" s="1"/>
  <c r="M49" i="52" s="1"/>
  <c r="N49" i="52" s="1"/>
  <c r="O49" i="52" s="1"/>
  <c r="P49" i="52" s="1"/>
  <c r="Q49" i="52" s="1"/>
  <c r="R49" i="52" s="1"/>
  <c r="S49" i="52" s="1"/>
  <c r="T49" i="52" s="1"/>
  <c r="U49" i="52" s="1"/>
  <c r="V49" i="52" s="1"/>
  <c r="W49" i="52" s="1"/>
  <c r="X49" i="52" s="1"/>
  <c r="Y49" i="52" s="1"/>
  <c r="Z49" i="52" s="1"/>
  <c r="F44" i="52"/>
  <c r="G44" i="52" s="1"/>
  <c r="H44" i="52" s="1"/>
  <c r="I44" i="52" s="1"/>
  <c r="J44" i="52" s="1"/>
  <c r="K44" i="52" s="1"/>
  <c r="L44" i="52" s="1"/>
  <c r="M44" i="52" s="1"/>
  <c r="N44" i="52" s="1"/>
  <c r="O44" i="52" s="1"/>
  <c r="P44" i="52" s="1"/>
  <c r="Q44" i="52" s="1"/>
  <c r="R44" i="52" s="1"/>
  <c r="S44" i="52" s="1"/>
  <c r="T44" i="52" s="1"/>
  <c r="U44" i="52" s="1"/>
  <c r="V44" i="52" s="1"/>
  <c r="W44" i="52" s="1"/>
  <c r="X44" i="52" s="1"/>
  <c r="Y44" i="52" s="1"/>
  <c r="Z44" i="52" s="1"/>
  <c r="F38" i="52"/>
  <c r="G38" i="52" s="1"/>
  <c r="H38" i="52" s="1"/>
  <c r="I38" i="52" s="1"/>
  <c r="J38" i="52" s="1"/>
  <c r="K38" i="52" s="1"/>
  <c r="L38" i="52" s="1"/>
  <c r="M38" i="52" s="1"/>
  <c r="N38" i="52" s="1"/>
  <c r="O38" i="52" s="1"/>
  <c r="P38" i="52" s="1"/>
  <c r="Q38" i="52" s="1"/>
  <c r="R38" i="52" s="1"/>
  <c r="S38" i="52" s="1"/>
  <c r="T38" i="52" s="1"/>
  <c r="U38" i="52" s="1"/>
  <c r="V38" i="52" s="1"/>
  <c r="W38" i="52" s="1"/>
  <c r="X38" i="52" s="1"/>
  <c r="Y38" i="52" s="1"/>
  <c r="Z38" i="52" s="1"/>
  <c r="K15" i="52"/>
  <c r="K60" i="52" s="1"/>
  <c r="L15" i="52"/>
  <c r="L60" i="52" s="1"/>
  <c r="M15" i="52"/>
  <c r="M60" i="52" s="1"/>
  <c r="N15" i="52"/>
  <c r="N60" i="52" s="1"/>
  <c r="O15" i="52"/>
  <c r="O60" i="52" s="1"/>
  <c r="P15" i="52"/>
  <c r="P60" i="52" s="1"/>
  <c r="Q15" i="52"/>
  <c r="Q60" i="52" s="1"/>
  <c r="R15" i="52"/>
  <c r="R60" i="52" s="1"/>
  <c r="S15" i="52"/>
  <c r="S60" i="52" s="1"/>
  <c r="T15" i="52"/>
  <c r="T60" i="52" s="1"/>
  <c r="U15" i="52"/>
  <c r="U60" i="52" s="1"/>
  <c r="V15" i="52"/>
  <c r="V60" i="52" s="1"/>
  <c r="W15" i="52"/>
  <c r="W60" i="52" s="1"/>
  <c r="X15" i="52"/>
  <c r="X60" i="52" s="1"/>
  <c r="Y15" i="52"/>
  <c r="Y60" i="52" s="1"/>
  <c r="Z15" i="52"/>
  <c r="Z60" i="52" s="1"/>
  <c r="I15" i="52"/>
  <c r="I60" i="52" s="1"/>
  <c r="H15" i="52"/>
  <c r="H60" i="52" s="1"/>
  <c r="G15" i="52"/>
  <c r="G60" i="52" s="1"/>
  <c r="F59" i="52"/>
  <c r="G59" i="52" s="1"/>
  <c r="H59" i="52" s="1"/>
  <c r="I59" i="52" s="1"/>
  <c r="J59" i="52" s="1"/>
  <c r="K59" i="52" s="1"/>
  <c r="L59" i="52" s="1"/>
  <c r="M59" i="52" s="1"/>
  <c r="N59" i="52" s="1"/>
  <c r="O59" i="52" s="1"/>
  <c r="P59" i="52" s="1"/>
  <c r="Q59" i="52" s="1"/>
  <c r="R59" i="52" s="1"/>
  <c r="S59" i="52" s="1"/>
  <c r="T59" i="52" s="1"/>
  <c r="U59" i="52" s="1"/>
  <c r="V59" i="52" s="1"/>
  <c r="W59" i="52" s="1"/>
  <c r="X59" i="52" s="1"/>
  <c r="Y59" i="52" s="1"/>
  <c r="Z59" i="52" s="1"/>
  <c r="F14" i="52"/>
  <c r="G14" i="52" s="1"/>
  <c r="H14" i="52" s="1"/>
  <c r="I14" i="52" s="1"/>
  <c r="J14" i="52" s="1"/>
  <c r="K14" i="52" s="1"/>
  <c r="L14" i="52" s="1"/>
  <c r="M14" i="52" s="1"/>
  <c r="N14" i="52" s="1"/>
  <c r="O14" i="52" s="1"/>
  <c r="P14" i="52" s="1"/>
  <c r="Q14" i="52" s="1"/>
  <c r="R14" i="52" s="1"/>
  <c r="S14" i="52" s="1"/>
  <c r="T14" i="52" s="1"/>
  <c r="U14" i="52" s="1"/>
  <c r="V14" i="52" s="1"/>
  <c r="W14" i="52" s="1"/>
  <c r="X14" i="52" s="1"/>
  <c r="Y14" i="52" s="1"/>
  <c r="Z14" i="52" s="1"/>
  <c r="F4" i="52"/>
  <c r="G4" i="52" s="1"/>
  <c r="H4" i="52" s="1"/>
  <c r="I4" i="52" s="1"/>
  <c r="J4" i="52" s="1"/>
  <c r="K4" i="52" s="1"/>
  <c r="L4" i="52" s="1"/>
  <c r="M4" i="52" s="1"/>
  <c r="N4" i="52" s="1"/>
  <c r="O4" i="52" s="1"/>
  <c r="P4" i="52" s="1"/>
  <c r="Q4" i="52" s="1"/>
  <c r="R4" i="52" s="1"/>
  <c r="S4" i="52" s="1"/>
  <c r="T4" i="52" s="1"/>
  <c r="U4" i="52" s="1"/>
  <c r="V4" i="52" s="1"/>
  <c r="W4" i="52" s="1"/>
  <c r="X4" i="52" s="1"/>
  <c r="Y4" i="52" s="1"/>
  <c r="Z4" i="52" s="1"/>
  <c r="AA247" i="41"/>
  <c r="Z236" i="41"/>
  <c r="Y236" i="41"/>
  <c r="X236" i="41"/>
  <c r="W236" i="41"/>
  <c r="V236" i="41"/>
  <c r="U236" i="41"/>
  <c r="T236" i="41"/>
  <c r="S236" i="41"/>
  <c r="R236" i="41"/>
  <c r="Q236" i="41"/>
  <c r="P236" i="41"/>
  <c r="O236" i="41"/>
  <c r="N236" i="41"/>
  <c r="M236" i="41"/>
  <c r="L236" i="41"/>
  <c r="K236" i="41"/>
  <c r="J236" i="41"/>
  <c r="I236" i="41"/>
  <c r="H236" i="41"/>
  <c r="F236" i="41"/>
  <c r="Z223" i="41"/>
  <c r="Y223" i="41"/>
  <c r="X223" i="41"/>
  <c r="W223" i="41"/>
  <c r="V223" i="41"/>
  <c r="U223" i="41"/>
  <c r="T223" i="41"/>
  <c r="S223" i="41"/>
  <c r="R223" i="41"/>
  <c r="G218" i="41"/>
  <c r="F218" i="41"/>
  <c r="H215" i="41"/>
  <c r="H218" i="41" s="1"/>
  <c r="V25" i="52" l="1"/>
  <c r="U25" i="52"/>
  <c r="M25" i="52"/>
  <c r="Y25" i="52"/>
  <c r="S25" i="52"/>
  <c r="X25" i="52"/>
  <c r="L25" i="52"/>
  <c r="O25" i="52"/>
  <c r="W25" i="52"/>
  <c r="Z25" i="52"/>
  <c r="N25" i="52"/>
  <c r="T25" i="52"/>
  <c r="P25" i="52"/>
  <c r="Q25" i="52"/>
  <c r="R25" i="52"/>
  <c r="D230" i="40" l="1"/>
  <c r="D231" i="40"/>
  <c r="D232" i="40"/>
  <c r="F344" i="38"/>
  <c r="G340" i="38"/>
  <c r="H340" i="38"/>
  <c r="I340" i="38"/>
  <c r="J340" i="38"/>
  <c r="K340" i="38"/>
  <c r="L340" i="38"/>
  <c r="M340" i="38"/>
  <c r="N340" i="38"/>
  <c r="O340" i="38"/>
  <c r="P340" i="38"/>
  <c r="Q340" i="38"/>
  <c r="R340" i="38"/>
  <c r="S340" i="38"/>
  <c r="T340" i="38"/>
  <c r="U340" i="38"/>
  <c r="V340" i="38"/>
  <c r="W340" i="38"/>
  <c r="X340" i="38"/>
  <c r="Y340" i="38"/>
  <c r="Z340" i="38"/>
  <c r="K308" i="38"/>
  <c r="L308" i="38"/>
  <c r="M308" i="38"/>
  <c r="N308" i="38"/>
  <c r="O308" i="38"/>
  <c r="P308" i="38"/>
  <c r="Q308" i="38"/>
  <c r="R308" i="38"/>
  <c r="S308" i="38"/>
  <c r="T308" i="38"/>
  <c r="U308" i="38"/>
  <c r="V308" i="38"/>
  <c r="W308" i="38"/>
  <c r="X308" i="38"/>
  <c r="Y308" i="38"/>
  <c r="Z308" i="38"/>
  <c r="K303" i="38"/>
  <c r="L303" i="38"/>
  <c r="M303" i="38"/>
  <c r="N303" i="38"/>
  <c r="O303" i="38"/>
  <c r="P303" i="38"/>
  <c r="Q303" i="38"/>
  <c r="R303" i="38"/>
  <c r="S303" i="38"/>
  <c r="T303" i="38"/>
  <c r="U303" i="38"/>
  <c r="V303" i="38"/>
  <c r="W303" i="38"/>
  <c r="X303" i="38"/>
  <c r="Y303" i="38"/>
  <c r="Z303" i="38"/>
  <c r="P175" i="33" l="1"/>
  <c r="O175" i="33"/>
  <c r="I19" i="45"/>
  <c r="J19" i="45"/>
  <c r="G16" i="45"/>
  <c r="J7" i="45"/>
  <c r="J8" i="45"/>
  <c r="J9" i="45"/>
  <c r="J10" i="45"/>
  <c r="J11" i="45"/>
  <c r="J14" i="45"/>
  <c r="J15" i="45"/>
  <c r="J17" i="45"/>
  <c r="G15" i="45"/>
  <c r="K18" i="43" l="1"/>
  <c r="K17" i="43"/>
  <c r="K15" i="43"/>
  <c r="AZ18" i="43"/>
  <c r="AU18" i="43"/>
  <c r="AL18" i="43" s="1"/>
  <c r="AT18" i="43"/>
  <c r="AS18" i="43"/>
  <c r="AR18" i="43"/>
  <c r="AQ18" i="43"/>
  <c r="AP18" i="43"/>
  <c r="AO18" i="43"/>
  <c r="AF18" i="43"/>
  <c r="AV18" i="43" s="1"/>
  <c r="AW18" i="43"/>
  <c r="AN18" i="43" s="1"/>
  <c r="AU17" i="43"/>
  <c r="AL17" i="43" s="1"/>
  <c r="AT17" i="43"/>
  <c r="AS17" i="43"/>
  <c r="AR17" i="43"/>
  <c r="AQ17" i="43"/>
  <c r="AP17" i="43"/>
  <c r="AO17" i="43"/>
  <c r="AF17" i="43"/>
  <c r="AV17" i="43" s="1"/>
  <c r="AN17" i="43" s="1"/>
  <c r="B50" i="48" l="1"/>
  <c r="Q24" i="32" l="1"/>
  <c r="AO48" i="43" l="1"/>
  <c r="H145" i="33"/>
  <c r="G145" i="33"/>
  <c r="F145" i="33"/>
  <c r="F135" i="33"/>
  <c r="B22" i="48"/>
  <c r="B23" i="48"/>
  <c r="B24" i="48"/>
  <c r="B25" i="48"/>
  <c r="B26" i="48"/>
  <c r="B33" i="48"/>
  <c r="B80" i="48" s="1"/>
  <c r="B36" i="48"/>
  <c r="B83" i="48" s="1"/>
  <c r="B79" i="48"/>
  <c r="B86" i="48"/>
  <c r="B94" i="48"/>
  <c r="Y26" i="43"/>
  <c r="Z26" i="43"/>
  <c r="Z25" i="43"/>
  <c r="AO6" i="43"/>
  <c r="AO29" i="43"/>
  <c r="F25" i="43"/>
  <c r="AF7" i="43"/>
  <c r="F49" i="38"/>
  <c r="G49" i="38"/>
  <c r="H49" i="38"/>
  <c r="AQ16" i="43"/>
  <c r="AR16" i="43"/>
  <c r="AS16" i="43"/>
  <c r="AT16" i="43"/>
  <c r="AU16" i="43"/>
  <c r="AW16" i="43"/>
  <c r="AF16" i="43"/>
  <c r="AV16" i="43" s="1"/>
  <c r="K6" i="43"/>
  <c r="E6" i="43"/>
  <c r="D195" i="41"/>
  <c r="D196" i="41"/>
  <c r="AP16" i="43" l="1"/>
  <c r="AO16" i="43"/>
  <c r="AL16" i="43" l="1"/>
  <c r="AN16" i="43"/>
  <c r="C30" i="46" l="1"/>
  <c r="C29" i="46"/>
  <c r="C28" i="46"/>
  <c r="C27" i="46"/>
  <c r="E26" i="46"/>
  <c r="C26" i="46"/>
  <c r="C25" i="46"/>
  <c r="C24" i="46"/>
  <c r="C23" i="46"/>
  <c r="C22" i="46"/>
  <c r="C21" i="46"/>
  <c r="E20" i="46"/>
  <c r="C20" i="46"/>
  <c r="J29" i="31"/>
  <c r="I29" i="31"/>
  <c r="G10" i="45"/>
  <c r="I10" i="45"/>
  <c r="H10" i="45"/>
  <c r="J31" i="45"/>
  <c r="G7" i="45"/>
  <c r="I29" i="45"/>
  <c r="I8" i="45" s="1"/>
  <c r="I28" i="45"/>
  <c r="I7" i="45" s="1"/>
  <c r="I27" i="45"/>
  <c r="H28" i="45"/>
  <c r="H7" i="45" s="1"/>
  <c r="H29" i="45"/>
  <c r="H8" i="45" s="1"/>
  <c r="H27" i="45"/>
  <c r="G28" i="45"/>
  <c r="G27" i="45"/>
  <c r="J38" i="45"/>
  <c r="G17" i="45"/>
  <c r="H29" i="31" s="1"/>
  <c r="C27" i="45"/>
  <c r="G6" i="45" l="1"/>
  <c r="J27" i="45"/>
  <c r="G19" i="45"/>
  <c r="G29" i="45"/>
  <c r="H6" i="45"/>
  <c r="H19" i="45"/>
  <c r="I6" i="45"/>
  <c r="J28" i="45"/>
  <c r="F100" i="28"/>
  <c r="E100" i="28"/>
  <c r="N57" i="28"/>
  <c r="M57" i="28"/>
  <c r="L57" i="28"/>
  <c r="K57" i="28"/>
  <c r="J57" i="28"/>
  <c r="I57" i="28"/>
  <c r="H57" i="28"/>
  <c r="J6" i="45" l="1"/>
  <c r="J29" i="45"/>
  <c r="G8" i="45"/>
  <c r="L17" i="28" l="1"/>
  <c r="R55" i="48"/>
  <c r="T55" i="48"/>
  <c r="O55" i="48"/>
  <c r="P54" i="48"/>
  <c r="P55" i="48" s="1"/>
  <c r="Q54" i="48" s="1"/>
  <c r="T14" i="48"/>
  <c r="AD26" i="43"/>
  <c r="AD24" i="43"/>
  <c r="AD25" i="43"/>
  <c r="Z87" i="38"/>
  <c r="Z89" i="38" s="1"/>
  <c r="Y87" i="38"/>
  <c r="Y89" i="38" s="1"/>
  <c r="X87" i="38"/>
  <c r="X89" i="38" s="1"/>
  <c r="W87" i="38"/>
  <c r="W89" i="38" s="1"/>
  <c r="V87" i="38"/>
  <c r="V89" i="38" s="1"/>
  <c r="U87" i="38"/>
  <c r="U89" i="38" s="1"/>
  <c r="T87" i="38"/>
  <c r="T89" i="38" s="1"/>
  <c r="S87" i="38"/>
  <c r="S89" i="38" s="1"/>
  <c r="R87" i="38"/>
  <c r="R89" i="38" s="1"/>
  <c r="Q87" i="38"/>
  <c r="Q89" i="38" s="1"/>
  <c r="P87" i="38"/>
  <c r="P89" i="38" s="1"/>
  <c r="O87" i="38"/>
  <c r="O89" i="38" s="1"/>
  <c r="N87" i="38"/>
  <c r="N89" i="38" s="1"/>
  <c r="M87" i="38"/>
  <c r="M89" i="38" s="1"/>
  <c r="L87" i="38"/>
  <c r="L89" i="38" s="1"/>
  <c r="K87" i="38"/>
  <c r="K89" i="38" s="1"/>
  <c r="J87" i="38"/>
  <c r="J89" i="38" s="1"/>
  <c r="G86" i="39" l="1"/>
  <c r="G85" i="39"/>
  <c r="G84" i="39"/>
  <c r="G83" i="39"/>
  <c r="G82" i="39"/>
  <c r="G81" i="39"/>
  <c r="G80" i="39"/>
  <c r="G79" i="39"/>
  <c r="G108" i="39" s="1"/>
  <c r="B114" i="39" l="1"/>
  <c r="J110" i="38" l="1"/>
  <c r="K110" i="38"/>
  <c r="L110" i="38"/>
  <c r="M110" i="38"/>
  <c r="N110" i="38"/>
  <c r="O110" i="38"/>
  <c r="P110" i="38"/>
  <c r="Q110" i="38"/>
  <c r="R110" i="38"/>
  <c r="S110" i="38"/>
  <c r="T110" i="38"/>
  <c r="U110" i="38"/>
  <c r="V110" i="38"/>
  <c r="W110" i="38"/>
  <c r="X110" i="38"/>
  <c r="Y110" i="38"/>
  <c r="Z110" i="38"/>
  <c r="I110" i="38"/>
  <c r="F125" i="28" l="1"/>
  <c r="P7" i="49" l="1"/>
  <c r="P8" i="49"/>
  <c r="E8" i="46" l="1"/>
  <c r="E9" i="46"/>
  <c r="C13" i="46"/>
  <c r="C5" i="46"/>
  <c r="C6" i="46"/>
  <c r="C7" i="46"/>
  <c r="C8" i="46"/>
  <c r="C9" i="46"/>
  <c r="C10" i="46"/>
  <c r="C11" i="46"/>
  <c r="C12" i="46"/>
  <c r="K9" i="43"/>
  <c r="C4" i="46"/>
  <c r="G194" i="33"/>
  <c r="AQ6" i="43"/>
  <c r="K10" i="43"/>
  <c r="AE10" i="43" s="1"/>
  <c r="K14" i="43"/>
  <c r="K13" i="43"/>
  <c r="K12" i="43"/>
  <c r="K11" i="43"/>
  <c r="K8" i="43"/>
  <c r="K7" i="43"/>
  <c r="E14" i="43"/>
  <c r="E13" i="43"/>
  <c r="E12" i="43"/>
  <c r="E11" i="43"/>
  <c r="E9" i="43"/>
  <c r="E8" i="43"/>
  <c r="E7" i="43"/>
  <c r="J39" i="45"/>
  <c r="A16" i="43"/>
  <c r="A17" i="43"/>
  <c r="A18" i="43"/>
  <c r="A19" i="43"/>
  <c r="A20" i="43"/>
  <c r="A21" i="43"/>
  <c r="A22" i="43"/>
  <c r="K23" i="43" l="1"/>
  <c r="AZ11" i="43"/>
  <c r="I98" i="49"/>
  <c r="E98" i="49"/>
  <c r="F98" i="49"/>
  <c r="M11" i="49" s="1"/>
  <c r="F91" i="49"/>
  <c r="E91" i="49"/>
  <c r="E30" i="46" l="1"/>
  <c r="E29" i="46"/>
  <c r="AZ14" i="43"/>
  <c r="P11" i="49"/>
  <c r="E12" i="46"/>
  <c r="E13" i="46"/>
  <c r="M10" i="49"/>
  <c r="I91" i="49"/>
  <c r="M27" i="49" s="1"/>
  <c r="I87" i="49"/>
  <c r="M26" i="49" s="1"/>
  <c r="AZ15" i="43" l="1"/>
  <c r="E28" i="46"/>
  <c r="AZ13" i="43"/>
  <c r="E27" i="46"/>
  <c r="AZ12" i="43"/>
  <c r="P10" i="49"/>
  <c r="E11" i="46"/>
  <c r="I68" i="49"/>
  <c r="M23" i="49" s="1"/>
  <c r="F68" i="49"/>
  <c r="M6" i="49" s="1"/>
  <c r="P6" i="49" s="1"/>
  <c r="E68" i="49"/>
  <c r="F87" i="49"/>
  <c r="M9" i="49" s="1"/>
  <c r="E87" i="49"/>
  <c r="I74" i="49"/>
  <c r="M24" i="49" s="1"/>
  <c r="F32" i="49"/>
  <c r="M4" i="49" s="1"/>
  <c r="E32" i="49"/>
  <c r="E74" i="49"/>
  <c r="I55" i="49"/>
  <c r="M22" i="49" s="1"/>
  <c r="F55" i="49"/>
  <c r="M5" i="49" s="1"/>
  <c r="P5" i="49" s="1"/>
  <c r="E55" i="49"/>
  <c r="I32" i="49"/>
  <c r="M21" i="49" s="1"/>
  <c r="I22" i="49"/>
  <c r="M20" i="49" s="1"/>
  <c r="F22" i="49"/>
  <c r="M3" i="49" s="1"/>
  <c r="E22" i="49"/>
  <c r="P16" i="49" l="1"/>
  <c r="AZ8" i="43"/>
  <c r="E23" i="46"/>
  <c r="E24" i="46"/>
  <c r="AZ9" i="43"/>
  <c r="E25" i="46"/>
  <c r="AZ10" i="43"/>
  <c r="E22" i="46"/>
  <c r="AZ7" i="43"/>
  <c r="E21" i="46"/>
  <c r="AZ6" i="43"/>
  <c r="AZ23" i="43" s="1"/>
  <c r="M31" i="49"/>
  <c r="I56" i="31"/>
  <c r="J108" i="40"/>
  <c r="K108" i="40" s="1"/>
  <c r="L108" i="40" s="1"/>
  <c r="M108" i="40" s="1"/>
  <c r="N108" i="40" s="1"/>
  <c r="O108" i="40" s="1"/>
  <c r="P108" i="40" s="1"/>
  <c r="Q108" i="40" s="1"/>
  <c r="R108" i="40" s="1"/>
  <c r="S108" i="40" s="1"/>
  <c r="T108" i="40" s="1"/>
  <c r="U108" i="40" s="1"/>
  <c r="V108" i="40" s="1"/>
  <c r="W108" i="40" s="1"/>
  <c r="X108" i="40" s="1"/>
  <c r="Y108" i="40" s="1"/>
  <c r="Z108" i="40" s="1"/>
  <c r="J66" i="40"/>
  <c r="K66" i="40" s="1"/>
  <c r="L66" i="40" s="1"/>
  <c r="M66" i="40" s="1"/>
  <c r="N66" i="40" s="1"/>
  <c r="O66" i="40" s="1"/>
  <c r="P66" i="40" s="1"/>
  <c r="Q66" i="40" s="1"/>
  <c r="R66" i="40" s="1"/>
  <c r="S66" i="40" s="1"/>
  <c r="T66" i="40" s="1"/>
  <c r="U66" i="40" s="1"/>
  <c r="V66" i="40" s="1"/>
  <c r="W66" i="40" s="1"/>
  <c r="X66" i="40" s="1"/>
  <c r="Y66" i="40" s="1"/>
  <c r="Z66" i="40" s="1"/>
  <c r="J45" i="40"/>
  <c r="K45" i="40" s="1"/>
  <c r="L45" i="40" s="1"/>
  <c r="M45" i="40" s="1"/>
  <c r="N45" i="40" s="1"/>
  <c r="O45" i="40" s="1"/>
  <c r="P45" i="40" s="1"/>
  <c r="Q45" i="40" s="1"/>
  <c r="R45" i="40" s="1"/>
  <c r="S45" i="40" s="1"/>
  <c r="T45" i="40" s="1"/>
  <c r="U45" i="40" s="1"/>
  <c r="V45" i="40" s="1"/>
  <c r="W45" i="40" s="1"/>
  <c r="X45" i="40" s="1"/>
  <c r="Y45" i="40" s="1"/>
  <c r="Z45" i="40" s="1"/>
  <c r="P9" i="49"/>
  <c r="E10" i="46"/>
  <c r="P3" i="49"/>
  <c r="M14" i="49"/>
  <c r="P4" i="49"/>
  <c r="P15" i="49" s="1"/>
  <c r="I46" i="38" s="1"/>
  <c r="J46" i="38" s="1"/>
  <c r="K46" i="38" s="1"/>
  <c r="L46" i="38" s="1"/>
  <c r="M46" i="38" s="1"/>
  <c r="N46" i="38" s="1"/>
  <c r="O46" i="38" s="1"/>
  <c r="P46" i="38" s="1"/>
  <c r="Q46" i="38" s="1"/>
  <c r="R46" i="38" s="1"/>
  <c r="S46" i="38" s="1"/>
  <c r="T46" i="38" s="1"/>
  <c r="U46" i="38" s="1"/>
  <c r="V46" i="38" s="1"/>
  <c r="W46" i="38" s="1"/>
  <c r="X46" i="38" s="1"/>
  <c r="Y46" i="38" s="1"/>
  <c r="Z46" i="38" s="1"/>
  <c r="E5" i="46"/>
  <c r="F79" i="48"/>
  <c r="E31" i="46" l="1"/>
  <c r="H24" i="31"/>
  <c r="I67" i="38"/>
  <c r="J67" i="38" s="1"/>
  <c r="K67" i="38" s="1"/>
  <c r="L67" i="38" s="1"/>
  <c r="M67" i="38" s="1"/>
  <c r="N67" i="38" s="1"/>
  <c r="O67" i="38" s="1"/>
  <c r="P67" i="38" s="1"/>
  <c r="Q67" i="38" s="1"/>
  <c r="R67" i="38" s="1"/>
  <c r="S67" i="38" s="1"/>
  <c r="T67" i="38" s="1"/>
  <c r="U67" i="38" s="1"/>
  <c r="V67" i="38" s="1"/>
  <c r="W67" i="38" s="1"/>
  <c r="X67" i="38" s="1"/>
  <c r="Y67" i="38" s="1"/>
  <c r="Z67" i="38" s="1"/>
  <c r="J131" i="38"/>
  <c r="P13" i="49"/>
  <c r="P17" i="49"/>
  <c r="H56" i="31"/>
  <c r="I35" i="31"/>
  <c r="J56" i="31" l="1"/>
  <c r="G56" i="31" s="1"/>
  <c r="J67" i="41"/>
  <c r="K67" i="41" s="1"/>
  <c r="L67" i="41" s="1"/>
  <c r="M67" i="41" s="1"/>
  <c r="N67" i="41" s="1"/>
  <c r="O67" i="41" s="1"/>
  <c r="P67" i="41" s="1"/>
  <c r="Q67" i="41" s="1"/>
  <c r="R67" i="41" s="1"/>
  <c r="S67" i="41" s="1"/>
  <c r="T67" i="41" s="1"/>
  <c r="U67" i="41" s="1"/>
  <c r="V67" i="41" s="1"/>
  <c r="W67" i="41" s="1"/>
  <c r="X67" i="41" s="1"/>
  <c r="Y67" i="41" s="1"/>
  <c r="Z67" i="41" s="1"/>
  <c r="J46" i="41"/>
  <c r="K46" i="41" s="1"/>
  <c r="L46" i="41" s="1"/>
  <c r="M46" i="41" s="1"/>
  <c r="N46" i="41" s="1"/>
  <c r="O46" i="41" s="1"/>
  <c r="P46" i="41" s="1"/>
  <c r="Q46" i="41" s="1"/>
  <c r="R46" i="41" s="1"/>
  <c r="S46" i="41" s="1"/>
  <c r="T46" i="41" s="1"/>
  <c r="U46" i="41" s="1"/>
  <c r="V46" i="41" s="1"/>
  <c r="W46" i="41" s="1"/>
  <c r="X46" i="41" s="1"/>
  <c r="Y46" i="41" s="1"/>
  <c r="Z46" i="41" s="1"/>
  <c r="I131" i="38"/>
  <c r="K131" i="38"/>
  <c r="P18" i="49"/>
  <c r="J37" i="50"/>
  <c r="J9" i="50"/>
  <c r="J16" i="50" s="1"/>
  <c r="J23" i="50" s="1"/>
  <c r="J27" i="50"/>
  <c r="L131" i="38" l="1"/>
  <c r="J39" i="50"/>
  <c r="H35" i="31" s="1"/>
  <c r="E26" i="43"/>
  <c r="E24" i="43"/>
  <c r="AO41" i="43"/>
  <c r="G79" i="33"/>
  <c r="H79" i="33"/>
  <c r="E47" i="33"/>
  <c r="E39" i="33"/>
  <c r="E43" i="33"/>
  <c r="E35" i="33"/>
  <c r="M131" i="38" l="1"/>
  <c r="H9" i="32"/>
  <c r="G35" i="31"/>
  <c r="E7" i="46"/>
  <c r="E6" i="46"/>
  <c r="E4" i="46"/>
  <c r="AW31" i="43"/>
  <c r="F77" i="33"/>
  <c r="F19" i="48" s="1"/>
  <c r="F79" i="33"/>
  <c r="AM30" i="43"/>
  <c r="AN31" i="43"/>
  <c r="AN33" i="43" s="1"/>
  <c r="AR31" i="43"/>
  <c r="AR33" i="43" s="1"/>
  <c r="AP31" i="43"/>
  <c r="AP33" i="43" s="1"/>
  <c r="AV34" i="43"/>
  <c r="E50" i="33" s="1"/>
  <c r="F62" i="33"/>
  <c r="F66" i="33"/>
  <c r="F67" i="33" s="1"/>
  <c r="F63" i="33" l="1"/>
  <c r="F35" i="33"/>
  <c r="F36" i="33" s="1"/>
  <c r="N131" i="38"/>
  <c r="AM33" i="43"/>
  <c r="M4" i="31"/>
  <c r="M23" i="31" s="1"/>
  <c r="M74" i="31" s="1"/>
  <c r="A156" i="39"/>
  <c r="A157" i="39" s="1"/>
  <c r="A158" i="39" s="1"/>
  <c r="A159" i="39" s="1"/>
  <c r="A160" i="39" s="1"/>
  <c r="A161" i="39" s="1"/>
  <c r="A162" i="39" s="1"/>
  <c r="B173" i="39"/>
  <c r="B172" i="39"/>
  <c r="B171" i="39"/>
  <c r="B169" i="39"/>
  <c r="B168" i="39"/>
  <c r="B167" i="39"/>
  <c r="B166" i="39"/>
  <c r="AV3" i="31"/>
  <c r="AV4" i="31" s="1"/>
  <c r="AV23" i="31" s="1"/>
  <c r="AV67" i="31" s="1"/>
  <c r="AW3" i="31"/>
  <c r="AX3" i="31" s="1"/>
  <c r="AU4" i="31"/>
  <c r="AU23" i="31" s="1"/>
  <c r="AU79" i="31" s="1"/>
  <c r="A127" i="39"/>
  <c r="A128" i="39" s="1"/>
  <c r="A129" i="39" s="1"/>
  <c r="A130" i="39" s="1"/>
  <c r="A131" i="39" s="1"/>
  <c r="A132" i="39" s="1"/>
  <c r="A133" i="39" s="1"/>
  <c r="B144" i="39"/>
  <c r="B143" i="39"/>
  <c r="B142" i="39"/>
  <c r="B140" i="39"/>
  <c r="B139" i="39"/>
  <c r="B138" i="39"/>
  <c r="B137" i="39"/>
  <c r="M2" i="43"/>
  <c r="M16" i="43" s="1"/>
  <c r="AK3" i="31"/>
  <c r="AJ4" i="31"/>
  <c r="AJ23" i="31" s="1"/>
  <c r="AJ79" i="31" s="1"/>
  <c r="A98" i="39"/>
  <c r="A99" i="39" s="1"/>
  <c r="A100" i="39" s="1"/>
  <c r="A101" i="39" s="1"/>
  <c r="A102" i="39" s="1"/>
  <c r="A103" i="39" s="1"/>
  <c r="A104" i="39" s="1"/>
  <c r="B115" i="39"/>
  <c r="B113" i="39"/>
  <c r="B111" i="39"/>
  <c r="B110" i="39"/>
  <c r="B109" i="39"/>
  <c r="B108" i="39"/>
  <c r="B86" i="39"/>
  <c r="B85" i="39"/>
  <c r="B84" i="39"/>
  <c r="B82" i="39"/>
  <c r="B81" i="39"/>
  <c r="B80" i="39"/>
  <c r="B79" i="39"/>
  <c r="Z3" i="31"/>
  <c r="Z4" i="31" s="1"/>
  <c r="Z23" i="31" s="1"/>
  <c r="Z27" i="31" s="1"/>
  <c r="Y4" i="31"/>
  <c r="Y23" i="31" s="1"/>
  <c r="AQ8" i="43"/>
  <c r="H105" i="48"/>
  <c r="H106" i="48" s="1"/>
  <c r="G105" i="48"/>
  <c r="G106" i="48" s="1"/>
  <c r="F106" i="48"/>
  <c r="H120" i="33"/>
  <c r="H118" i="33"/>
  <c r="G120" i="33"/>
  <c r="G118" i="33"/>
  <c r="F120" i="33"/>
  <c r="F118" i="33"/>
  <c r="H83" i="48"/>
  <c r="H84" i="48" s="1"/>
  <c r="H86" i="48"/>
  <c r="H87" i="48" s="1"/>
  <c r="G86" i="48"/>
  <c r="G87" i="48" s="1"/>
  <c r="D45" i="48"/>
  <c r="D47" i="48" s="1"/>
  <c r="H33" i="48"/>
  <c r="G33" i="48"/>
  <c r="F86" i="48"/>
  <c r="F83" i="48"/>
  <c r="F80" i="48"/>
  <c r="H104" i="48"/>
  <c r="G104" i="48"/>
  <c r="H102" i="48"/>
  <c r="G102" i="48"/>
  <c r="F148" i="33"/>
  <c r="H101" i="48"/>
  <c r="G101" i="48"/>
  <c r="H100" i="48"/>
  <c r="G100" i="48"/>
  <c r="H99" i="48"/>
  <c r="G99" i="48"/>
  <c r="H93" i="48"/>
  <c r="G93" i="48"/>
  <c r="F93" i="48"/>
  <c r="E93" i="48"/>
  <c r="G83" i="48"/>
  <c r="G84" i="48" s="1"/>
  <c r="G80" i="48"/>
  <c r="H79" i="48"/>
  <c r="H80" i="48" s="1"/>
  <c r="G79" i="48"/>
  <c r="H73" i="48"/>
  <c r="G73" i="48"/>
  <c r="E73" i="48"/>
  <c r="H72" i="48"/>
  <c r="G72" i="48"/>
  <c r="E72" i="48"/>
  <c r="H71" i="48"/>
  <c r="G71" i="48"/>
  <c r="E71" i="48"/>
  <c r="H70" i="48"/>
  <c r="G70" i="48"/>
  <c r="E70" i="48"/>
  <c r="H69" i="48"/>
  <c r="G69" i="48"/>
  <c r="E69" i="48"/>
  <c r="J19" i="32"/>
  <c r="I19" i="32"/>
  <c r="H19" i="32"/>
  <c r="H66" i="48"/>
  <c r="G66" i="48"/>
  <c r="E66" i="48"/>
  <c r="H65" i="48"/>
  <c r="G65" i="48"/>
  <c r="E65" i="48"/>
  <c r="H64" i="48"/>
  <c r="G64" i="48"/>
  <c r="E64" i="48"/>
  <c r="H63" i="48"/>
  <c r="G63" i="48"/>
  <c r="E63" i="48"/>
  <c r="H62" i="48"/>
  <c r="G62" i="48"/>
  <c r="E62" i="48"/>
  <c r="T62" i="48"/>
  <c r="R62" i="48"/>
  <c r="P62" i="48"/>
  <c r="T61" i="48"/>
  <c r="R61" i="48"/>
  <c r="P61" i="48"/>
  <c r="G56" i="48"/>
  <c r="F56" i="48"/>
  <c r="D55" i="48"/>
  <c r="H52" i="48"/>
  <c r="G52" i="48"/>
  <c r="G51" i="48"/>
  <c r="F51" i="48"/>
  <c r="H50" i="48"/>
  <c r="G50" i="48"/>
  <c r="G53" i="48" s="1"/>
  <c r="H54" i="39"/>
  <c r="G54" i="39"/>
  <c r="R43" i="48" s="1"/>
  <c r="F54" i="39"/>
  <c r="P43" i="48" s="1"/>
  <c r="G39" i="48"/>
  <c r="G40" i="48" s="1"/>
  <c r="F39" i="48"/>
  <c r="F40" i="48" s="1"/>
  <c r="H49" i="39"/>
  <c r="T41" i="48" s="1"/>
  <c r="G49" i="39"/>
  <c r="R41" i="48"/>
  <c r="F49" i="39"/>
  <c r="P41" i="48" s="1"/>
  <c r="H57" i="39"/>
  <c r="T38" i="48" s="1"/>
  <c r="G57" i="39"/>
  <c r="R38" i="48" s="1"/>
  <c r="F57" i="39"/>
  <c r="P38" i="48" s="1"/>
  <c r="H38" i="39"/>
  <c r="T34" i="48" s="1"/>
  <c r="G38" i="39"/>
  <c r="F38" i="39"/>
  <c r="P34" i="48" s="1"/>
  <c r="H33" i="39"/>
  <c r="T32" i="48" s="1"/>
  <c r="G33" i="39"/>
  <c r="R32" i="48" s="1"/>
  <c r="F33" i="39"/>
  <c r="P32" i="48" s="1"/>
  <c r="H41" i="39"/>
  <c r="T29" i="48" s="1"/>
  <c r="G41" i="39"/>
  <c r="R29" i="48" s="1"/>
  <c r="F41" i="39"/>
  <c r="P29" i="48" s="1"/>
  <c r="H22" i="39"/>
  <c r="T25" i="48" s="1"/>
  <c r="G22" i="39"/>
  <c r="R25" i="48" s="1"/>
  <c r="F22" i="39"/>
  <c r="P25" i="48" s="1"/>
  <c r="H12" i="39"/>
  <c r="T23" i="48" s="1"/>
  <c r="G12" i="39"/>
  <c r="R23" i="48" s="1"/>
  <c r="F12" i="39"/>
  <c r="P23" i="48" s="1"/>
  <c r="T20" i="48"/>
  <c r="R20" i="48"/>
  <c r="P20" i="48"/>
  <c r="D19" i="48"/>
  <c r="D26" i="48" s="1"/>
  <c r="D18" i="48"/>
  <c r="D25" i="48" s="1"/>
  <c r="D17" i="48"/>
  <c r="D24" i="48" s="1"/>
  <c r="D16" i="48"/>
  <c r="D23" i="48" s="1"/>
  <c r="L15" i="48"/>
  <c r="D15" i="48"/>
  <c r="D22" i="48" s="1"/>
  <c r="L12" i="48"/>
  <c r="L11" i="48"/>
  <c r="L10" i="48"/>
  <c r="L9" i="48"/>
  <c r="L7" i="48"/>
  <c r="L6" i="48"/>
  <c r="H6" i="48"/>
  <c r="G6" i="48"/>
  <c r="F6" i="48"/>
  <c r="N68" i="33"/>
  <c r="P68" i="33"/>
  <c r="AU9" i="47"/>
  <c r="AT9" i="47"/>
  <c r="AS9" i="47"/>
  <c r="AR9" i="47"/>
  <c r="AQ9" i="47"/>
  <c r="AP9" i="47"/>
  <c r="AO9" i="47"/>
  <c r="AN9" i="47"/>
  <c r="AM9" i="47"/>
  <c r="AL9" i="47"/>
  <c r="AK9" i="47"/>
  <c r="AJ9" i="47"/>
  <c r="AI9" i="47"/>
  <c r="AH9" i="47"/>
  <c r="AG9" i="47"/>
  <c r="AF9" i="47"/>
  <c r="AE9" i="47"/>
  <c r="AD9" i="47"/>
  <c r="AC9" i="47"/>
  <c r="AB9" i="47"/>
  <c r="AU8" i="47"/>
  <c r="AT8" i="47"/>
  <c r="AS8" i="47"/>
  <c r="AR8" i="47"/>
  <c r="AQ8" i="47"/>
  <c r="AP8" i="47"/>
  <c r="AO8" i="47"/>
  <c r="AN8" i="47"/>
  <c r="AM8" i="47"/>
  <c r="AL8" i="47"/>
  <c r="AK8" i="47"/>
  <c r="AJ8" i="47"/>
  <c r="AI8" i="47"/>
  <c r="AH8" i="47"/>
  <c r="AG8" i="47"/>
  <c r="AF8" i="47"/>
  <c r="AE8" i="47"/>
  <c r="AD8" i="47"/>
  <c r="AC8" i="47"/>
  <c r="AB8" i="47"/>
  <c r="AS7" i="47"/>
  <c r="AP7" i="47"/>
  <c r="AA24" i="43"/>
  <c r="AB24" i="43"/>
  <c r="AC24" i="43"/>
  <c r="F33" i="43" s="1"/>
  <c r="AE24" i="43"/>
  <c r="AG24" i="43"/>
  <c r="AA25" i="43"/>
  <c r="AA26" i="43"/>
  <c r="AB25" i="43"/>
  <c r="AC25" i="43"/>
  <c r="AC26" i="43"/>
  <c r="AE25" i="43"/>
  <c r="AE26" i="43"/>
  <c r="AG25" i="43"/>
  <c r="A7" i="43"/>
  <c r="A8" i="43"/>
  <c r="A9" i="43"/>
  <c r="W52" i="32"/>
  <c r="AN34" i="43"/>
  <c r="AP34" i="43"/>
  <c r="AQ29" i="43"/>
  <c r="AR34" i="43"/>
  <c r="AS29" i="43"/>
  <c r="AT34" i="43"/>
  <c r="AU29" i="43"/>
  <c r="AW29" i="43"/>
  <c r="AW33" i="43" s="1"/>
  <c r="AN36" i="43"/>
  <c r="AP36" i="43"/>
  <c r="AR36" i="43"/>
  <c r="AT36" i="43"/>
  <c r="AV36" i="43"/>
  <c r="AN37" i="43"/>
  <c r="AP37" i="43"/>
  <c r="AR37" i="43"/>
  <c r="AT37" i="43"/>
  <c r="AV37" i="43"/>
  <c r="AE50" i="32"/>
  <c r="AD50" i="32"/>
  <c r="AC50" i="32"/>
  <c r="AK50" i="32"/>
  <c r="AJ50" i="32"/>
  <c r="AI50" i="32"/>
  <c r="A12" i="43"/>
  <c r="A13" i="43"/>
  <c r="A14" i="43"/>
  <c r="A15" i="43"/>
  <c r="G173" i="39"/>
  <c r="G172" i="39"/>
  <c r="G170" i="39"/>
  <c r="G168" i="39"/>
  <c r="G167" i="39"/>
  <c r="H4" i="31"/>
  <c r="H23" i="31" s="1"/>
  <c r="H74" i="31" s="1"/>
  <c r="I4" i="31"/>
  <c r="I23" i="31" s="1"/>
  <c r="I49" i="31" s="1"/>
  <c r="J4" i="31"/>
  <c r="J23" i="31" s="1"/>
  <c r="F339" i="38"/>
  <c r="N82" i="33"/>
  <c r="N76" i="33"/>
  <c r="G15" i="38" s="1"/>
  <c r="H15" i="38" s="1"/>
  <c r="I15" i="38" s="1"/>
  <c r="J15" i="38" s="1"/>
  <c r="K15" i="38" s="1"/>
  <c r="L15" i="38" s="1"/>
  <c r="M15" i="38" s="1"/>
  <c r="N15" i="38" s="1"/>
  <c r="O15" i="38" s="1"/>
  <c r="P15" i="38" s="1"/>
  <c r="Q15" i="38" s="1"/>
  <c r="R15" i="38" s="1"/>
  <c r="S15" i="38" s="1"/>
  <c r="T15" i="38" s="1"/>
  <c r="U15" i="38" s="1"/>
  <c r="V15" i="38" s="1"/>
  <c r="W15" i="38" s="1"/>
  <c r="X15" i="38" s="1"/>
  <c r="Y15" i="38" s="1"/>
  <c r="Z15" i="38" s="1"/>
  <c r="F140" i="38"/>
  <c r="F234" i="38"/>
  <c r="N81" i="33"/>
  <c r="G240" i="38" s="1"/>
  <c r="H240" i="38" s="1"/>
  <c r="I240" i="38" s="1"/>
  <c r="J240" i="38" s="1"/>
  <c r="K240" i="38" s="1"/>
  <c r="L240" i="38" s="1"/>
  <c r="M240" i="38" s="1"/>
  <c r="N240" i="38" s="1"/>
  <c r="O240" i="38" s="1"/>
  <c r="P240" i="38" s="1"/>
  <c r="Q240" i="38" s="1"/>
  <c r="R240" i="38" s="1"/>
  <c r="S240" i="38" s="1"/>
  <c r="T240" i="38" s="1"/>
  <c r="U240" i="38" s="1"/>
  <c r="V240" i="38" s="1"/>
  <c r="W240" i="38" s="1"/>
  <c r="X240" i="38" s="1"/>
  <c r="Y240" i="38" s="1"/>
  <c r="Z240" i="38" s="1"/>
  <c r="F284" i="38"/>
  <c r="G284" i="38" s="1"/>
  <c r="H284" i="38" s="1"/>
  <c r="I284" i="38" s="1"/>
  <c r="AS9" i="43"/>
  <c r="AS10" i="43"/>
  <c r="AS14" i="43"/>
  <c r="AS15" i="43"/>
  <c r="AS6" i="43"/>
  <c r="AS7" i="43"/>
  <c r="AS11" i="43"/>
  <c r="AS12" i="43"/>
  <c r="AS13" i="43"/>
  <c r="P181" i="33"/>
  <c r="O181" i="33"/>
  <c r="G127" i="39" s="1"/>
  <c r="M4" i="43"/>
  <c r="AP7" i="43"/>
  <c r="N1" i="43"/>
  <c r="N2" i="43" s="1"/>
  <c r="AF11" i="43"/>
  <c r="AA23" i="43"/>
  <c r="AB23" i="43"/>
  <c r="AC23" i="43"/>
  <c r="AD23" i="43"/>
  <c r="AE23" i="43"/>
  <c r="AF9" i="43"/>
  <c r="AF10" i="43"/>
  <c r="AF13" i="43"/>
  <c r="AV13" i="43" s="1"/>
  <c r="AP14" i="43"/>
  <c r="AG23" i="43"/>
  <c r="A6" i="43"/>
  <c r="A10" i="43"/>
  <c r="F124" i="28"/>
  <c r="G12" i="45"/>
  <c r="H12" i="45"/>
  <c r="I12" i="45"/>
  <c r="G13" i="45"/>
  <c r="I13" i="45"/>
  <c r="J13" i="45" s="1"/>
  <c r="E25" i="43"/>
  <c r="E23" i="43"/>
  <c r="G14" i="45"/>
  <c r="H14" i="45"/>
  <c r="H13" i="45"/>
  <c r="I14" i="45"/>
  <c r="J37" i="45"/>
  <c r="J35" i="45"/>
  <c r="J33" i="45"/>
  <c r="H24" i="33"/>
  <c r="H26" i="33" s="1"/>
  <c r="G24" i="33"/>
  <c r="G26" i="33" s="1"/>
  <c r="G28" i="33" s="1"/>
  <c r="F24" i="33"/>
  <c r="F26" i="33" s="1"/>
  <c r="AQ48" i="43"/>
  <c r="G178" i="33"/>
  <c r="H178" i="33" s="1"/>
  <c r="AT15" i="43"/>
  <c r="AQ15" i="43"/>
  <c r="AQ14" i="43"/>
  <c r="AQ13" i="43"/>
  <c r="AQ12" i="43"/>
  <c r="AQ11" i="43"/>
  <c r="AQ10" i="43"/>
  <c r="AQ9" i="43"/>
  <c r="AQ7" i="43"/>
  <c r="AM31" i="43"/>
  <c r="H62" i="33"/>
  <c r="G62" i="33"/>
  <c r="G35" i="33" s="1"/>
  <c r="Q35" i="33"/>
  <c r="Q36" i="33" s="1"/>
  <c r="Z1" i="43"/>
  <c r="Z4" i="43" s="1"/>
  <c r="AP4" i="43" s="1"/>
  <c r="Y4" i="43"/>
  <c r="AO4" i="43" s="1"/>
  <c r="AT13" i="43"/>
  <c r="AR12" i="43"/>
  <c r="AR10" i="43"/>
  <c r="AR8" i="43"/>
  <c r="AR7" i="43"/>
  <c r="AR6" i="43"/>
  <c r="AR9" i="43"/>
  <c r="AV6" i="43"/>
  <c r="AW10" i="43"/>
  <c r="AW9" i="43"/>
  <c r="AW8" i="43"/>
  <c r="AW7" i="43"/>
  <c r="AW6" i="43"/>
  <c r="AU10" i="43"/>
  <c r="AU9" i="43"/>
  <c r="AU8" i="43"/>
  <c r="AU6" i="43"/>
  <c r="AS8" i="43"/>
  <c r="AS24" i="43" s="1"/>
  <c r="AT14" i="43"/>
  <c r="AT12" i="43"/>
  <c r="AT11" i="43"/>
  <c r="AT10" i="43"/>
  <c r="AT9" i="43"/>
  <c r="AT8" i="43"/>
  <c r="AT6" i="43"/>
  <c r="AT7" i="43"/>
  <c r="H26" i="43"/>
  <c r="G26" i="43"/>
  <c r="F26" i="43"/>
  <c r="H25" i="43"/>
  <c r="G25" i="43"/>
  <c r="H24" i="43"/>
  <c r="G24" i="43"/>
  <c r="F24" i="43"/>
  <c r="H23" i="43"/>
  <c r="G23" i="43"/>
  <c r="F23" i="43"/>
  <c r="AA1" i="43"/>
  <c r="H194" i="33"/>
  <c r="H181" i="33"/>
  <c r="G181" i="33"/>
  <c r="E76" i="28"/>
  <c r="F76" i="28" s="1"/>
  <c r="G76" i="28" s="1"/>
  <c r="H76" i="28" s="1"/>
  <c r="I76" i="28" s="1"/>
  <c r="J76" i="28" s="1"/>
  <c r="K76" i="28" s="1"/>
  <c r="L76" i="28" s="1"/>
  <c r="M76" i="28" s="1"/>
  <c r="N76" i="28" s="1"/>
  <c r="E7" i="28"/>
  <c r="F271" i="40"/>
  <c r="G271" i="40" s="1"/>
  <c r="N194" i="33"/>
  <c r="O194" i="33"/>
  <c r="P194" i="33" s="1"/>
  <c r="N193" i="33"/>
  <c r="O193" i="33" s="1"/>
  <c r="P193" i="33" s="1"/>
  <c r="N192" i="33"/>
  <c r="O192" i="33" s="1"/>
  <c r="P192" i="33" s="1"/>
  <c r="D266" i="40"/>
  <c r="O96" i="33"/>
  <c r="P96" i="33" s="1"/>
  <c r="F190" i="41"/>
  <c r="G190" i="41" s="1"/>
  <c r="O97" i="33"/>
  <c r="P97" i="33" s="1"/>
  <c r="O124" i="33"/>
  <c r="P124" i="33" s="1"/>
  <c r="O123" i="33"/>
  <c r="P123" i="33" s="1"/>
  <c r="O122" i="33"/>
  <c r="P122" i="33" s="1"/>
  <c r="O121" i="33"/>
  <c r="P121" i="33" s="1"/>
  <c r="O95" i="33"/>
  <c r="P95" i="33" s="1"/>
  <c r="H80" i="33"/>
  <c r="G76" i="33"/>
  <c r="G72" i="33"/>
  <c r="G68" i="33"/>
  <c r="H68" i="33" s="1"/>
  <c r="G53" i="33"/>
  <c r="G49" i="33"/>
  <c r="G45" i="33"/>
  <c r="G41" i="33"/>
  <c r="G37" i="33"/>
  <c r="G36" i="33" s="1"/>
  <c r="H126" i="33"/>
  <c r="G126" i="33"/>
  <c r="H161" i="33"/>
  <c r="G161" i="33"/>
  <c r="P86" i="33"/>
  <c r="O86" i="33"/>
  <c r="P85" i="33"/>
  <c r="O85" i="33"/>
  <c r="N85" i="33"/>
  <c r="N3" i="31"/>
  <c r="N4" i="31" s="1"/>
  <c r="N23" i="31" s="1"/>
  <c r="H90" i="33"/>
  <c r="G90" i="33"/>
  <c r="F90" i="33"/>
  <c r="H89" i="33"/>
  <c r="G89" i="33"/>
  <c r="F89" i="33"/>
  <c r="F180" i="41"/>
  <c r="F185" i="41" s="1"/>
  <c r="F230" i="41" s="1"/>
  <c r="F166" i="40"/>
  <c r="G166" i="40" s="1"/>
  <c r="H166" i="40" s="1"/>
  <c r="I166" i="40" s="1"/>
  <c r="F140" i="41"/>
  <c r="H202" i="33"/>
  <c r="H189" i="33"/>
  <c r="F116" i="41"/>
  <c r="G116" i="41" s="1"/>
  <c r="F95" i="41"/>
  <c r="G95" i="41" s="1"/>
  <c r="H95" i="41" s="1"/>
  <c r="I95" i="41" s="1"/>
  <c r="F74" i="41"/>
  <c r="G74" i="41" s="1"/>
  <c r="F53" i="41"/>
  <c r="G53" i="41" s="1"/>
  <c r="F30" i="41"/>
  <c r="G30" i="41" s="1"/>
  <c r="H30" i="41" s="1"/>
  <c r="I30" i="41" s="1"/>
  <c r="J30" i="41" s="1"/>
  <c r="K30" i="41" s="1"/>
  <c r="L30" i="41" s="1"/>
  <c r="F7" i="41"/>
  <c r="F226" i="40"/>
  <c r="F261" i="40" s="1"/>
  <c r="F216" i="40"/>
  <c r="G216" i="40" s="1"/>
  <c r="H216" i="40" s="1"/>
  <c r="I216" i="40" s="1"/>
  <c r="F187" i="40"/>
  <c r="G187" i="40" s="1"/>
  <c r="H187" i="40" s="1"/>
  <c r="I187" i="40" s="1"/>
  <c r="J187" i="40" s="1"/>
  <c r="K187" i="40" s="1"/>
  <c r="L187" i="40" s="1"/>
  <c r="M187" i="40" s="1"/>
  <c r="N187" i="40" s="1"/>
  <c r="O187" i="40" s="1"/>
  <c r="P187" i="40" s="1"/>
  <c r="Q187" i="40" s="1"/>
  <c r="R187" i="40" s="1"/>
  <c r="S187" i="40" s="1"/>
  <c r="T187" i="40" s="1"/>
  <c r="U187" i="40" s="1"/>
  <c r="V187" i="40" s="1"/>
  <c r="W187" i="40" s="1"/>
  <c r="X187" i="40" s="1"/>
  <c r="Y187" i="40" s="1"/>
  <c r="Z187" i="40" s="1"/>
  <c r="F139" i="40"/>
  <c r="F115" i="40"/>
  <c r="G115" i="40" s="1"/>
  <c r="H115" i="40" s="1"/>
  <c r="F94" i="40"/>
  <c r="G94" i="40" s="1"/>
  <c r="H94" i="40" s="1"/>
  <c r="I94" i="40" s="1"/>
  <c r="J94" i="40" s="1"/>
  <c r="K94" i="40" s="1"/>
  <c r="L94" i="40" s="1"/>
  <c r="M94" i="40" s="1"/>
  <c r="N94" i="40" s="1"/>
  <c r="O94" i="40" s="1"/>
  <c r="F73" i="40"/>
  <c r="G73" i="40" s="1"/>
  <c r="H73" i="40" s="1"/>
  <c r="I73" i="40" s="1"/>
  <c r="J73" i="40" s="1"/>
  <c r="K73" i="40" s="1"/>
  <c r="F52" i="40"/>
  <c r="G52" i="40" s="1"/>
  <c r="H52" i="40" s="1"/>
  <c r="I52" i="40" s="1"/>
  <c r="F29" i="40"/>
  <c r="G29" i="40" s="1"/>
  <c r="H29" i="40" s="1"/>
  <c r="I29" i="40" s="1"/>
  <c r="J29" i="40" s="1"/>
  <c r="K29" i="40" s="1"/>
  <c r="F6" i="40"/>
  <c r="G6" i="40" s="1"/>
  <c r="H198" i="33"/>
  <c r="H199" i="33" s="1"/>
  <c r="G198" i="33"/>
  <c r="F198" i="33"/>
  <c r="H192" i="33"/>
  <c r="G192" i="33"/>
  <c r="G193" i="33" s="1"/>
  <c r="F192" i="33"/>
  <c r="H185" i="33"/>
  <c r="H186" i="33" s="1"/>
  <c r="G185" i="33"/>
  <c r="G186" i="33" s="1"/>
  <c r="F185" i="33"/>
  <c r="H78" i="33"/>
  <c r="H51" i="33" s="1"/>
  <c r="H52" i="33" s="1"/>
  <c r="G78" i="33"/>
  <c r="G51" i="33" s="1"/>
  <c r="G52" i="33" s="1"/>
  <c r="F78" i="33"/>
  <c r="F51" i="33" s="1"/>
  <c r="F66" i="48"/>
  <c r="F112" i="33"/>
  <c r="F114" i="33" s="1"/>
  <c r="F115" i="33" s="1"/>
  <c r="G112" i="33"/>
  <c r="G114" i="33" s="1"/>
  <c r="G115" i="33" s="1"/>
  <c r="O171" i="33"/>
  <c r="P171" i="33" s="1"/>
  <c r="O170" i="33"/>
  <c r="P170" i="33" s="1"/>
  <c r="O169" i="33"/>
  <c r="P169" i="33" s="1"/>
  <c r="O168" i="33"/>
  <c r="P168" i="33" s="1"/>
  <c r="O167" i="33"/>
  <c r="P167" i="33" s="1"/>
  <c r="P189" i="33"/>
  <c r="O189" i="33"/>
  <c r="N189" i="33"/>
  <c r="F294" i="38"/>
  <c r="F318" i="38" s="1"/>
  <c r="F255" i="38"/>
  <c r="G255" i="38" s="1"/>
  <c r="H255" i="38" s="1"/>
  <c r="I255" i="38" s="1"/>
  <c r="J255" i="38" s="1"/>
  <c r="K255" i="38" s="1"/>
  <c r="L255" i="38" s="1"/>
  <c r="M255" i="38" s="1"/>
  <c r="N255" i="38" s="1"/>
  <c r="O255" i="38" s="1"/>
  <c r="P255" i="38" s="1"/>
  <c r="Q255" i="38" s="1"/>
  <c r="R255" i="38" s="1"/>
  <c r="S255" i="38" s="1"/>
  <c r="T255" i="38" s="1"/>
  <c r="U255" i="38" s="1"/>
  <c r="V255" i="38" s="1"/>
  <c r="W255" i="38" s="1"/>
  <c r="X255" i="38" s="1"/>
  <c r="Y255" i="38" s="1"/>
  <c r="Z255" i="38" s="1"/>
  <c r="F210" i="38"/>
  <c r="G210" i="38" s="1"/>
  <c r="H210" i="38" s="1"/>
  <c r="I210" i="38" s="1"/>
  <c r="J210" i="38" s="1"/>
  <c r="K210" i="38" s="1"/>
  <c r="L210" i="38" s="1"/>
  <c r="M210" i="38" s="1"/>
  <c r="N210" i="38" s="1"/>
  <c r="O210" i="38" s="1"/>
  <c r="P210" i="38" s="1"/>
  <c r="Q210" i="38" s="1"/>
  <c r="R210" i="38" s="1"/>
  <c r="S210" i="38" s="1"/>
  <c r="T210" i="38" s="1"/>
  <c r="U210" i="38" s="1"/>
  <c r="V210" i="38" s="1"/>
  <c r="W210" i="38" s="1"/>
  <c r="X210" i="38" s="1"/>
  <c r="Y210" i="38" s="1"/>
  <c r="Z210" i="38" s="1"/>
  <c r="P82" i="33"/>
  <c r="G124" i="41" s="1"/>
  <c r="H124" i="41" s="1"/>
  <c r="I124" i="41" s="1"/>
  <c r="J124" i="41" s="1"/>
  <c r="K124" i="41" s="1"/>
  <c r="L124" i="41" s="1"/>
  <c r="M124" i="41" s="1"/>
  <c r="N124" i="41" s="1"/>
  <c r="O124" i="41" s="1"/>
  <c r="P124" i="41" s="1"/>
  <c r="Q124" i="41" s="1"/>
  <c r="R124" i="41" s="1"/>
  <c r="S124" i="41" s="1"/>
  <c r="T124" i="41" s="1"/>
  <c r="U124" i="41" s="1"/>
  <c r="V124" i="41" s="1"/>
  <c r="W124" i="41" s="1"/>
  <c r="X124" i="41" s="1"/>
  <c r="Y124" i="41" s="1"/>
  <c r="Z124" i="41" s="1"/>
  <c r="O82" i="33"/>
  <c r="G123" i="40" s="1"/>
  <c r="H123" i="40" s="1"/>
  <c r="I123" i="40" s="1"/>
  <c r="J123" i="40" s="1"/>
  <c r="K123" i="40" s="1"/>
  <c r="L123" i="40" s="1"/>
  <c r="M123" i="40" s="1"/>
  <c r="N123" i="40" s="1"/>
  <c r="O123" i="40" s="1"/>
  <c r="P123" i="40" s="1"/>
  <c r="Q123" i="40" s="1"/>
  <c r="R123" i="40" s="1"/>
  <c r="S123" i="40" s="1"/>
  <c r="T123" i="40" s="1"/>
  <c r="U123" i="40" s="1"/>
  <c r="V123" i="40" s="1"/>
  <c r="W123" i="40" s="1"/>
  <c r="X123" i="40" s="1"/>
  <c r="Y123" i="40" s="1"/>
  <c r="Z123" i="40" s="1"/>
  <c r="P81" i="33"/>
  <c r="O81" i="33"/>
  <c r="G172" i="40" s="1"/>
  <c r="H172" i="40" s="1"/>
  <c r="I172" i="40" s="1"/>
  <c r="J172" i="40" s="1"/>
  <c r="K172" i="40" s="1"/>
  <c r="L172" i="40" s="1"/>
  <c r="M172" i="40" s="1"/>
  <c r="N172" i="40" s="1"/>
  <c r="O172" i="40" s="1"/>
  <c r="P172" i="40" s="1"/>
  <c r="Q172" i="40" s="1"/>
  <c r="R172" i="40" s="1"/>
  <c r="S172" i="40" s="1"/>
  <c r="T172" i="40" s="1"/>
  <c r="U172" i="40" s="1"/>
  <c r="V172" i="40" s="1"/>
  <c r="W172" i="40" s="1"/>
  <c r="X172" i="40" s="1"/>
  <c r="Y172" i="40" s="1"/>
  <c r="Z172" i="40" s="1"/>
  <c r="P80" i="33"/>
  <c r="G101" i="41" s="1"/>
  <c r="H101" i="41" s="1"/>
  <c r="I101" i="41" s="1"/>
  <c r="J101" i="41" s="1"/>
  <c r="K101" i="41" s="1"/>
  <c r="L101" i="41" s="1"/>
  <c r="M101" i="41" s="1"/>
  <c r="N101" i="41" s="1"/>
  <c r="O101" i="41" s="1"/>
  <c r="P101" i="41" s="1"/>
  <c r="Q101" i="41" s="1"/>
  <c r="R101" i="41" s="1"/>
  <c r="S101" i="41" s="1"/>
  <c r="T101" i="41" s="1"/>
  <c r="U101" i="41" s="1"/>
  <c r="V101" i="41" s="1"/>
  <c r="W101" i="41" s="1"/>
  <c r="X101" i="41" s="1"/>
  <c r="Y101" i="41" s="1"/>
  <c r="Z101" i="41" s="1"/>
  <c r="O80" i="33"/>
  <c r="G100" i="40" s="1"/>
  <c r="H100" i="40" s="1"/>
  <c r="I100" i="40" s="1"/>
  <c r="J100" i="40" s="1"/>
  <c r="K100" i="40" s="1"/>
  <c r="L100" i="40" s="1"/>
  <c r="M100" i="40" s="1"/>
  <c r="N100" i="40" s="1"/>
  <c r="O100" i="40" s="1"/>
  <c r="P100" i="40" s="1"/>
  <c r="Q100" i="40" s="1"/>
  <c r="R100" i="40" s="1"/>
  <c r="S100" i="40" s="1"/>
  <c r="T100" i="40" s="1"/>
  <c r="U100" i="40" s="1"/>
  <c r="V100" i="40" s="1"/>
  <c r="W100" i="40" s="1"/>
  <c r="X100" i="40" s="1"/>
  <c r="Y100" i="40" s="1"/>
  <c r="Z100" i="40" s="1"/>
  <c r="N80" i="33"/>
  <c r="P79" i="33"/>
  <c r="G80" i="41" s="1"/>
  <c r="H80" i="41" s="1"/>
  <c r="I80" i="41" s="1"/>
  <c r="J80" i="41" s="1"/>
  <c r="K80" i="41" s="1"/>
  <c r="L80" i="41" s="1"/>
  <c r="M80" i="41" s="1"/>
  <c r="N80" i="41" s="1"/>
  <c r="O80" i="41" s="1"/>
  <c r="P80" i="41" s="1"/>
  <c r="Q80" i="41" s="1"/>
  <c r="R80" i="41" s="1"/>
  <c r="S80" i="41" s="1"/>
  <c r="T80" i="41" s="1"/>
  <c r="U80" i="41" s="1"/>
  <c r="V80" i="41" s="1"/>
  <c r="W80" i="41" s="1"/>
  <c r="X80" i="41" s="1"/>
  <c r="Y80" i="41" s="1"/>
  <c r="Z80" i="41" s="1"/>
  <c r="O79" i="33"/>
  <c r="G79" i="40" s="1"/>
  <c r="H79" i="40" s="1"/>
  <c r="I79" i="40" s="1"/>
  <c r="J79" i="40" s="1"/>
  <c r="K79" i="40" s="1"/>
  <c r="N79" i="33"/>
  <c r="P78" i="33"/>
  <c r="G59" i="41" s="1"/>
  <c r="H59" i="41" s="1"/>
  <c r="I59" i="41" s="1"/>
  <c r="J59" i="41" s="1"/>
  <c r="K59" i="41" s="1"/>
  <c r="L59" i="41" s="1"/>
  <c r="M59" i="41" s="1"/>
  <c r="N59" i="41" s="1"/>
  <c r="O59" i="41" s="1"/>
  <c r="P59" i="41" s="1"/>
  <c r="Q59" i="41" s="1"/>
  <c r="R59" i="41" s="1"/>
  <c r="S59" i="41" s="1"/>
  <c r="T59" i="41" s="1"/>
  <c r="U59" i="41" s="1"/>
  <c r="V59" i="41" s="1"/>
  <c r="W59" i="41" s="1"/>
  <c r="X59" i="41" s="1"/>
  <c r="Y59" i="41" s="1"/>
  <c r="Z59" i="41" s="1"/>
  <c r="O78" i="33"/>
  <c r="G58" i="40" s="1"/>
  <c r="H58" i="40" s="1"/>
  <c r="I58" i="40" s="1"/>
  <c r="J58" i="40" s="1"/>
  <c r="K58" i="40" s="1"/>
  <c r="L58" i="40" s="1"/>
  <c r="M58" i="40" s="1"/>
  <c r="N58" i="40" s="1"/>
  <c r="O58" i="40" s="1"/>
  <c r="P58" i="40" s="1"/>
  <c r="Q58" i="40" s="1"/>
  <c r="R58" i="40" s="1"/>
  <c r="S58" i="40" s="1"/>
  <c r="T58" i="40" s="1"/>
  <c r="U58" i="40" s="1"/>
  <c r="V58" i="40" s="1"/>
  <c r="W58" i="40" s="1"/>
  <c r="X58" i="40" s="1"/>
  <c r="Y58" i="40" s="1"/>
  <c r="Z58" i="40" s="1"/>
  <c r="N78" i="33"/>
  <c r="P77" i="33"/>
  <c r="G38" i="41" s="1"/>
  <c r="H38" i="41" s="1"/>
  <c r="I38" i="41" s="1"/>
  <c r="J38" i="41" s="1"/>
  <c r="K38" i="41" s="1"/>
  <c r="L38" i="41" s="1"/>
  <c r="M38" i="41" s="1"/>
  <c r="N38" i="41" s="1"/>
  <c r="O38" i="41" s="1"/>
  <c r="P38" i="41" s="1"/>
  <c r="Q38" i="41" s="1"/>
  <c r="R38" i="41" s="1"/>
  <c r="S38" i="41" s="1"/>
  <c r="T38" i="41" s="1"/>
  <c r="U38" i="41" s="1"/>
  <c r="V38" i="41" s="1"/>
  <c r="W38" i="41" s="1"/>
  <c r="X38" i="41" s="1"/>
  <c r="Y38" i="41" s="1"/>
  <c r="Z38" i="41" s="1"/>
  <c r="O77" i="33"/>
  <c r="G37" i="40" s="1"/>
  <c r="H37" i="40" s="1"/>
  <c r="I37" i="40" s="1"/>
  <c r="J37" i="40" s="1"/>
  <c r="K37" i="40" s="1"/>
  <c r="L37" i="40" s="1"/>
  <c r="M37" i="40" s="1"/>
  <c r="N37" i="40" s="1"/>
  <c r="O37" i="40" s="1"/>
  <c r="P37" i="40" s="1"/>
  <c r="Q37" i="40" s="1"/>
  <c r="R37" i="40" s="1"/>
  <c r="S37" i="40" s="1"/>
  <c r="T37" i="40" s="1"/>
  <c r="U37" i="40" s="1"/>
  <c r="V37" i="40" s="1"/>
  <c r="W37" i="40" s="1"/>
  <c r="X37" i="40" s="1"/>
  <c r="Y37" i="40" s="1"/>
  <c r="Z37" i="40" s="1"/>
  <c r="N77" i="33"/>
  <c r="P76" i="33"/>
  <c r="G15" i="41" s="1"/>
  <c r="H15" i="41" s="1"/>
  <c r="I15" i="41" s="1"/>
  <c r="J15" i="41" s="1"/>
  <c r="K15" i="41" s="1"/>
  <c r="L15" i="41" s="1"/>
  <c r="M15" i="41" s="1"/>
  <c r="O76" i="33"/>
  <c r="G14" i="40" s="1"/>
  <c r="H14" i="40" s="1"/>
  <c r="I14" i="40" s="1"/>
  <c r="J14" i="40" s="1"/>
  <c r="K14" i="40" s="1"/>
  <c r="L14" i="40" s="1"/>
  <c r="M14" i="40" s="1"/>
  <c r="N14" i="40" s="1"/>
  <c r="O14" i="40" s="1"/>
  <c r="P14" i="40" s="1"/>
  <c r="Q14" i="40" s="1"/>
  <c r="R14" i="40" s="1"/>
  <c r="S14" i="40" s="1"/>
  <c r="T14" i="40" s="1"/>
  <c r="U14" i="40" s="1"/>
  <c r="V14" i="40" s="1"/>
  <c r="W14" i="40" s="1"/>
  <c r="X14" i="40" s="1"/>
  <c r="Y14" i="40" s="1"/>
  <c r="Z14" i="40" s="1"/>
  <c r="D199" i="38"/>
  <c r="D205" i="38"/>
  <c r="D197" i="38"/>
  <c r="D195" i="38"/>
  <c r="D194" i="38"/>
  <c r="D193" i="38"/>
  <c r="D192" i="38"/>
  <c r="D191" i="38"/>
  <c r="D190" i="38"/>
  <c r="D189" i="38"/>
  <c r="D187" i="38"/>
  <c r="D186" i="38"/>
  <c r="F166" i="38"/>
  <c r="G166" i="38" s="1"/>
  <c r="H166" i="38" s="1"/>
  <c r="P67" i="33"/>
  <c r="O67" i="33"/>
  <c r="N67" i="33"/>
  <c r="G172" i="38" s="1"/>
  <c r="H172" i="38" s="1"/>
  <c r="I172" i="38" s="1"/>
  <c r="J172" i="38" s="1"/>
  <c r="K172" i="38" s="1"/>
  <c r="L172" i="38" s="1"/>
  <c r="M172" i="38" s="1"/>
  <c r="N172" i="38" s="1"/>
  <c r="O172" i="38" s="1"/>
  <c r="P172" i="38" s="1"/>
  <c r="Q172" i="38" s="1"/>
  <c r="R172" i="38" s="1"/>
  <c r="S172" i="38" s="1"/>
  <c r="T172" i="38" s="1"/>
  <c r="U172" i="38" s="1"/>
  <c r="V172" i="38" s="1"/>
  <c r="W172" i="38" s="1"/>
  <c r="X172" i="38" s="1"/>
  <c r="Y172" i="38" s="1"/>
  <c r="Z172" i="38" s="1"/>
  <c r="H119" i="33"/>
  <c r="G119" i="33"/>
  <c r="F119" i="33"/>
  <c r="H117" i="33"/>
  <c r="G117" i="33"/>
  <c r="F117" i="33"/>
  <c r="P115" i="33"/>
  <c r="O115" i="33"/>
  <c r="N115" i="33"/>
  <c r="P113" i="33"/>
  <c r="O113" i="33"/>
  <c r="N113" i="33"/>
  <c r="P111" i="33"/>
  <c r="O111" i="33"/>
  <c r="N111" i="33"/>
  <c r="P110" i="33"/>
  <c r="O110" i="33"/>
  <c r="N110" i="33"/>
  <c r="P109" i="33"/>
  <c r="O109" i="33"/>
  <c r="N109" i="33"/>
  <c r="P108" i="33"/>
  <c r="O108" i="33"/>
  <c r="N108" i="33"/>
  <c r="P107" i="33"/>
  <c r="O107" i="33"/>
  <c r="N107" i="33"/>
  <c r="P106" i="33"/>
  <c r="O106" i="33"/>
  <c r="N106" i="33"/>
  <c r="P105" i="33"/>
  <c r="O105" i="33"/>
  <c r="N105" i="33"/>
  <c r="P104" i="33"/>
  <c r="O104" i="33"/>
  <c r="N104" i="33"/>
  <c r="H25" i="39"/>
  <c r="G25" i="39"/>
  <c r="F25" i="39"/>
  <c r="H24" i="39"/>
  <c r="G24" i="39"/>
  <c r="F24" i="39"/>
  <c r="G189" i="33"/>
  <c r="F189" i="33"/>
  <c r="G202" i="33"/>
  <c r="F202" i="33"/>
  <c r="G195" i="33"/>
  <c r="F195" i="33"/>
  <c r="P92" i="33"/>
  <c r="O92" i="33"/>
  <c r="N92" i="33"/>
  <c r="P73" i="33"/>
  <c r="O73" i="33"/>
  <c r="N73" i="33"/>
  <c r="P72" i="33"/>
  <c r="O72" i="33"/>
  <c r="N72" i="33"/>
  <c r="P59" i="33"/>
  <c r="O59" i="33"/>
  <c r="N59" i="33"/>
  <c r="P134" i="33"/>
  <c r="O134" i="33"/>
  <c r="N134" i="33"/>
  <c r="G218" i="33"/>
  <c r="O28" i="33" s="1"/>
  <c r="F218" i="33"/>
  <c r="H216" i="33"/>
  <c r="G216" i="33"/>
  <c r="F216" i="33"/>
  <c r="G212" i="33"/>
  <c r="F212" i="33"/>
  <c r="H208" i="33"/>
  <c r="G208" i="33"/>
  <c r="F208" i="33"/>
  <c r="O50" i="33"/>
  <c r="N50" i="33"/>
  <c r="G199" i="33"/>
  <c r="F199" i="33"/>
  <c r="F186" i="33"/>
  <c r="P20" i="33"/>
  <c r="O20" i="33"/>
  <c r="N20" i="33"/>
  <c r="P135" i="33"/>
  <c r="O135" i="33"/>
  <c r="N135" i="33"/>
  <c r="P74" i="33"/>
  <c r="G123" i="41" s="1"/>
  <c r="H123" i="41" s="1"/>
  <c r="I123" i="41" s="1"/>
  <c r="J123" i="41" s="1"/>
  <c r="K123" i="41" s="1"/>
  <c r="L123" i="41" s="1"/>
  <c r="M123" i="41" s="1"/>
  <c r="N123" i="41" s="1"/>
  <c r="O123" i="41" s="1"/>
  <c r="P123" i="41" s="1"/>
  <c r="Q123" i="41" s="1"/>
  <c r="R123" i="41" s="1"/>
  <c r="S123" i="41" s="1"/>
  <c r="T123" i="41" s="1"/>
  <c r="U123" i="41" s="1"/>
  <c r="V123" i="41" s="1"/>
  <c r="W123" i="41" s="1"/>
  <c r="X123" i="41" s="1"/>
  <c r="Y123" i="41" s="1"/>
  <c r="Z123" i="41" s="1"/>
  <c r="O74" i="33"/>
  <c r="G122" i="40" s="1"/>
  <c r="H122" i="40" s="1"/>
  <c r="I122" i="40" s="1"/>
  <c r="J122" i="40" s="1"/>
  <c r="K122" i="40" s="1"/>
  <c r="L122" i="40" s="1"/>
  <c r="M122" i="40" s="1"/>
  <c r="N122" i="40" s="1"/>
  <c r="O122" i="40" s="1"/>
  <c r="P122" i="40" s="1"/>
  <c r="Q122" i="40" s="1"/>
  <c r="R122" i="40" s="1"/>
  <c r="S122" i="40" s="1"/>
  <c r="T122" i="40" s="1"/>
  <c r="U122" i="40" s="1"/>
  <c r="V122" i="40" s="1"/>
  <c r="W122" i="40" s="1"/>
  <c r="X122" i="40" s="1"/>
  <c r="Y122" i="40" s="1"/>
  <c r="Z122" i="40" s="1"/>
  <c r="N74" i="33"/>
  <c r="P60" i="33"/>
  <c r="O60" i="33"/>
  <c r="N60" i="33"/>
  <c r="H175" i="33"/>
  <c r="G175" i="33"/>
  <c r="F175" i="33"/>
  <c r="H112" i="33"/>
  <c r="H114" i="33" s="1"/>
  <c r="H115" i="33" s="1"/>
  <c r="H106" i="33"/>
  <c r="G106" i="33"/>
  <c r="F106" i="33"/>
  <c r="H103" i="33"/>
  <c r="G103" i="33"/>
  <c r="F103" i="33"/>
  <c r="J2" i="32"/>
  <c r="J28" i="32" s="1"/>
  <c r="I2" i="32"/>
  <c r="I6" i="32" s="1"/>
  <c r="H2" i="32"/>
  <c r="H28" i="32" s="1"/>
  <c r="P138" i="33"/>
  <c r="O138" i="33"/>
  <c r="N138" i="33"/>
  <c r="P126" i="33"/>
  <c r="O126" i="33"/>
  <c r="N126" i="33"/>
  <c r="P52" i="33"/>
  <c r="O52" i="33"/>
  <c r="N52" i="33"/>
  <c r="H158" i="33"/>
  <c r="G158" i="33"/>
  <c r="F158" i="33"/>
  <c r="H140" i="33"/>
  <c r="G140" i="33"/>
  <c r="F140" i="33"/>
  <c r="H123" i="33"/>
  <c r="G123" i="33"/>
  <c r="F123" i="33"/>
  <c r="H60" i="33"/>
  <c r="G60" i="33"/>
  <c r="F60" i="33"/>
  <c r="H33" i="33"/>
  <c r="G33" i="33"/>
  <c r="F33" i="33"/>
  <c r="E22" i="33"/>
  <c r="P145" i="33"/>
  <c r="O145" i="33"/>
  <c r="N145" i="33"/>
  <c r="H170" i="33"/>
  <c r="G170" i="33"/>
  <c r="F170" i="33"/>
  <c r="H166" i="33"/>
  <c r="G166" i="33"/>
  <c r="F166" i="33"/>
  <c r="G154" i="33"/>
  <c r="O26" i="33" s="1"/>
  <c r="H152" i="33"/>
  <c r="G152" i="33"/>
  <c r="G148" i="33"/>
  <c r="H144" i="33"/>
  <c r="G144" i="33"/>
  <c r="H135" i="33"/>
  <c r="G135" i="33"/>
  <c r="P185" i="33"/>
  <c r="J21" i="32" s="1"/>
  <c r="O185" i="33"/>
  <c r="N185" i="33"/>
  <c r="H21" i="32" s="1"/>
  <c r="H298" i="38" s="1"/>
  <c r="H131" i="33"/>
  <c r="G131" i="33"/>
  <c r="F131" i="33"/>
  <c r="H96" i="33"/>
  <c r="H95" i="33" s="1"/>
  <c r="H94" i="48" s="1"/>
  <c r="G96" i="33"/>
  <c r="F96" i="33"/>
  <c r="F95" i="33" s="1"/>
  <c r="H94" i="33"/>
  <c r="G94" i="33"/>
  <c r="F94" i="33"/>
  <c r="P136" i="33"/>
  <c r="O136" i="33"/>
  <c r="P133" i="33"/>
  <c r="O133" i="33"/>
  <c r="N133" i="33"/>
  <c r="P132" i="33"/>
  <c r="O132" i="33"/>
  <c r="N132" i="33"/>
  <c r="P131" i="33"/>
  <c r="O131" i="33"/>
  <c r="N131" i="33"/>
  <c r="P130" i="33"/>
  <c r="O130" i="33"/>
  <c r="N130" i="33"/>
  <c r="P129" i="33"/>
  <c r="O129" i="33"/>
  <c r="N129" i="33"/>
  <c r="P128" i="33"/>
  <c r="O128" i="33"/>
  <c r="N128" i="33"/>
  <c r="H74" i="33"/>
  <c r="H47" i="33" s="1"/>
  <c r="G74" i="33"/>
  <c r="G47" i="33" s="1"/>
  <c r="F74" i="33"/>
  <c r="F75" i="33" s="1"/>
  <c r="F65" i="48" s="1"/>
  <c r="H70" i="33"/>
  <c r="H43" i="33"/>
  <c r="G70" i="33"/>
  <c r="F70" i="33"/>
  <c r="F71" i="33" s="1"/>
  <c r="F64" i="48" s="1"/>
  <c r="P102" i="33"/>
  <c r="O102" i="33"/>
  <c r="N102" i="33"/>
  <c r="H66" i="33"/>
  <c r="H39" i="33" s="1"/>
  <c r="G66" i="33"/>
  <c r="G39" i="33" s="1"/>
  <c r="P101" i="33"/>
  <c r="O101" i="33"/>
  <c r="N101" i="33"/>
  <c r="P91" i="33"/>
  <c r="O91" i="33"/>
  <c r="N91" i="33"/>
  <c r="P90" i="33"/>
  <c r="O90" i="33"/>
  <c r="N90" i="33"/>
  <c r="P71" i="33"/>
  <c r="O71" i="33"/>
  <c r="N71" i="33"/>
  <c r="P70" i="33"/>
  <c r="O70" i="33"/>
  <c r="N70" i="33"/>
  <c r="P69" i="33"/>
  <c r="O69" i="33"/>
  <c r="N69" i="33"/>
  <c r="O68" i="33"/>
  <c r="P66" i="33"/>
  <c r="O66" i="33"/>
  <c r="N66" i="33"/>
  <c r="P65" i="33"/>
  <c r="O65" i="33"/>
  <c r="N65" i="33"/>
  <c r="P64" i="33"/>
  <c r="G37" i="41" s="1"/>
  <c r="H37" i="41" s="1"/>
  <c r="I37" i="41" s="1"/>
  <c r="J37" i="41" s="1"/>
  <c r="K37" i="41" s="1"/>
  <c r="L37" i="41" s="1"/>
  <c r="M37" i="41" s="1"/>
  <c r="N37" i="41" s="1"/>
  <c r="O37" i="41" s="1"/>
  <c r="P37" i="41" s="1"/>
  <c r="Q37" i="41" s="1"/>
  <c r="R37" i="41" s="1"/>
  <c r="S37" i="41" s="1"/>
  <c r="T37" i="41" s="1"/>
  <c r="U37" i="41" s="1"/>
  <c r="V37" i="41" s="1"/>
  <c r="W37" i="41" s="1"/>
  <c r="X37" i="41" s="1"/>
  <c r="Y37" i="41" s="1"/>
  <c r="Z37" i="41" s="1"/>
  <c r="O64" i="33"/>
  <c r="G36" i="40" s="1"/>
  <c r="H36" i="40" s="1"/>
  <c r="I36" i="40" s="1"/>
  <c r="J36" i="40" s="1"/>
  <c r="K36" i="40" s="1"/>
  <c r="L36" i="40" s="1"/>
  <c r="M36" i="40" s="1"/>
  <c r="N36" i="40" s="1"/>
  <c r="O36" i="40" s="1"/>
  <c r="P36" i="40" s="1"/>
  <c r="Q36" i="40" s="1"/>
  <c r="R36" i="40" s="1"/>
  <c r="S36" i="40" s="1"/>
  <c r="T36" i="40" s="1"/>
  <c r="U36" i="40" s="1"/>
  <c r="V36" i="40" s="1"/>
  <c r="W36" i="40" s="1"/>
  <c r="X36" i="40" s="1"/>
  <c r="Y36" i="40" s="1"/>
  <c r="Z36" i="40" s="1"/>
  <c r="N64" i="33"/>
  <c r="P63" i="33"/>
  <c r="G14" i="41" s="1"/>
  <c r="H14" i="41" s="1"/>
  <c r="I14" i="41" s="1"/>
  <c r="J14" i="41" s="1"/>
  <c r="K14" i="41" s="1"/>
  <c r="L14" i="41" s="1"/>
  <c r="M14" i="41" s="1"/>
  <c r="N14" i="41" s="1"/>
  <c r="O14" i="41" s="1"/>
  <c r="P14" i="41" s="1"/>
  <c r="Q14" i="41" s="1"/>
  <c r="R14" i="41" s="1"/>
  <c r="S14" i="41" s="1"/>
  <c r="T14" i="41" s="1"/>
  <c r="U14" i="41" s="1"/>
  <c r="V14" i="41" s="1"/>
  <c r="W14" i="41" s="1"/>
  <c r="X14" i="41" s="1"/>
  <c r="Y14" i="41" s="1"/>
  <c r="Z14" i="41" s="1"/>
  <c r="O63" i="33"/>
  <c r="G13" i="40" s="1"/>
  <c r="H13" i="40" s="1"/>
  <c r="I13" i="40" s="1"/>
  <c r="J13" i="40" s="1"/>
  <c r="K13" i="40" s="1"/>
  <c r="L13" i="40" s="1"/>
  <c r="M13" i="40" s="1"/>
  <c r="N13" i="40" s="1"/>
  <c r="O13" i="40" s="1"/>
  <c r="P13" i="40" s="1"/>
  <c r="Q13" i="40" s="1"/>
  <c r="R13" i="40" s="1"/>
  <c r="S13" i="40" s="1"/>
  <c r="T13" i="40" s="1"/>
  <c r="U13" i="40" s="1"/>
  <c r="V13" i="40" s="1"/>
  <c r="W13" i="40" s="1"/>
  <c r="X13" i="40" s="1"/>
  <c r="Y13" i="40" s="1"/>
  <c r="Z13" i="40" s="1"/>
  <c r="N63" i="33"/>
  <c r="G14" i="38" s="1"/>
  <c r="H14" i="38" s="1"/>
  <c r="I14" i="38" s="1"/>
  <c r="J14" i="38" s="1"/>
  <c r="K14" i="38" s="1"/>
  <c r="L14" i="38" s="1"/>
  <c r="M14" i="38" s="1"/>
  <c r="N14" i="38" s="1"/>
  <c r="O14" i="38" s="1"/>
  <c r="P14" i="38" s="1"/>
  <c r="Q14" i="38" s="1"/>
  <c r="R14" i="38" s="1"/>
  <c r="S14" i="38" s="1"/>
  <c r="T14" i="38" s="1"/>
  <c r="U14" i="38" s="1"/>
  <c r="V14" i="38" s="1"/>
  <c r="W14" i="38" s="1"/>
  <c r="X14" i="38" s="1"/>
  <c r="Y14" i="38" s="1"/>
  <c r="Z14" i="38" s="1"/>
  <c r="P58" i="33"/>
  <c r="O58" i="33"/>
  <c r="N58" i="33"/>
  <c r="P57" i="33"/>
  <c r="O57" i="33"/>
  <c r="N57" i="33"/>
  <c r="P56" i="33"/>
  <c r="O56" i="33"/>
  <c r="N56" i="33"/>
  <c r="P55" i="33"/>
  <c r="O55" i="33"/>
  <c r="N55" i="33"/>
  <c r="P54" i="33"/>
  <c r="O54" i="33"/>
  <c r="N54" i="33"/>
  <c r="H29" i="33"/>
  <c r="G29" i="33"/>
  <c r="F29" i="33"/>
  <c r="G63" i="33"/>
  <c r="G12" i="32"/>
  <c r="G11" i="32"/>
  <c r="K25" i="43"/>
  <c r="G77" i="31"/>
  <c r="F6" i="28"/>
  <c r="G6" i="28" s="1"/>
  <c r="H6" i="28" s="1"/>
  <c r="I6" i="28" s="1"/>
  <c r="J6" i="28" s="1"/>
  <c r="K6" i="28" s="1"/>
  <c r="L6" i="28" s="1"/>
  <c r="M6" i="28" s="1"/>
  <c r="N6" i="28" s="1"/>
  <c r="K26" i="43"/>
  <c r="AW11" i="43"/>
  <c r="AW12" i="43"/>
  <c r="AW13" i="43"/>
  <c r="AW14" i="43"/>
  <c r="AW15" i="43"/>
  <c r="AW26" i="43" s="1"/>
  <c r="AR11" i="43"/>
  <c r="AR13" i="43"/>
  <c r="AR14" i="43"/>
  <c r="AR24" i="43" s="1"/>
  <c r="AR15" i="43"/>
  <c r="AU11" i="43"/>
  <c r="AU12" i="43"/>
  <c r="AU13" i="43"/>
  <c r="AU14" i="43"/>
  <c r="AU15" i="43"/>
  <c r="W53" i="32"/>
  <c r="N4" i="43"/>
  <c r="AT26" i="43"/>
  <c r="H160" i="33" s="1"/>
  <c r="O1" i="43"/>
  <c r="F69" i="48"/>
  <c r="AS26" i="43"/>
  <c r="H146" i="33" s="1"/>
  <c r="F47" i="33"/>
  <c r="F48" i="33" s="1"/>
  <c r="F72" i="48" s="1"/>
  <c r="H35" i="33"/>
  <c r="H63" i="33"/>
  <c r="N36" i="33"/>
  <c r="H14" i="31" s="1"/>
  <c r="H99" i="39" s="1"/>
  <c r="F62" i="48"/>
  <c r="H53" i="33"/>
  <c r="AQ25" i="43"/>
  <c r="G125" i="33" s="1"/>
  <c r="G217" i="33"/>
  <c r="F193" i="33"/>
  <c r="F205" i="33" s="1"/>
  <c r="G226" i="40"/>
  <c r="G250" i="40" s="1"/>
  <c r="F250" i="40"/>
  <c r="J9" i="32"/>
  <c r="T59" i="48" s="1"/>
  <c r="G8" i="48"/>
  <c r="AV10" i="43"/>
  <c r="AB26" i="43"/>
  <c r="I9" i="32"/>
  <c r="AB1" i="43"/>
  <c r="AC1" i="43" s="1"/>
  <c r="AD1" i="43" s="1"/>
  <c r="AA4" i="43"/>
  <c r="AQ4" i="43" s="1"/>
  <c r="AP9" i="43"/>
  <c r="AV9" i="43"/>
  <c r="AP8" i="43"/>
  <c r="AV8" i="43"/>
  <c r="F152" i="33"/>
  <c r="AQ26" i="43"/>
  <c r="H125" i="33" s="1"/>
  <c r="G156" i="39"/>
  <c r="Z57" i="32"/>
  <c r="H7" i="48"/>
  <c r="AG26" i="43"/>
  <c r="AQ24" i="43"/>
  <c r="AF25" i="43"/>
  <c r="AO11" i="43"/>
  <c r="AV11" i="43"/>
  <c r="AP11" i="43"/>
  <c r="AO15" i="43"/>
  <c r="G171" i="39"/>
  <c r="G113" i="39"/>
  <c r="G142" i="39"/>
  <c r="AO8" i="43"/>
  <c r="AO13" i="43"/>
  <c r="G166" i="39"/>
  <c r="G137" i="39"/>
  <c r="G139" i="39"/>
  <c r="AX4" i="31"/>
  <c r="AX23" i="31" s="1"/>
  <c r="AY3" i="31"/>
  <c r="AZ3" i="31" s="1"/>
  <c r="AR26" i="43"/>
  <c r="AO44" i="43" s="1"/>
  <c r="H93" i="33" s="1"/>
  <c r="H18" i="52" l="1"/>
  <c r="H63" i="52" s="1"/>
  <c r="H343" i="38"/>
  <c r="G159" i="39"/>
  <c r="H194" i="41"/>
  <c r="T70" i="48"/>
  <c r="G191" i="41"/>
  <c r="G219" i="33"/>
  <c r="H190" i="41"/>
  <c r="G225" i="41"/>
  <c r="G220" i="41"/>
  <c r="G214" i="41"/>
  <c r="F225" i="41"/>
  <c r="F220" i="41"/>
  <c r="F235" i="41"/>
  <c r="G235" i="41" s="1"/>
  <c r="H235" i="41" s="1"/>
  <c r="I235" i="41" s="1"/>
  <c r="J235" i="41" s="1"/>
  <c r="K235" i="41" s="1"/>
  <c r="L235" i="41" s="1"/>
  <c r="M235" i="41" s="1"/>
  <c r="N235" i="41" s="1"/>
  <c r="O235" i="41" s="1"/>
  <c r="P235" i="41" s="1"/>
  <c r="Q235" i="41" s="1"/>
  <c r="R235" i="41" s="1"/>
  <c r="S235" i="41" s="1"/>
  <c r="T235" i="41" s="1"/>
  <c r="U235" i="41" s="1"/>
  <c r="V235" i="41" s="1"/>
  <c r="W235" i="41" s="1"/>
  <c r="X235" i="41" s="1"/>
  <c r="Y235" i="41" s="1"/>
  <c r="Z235" i="41" s="1"/>
  <c r="F214" i="41"/>
  <c r="R70" i="48"/>
  <c r="D227" i="40"/>
  <c r="P70" i="48"/>
  <c r="F15" i="52"/>
  <c r="F60" i="52" s="1"/>
  <c r="H226" i="40"/>
  <c r="I226" i="40" s="1"/>
  <c r="I250" i="40" s="1"/>
  <c r="J12" i="45"/>
  <c r="N17" i="43"/>
  <c r="N18" i="43"/>
  <c r="M17" i="43"/>
  <c r="M18" i="43"/>
  <c r="F125" i="33"/>
  <c r="F32" i="48" s="1"/>
  <c r="G104" i="38"/>
  <c r="F104" i="38"/>
  <c r="H104" i="38"/>
  <c r="F105" i="38"/>
  <c r="H105" i="38"/>
  <c r="G105" i="38"/>
  <c r="Z105" i="38"/>
  <c r="N105" i="38"/>
  <c r="X105" i="38"/>
  <c r="R105" i="38"/>
  <c r="L105" i="38"/>
  <c r="Y105" i="38"/>
  <c r="U105" i="38"/>
  <c r="Q105" i="38"/>
  <c r="M105" i="38"/>
  <c r="J105" i="38"/>
  <c r="P105" i="38"/>
  <c r="I105" i="38"/>
  <c r="S105" i="38"/>
  <c r="O105" i="38"/>
  <c r="T105" i="38"/>
  <c r="V105" i="38"/>
  <c r="W105" i="38"/>
  <c r="K105" i="38"/>
  <c r="L79" i="40"/>
  <c r="M79" i="40" s="1"/>
  <c r="N79" i="40" s="1"/>
  <c r="O79" i="40" s="1"/>
  <c r="P79" i="40" s="1"/>
  <c r="Q79" i="40" s="1"/>
  <c r="R79" i="40" s="1"/>
  <c r="S79" i="40" s="1"/>
  <c r="T79" i="40" s="1"/>
  <c r="U79" i="40" s="1"/>
  <c r="V79" i="40" s="1"/>
  <c r="W79" i="40" s="1"/>
  <c r="X79" i="40" s="1"/>
  <c r="Y79" i="40" s="1"/>
  <c r="Z79" i="40" s="1"/>
  <c r="F141" i="33"/>
  <c r="F142" i="33"/>
  <c r="G41" i="38"/>
  <c r="F41" i="38"/>
  <c r="H41" i="38"/>
  <c r="AF23" i="43"/>
  <c r="I288" i="38"/>
  <c r="AM37" i="43"/>
  <c r="AT24" i="43"/>
  <c r="AV14" i="43"/>
  <c r="M15" i="43"/>
  <c r="N16" i="43"/>
  <c r="N15" i="43"/>
  <c r="AV15" i="43"/>
  <c r="AP15" i="43"/>
  <c r="AL15" i="43" s="1"/>
  <c r="AV7" i="43"/>
  <c r="AV24" i="43" s="1"/>
  <c r="T72" i="48"/>
  <c r="F7" i="48"/>
  <c r="G127" i="33"/>
  <c r="G136" i="33" s="1"/>
  <c r="F217" i="33"/>
  <c r="AF24" i="43"/>
  <c r="AO7" i="43"/>
  <c r="X56" i="32"/>
  <c r="N15" i="41"/>
  <c r="O15" i="41" s="1"/>
  <c r="P15" i="41" s="1"/>
  <c r="Q15" i="41" s="1"/>
  <c r="R15" i="41" s="1"/>
  <c r="S15" i="41" s="1"/>
  <c r="T15" i="41" s="1"/>
  <c r="U15" i="41" s="1"/>
  <c r="V15" i="41" s="1"/>
  <c r="W15" i="41" s="1"/>
  <c r="X15" i="41" s="1"/>
  <c r="Y15" i="41" s="1"/>
  <c r="Z15" i="41" s="1"/>
  <c r="AF26" i="43"/>
  <c r="H127" i="33"/>
  <c r="H136" i="33" s="1"/>
  <c r="G7" i="48"/>
  <c r="AV12" i="43"/>
  <c r="E33" i="48"/>
  <c r="AO12" i="43"/>
  <c r="F221" i="40"/>
  <c r="F219" i="40"/>
  <c r="F264" i="40" s="1"/>
  <c r="G20" i="45"/>
  <c r="G21" i="45" s="1"/>
  <c r="H8" i="48"/>
  <c r="H28" i="33"/>
  <c r="F31" i="41" s="1"/>
  <c r="F32" i="41" s="1"/>
  <c r="Z56" i="32"/>
  <c r="F7" i="28"/>
  <c r="G7" i="28" s="1"/>
  <c r="N114" i="41"/>
  <c r="V114" i="41"/>
  <c r="O114" i="41"/>
  <c r="W114" i="41"/>
  <c r="I114" i="41"/>
  <c r="Q114" i="41"/>
  <c r="Y114" i="41"/>
  <c r="J114" i="41"/>
  <c r="R114" i="41"/>
  <c r="Z114" i="41"/>
  <c r="X114" i="41"/>
  <c r="K114" i="41"/>
  <c r="S114" i="41"/>
  <c r="P114" i="41"/>
  <c r="L114" i="41"/>
  <c r="T114" i="41"/>
  <c r="M114" i="41"/>
  <c r="U114" i="41"/>
  <c r="J52" i="40"/>
  <c r="K52" i="40" s="1"/>
  <c r="L52" i="40" s="1"/>
  <c r="L53" i="40" s="1"/>
  <c r="P36" i="33"/>
  <c r="J14" i="31" s="1"/>
  <c r="AW14" i="31" s="1"/>
  <c r="O131" i="38"/>
  <c r="G75" i="41"/>
  <c r="H28" i="38"/>
  <c r="F28" i="38"/>
  <c r="T23" i="32"/>
  <c r="T93" i="48" s="1"/>
  <c r="L84" i="38"/>
  <c r="Z84" i="38"/>
  <c r="J84" i="38"/>
  <c r="O84" i="38"/>
  <c r="V84" i="38"/>
  <c r="T84" i="38"/>
  <c r="R84" i="38"/>
  <c r="K84" i="38"/>
  <c r="X84" i="38"/>
  <c r="Q84" i="38"/>
  <c r="W84" i="38"/>
  <c r="S84" i="38"/>
  <c r="Y84" i="38"/>
  <c r="M84" i="38"/>
  <c r="N84" i="38"/>
  <c r="U84" i="38"/>
  <c r="P84" i="38"/>
  <c r="AY4" i="31"/>
  <c r="AY23" i="31" s="1"/>
  <c r="AY49" i="31" s="1"/>
  <c r="N30" i="33"/>
  <c r="F186" i="41"/>
  <c r="F231" i="41" s="1"/>
  <c r="AB4" i="43"/>
  <c r="AR4" i="43" s="1"/>
  <c r="G153" i="33"/>
  <c r="G155" i="33" s="1"/>
  <c r="T43" i="48"/>
  <c r="H55" i="39"/>
  <c r="H58" i="39" s="1"/>
  <c r="F43" i="33"/>
  <c r="F44" i="33" s="1"/>
  <c r="F71" i="48" s="1"/>
  <c r="R34" i="48"/>
  <c r="G39" i="39"/>
  <c r="G42" i="39" s="1"/>
  <c r="F160" i="33"/>
  <c r="G256" i="40"/>
  <c r="F256" i="40"/>
  <c r="G261" i="40"/>
  <c r="F222" i="40"/>
  <c r="F267" i="40" s="1"/>
  <c r="H28" i="31"/>
  <c r="H32" i="31" s="1"/>
  <c r="O3" i="31"/>
  <c r="P72" i="48"/>
  <c r="AA3" i="31"/>
  <c r="G9" i="32"/>
  <c r="AD4" i="43"/>
  <c r="AT4" i="43" s="1"/>
  <c r="Z10" i="43"/>
  <c r="Y10" i="43"/>
  <c r="AU26" i="43"/>
  <c r="H210" i="33" s="1"/>
  <c r="H218" i="33" s="1"/>
  <c r="E218" i="33" s="1"/>
  <c r="AU25" i="43"/>
  <c r="N10" i="43"/>
  <c r="AN15" i="43"/>
  <c r="AS23" i="43"/>
  <c r="G32" i="48"/>
  <c r="G34" i="48" s="1"/>
  <c r="AV26" i="43"/>
  <c r="G137" i="33"/>
  <c r="O24" i="33" s="1"/>
  <c r="H137" i="33"/>
  <c r="AL7" i="43"/>
  <c r="AE1" i="43"/>
  <c r="AE4" i="43" s="1"/>
  <c r="AU4" i="43" s="1"/>
  <c r="AS4" i="43"/>
  <c r="AN8" i="43"/>
  <c r="AT25" i="43"/>
  <c r="G160" i="33" s="1"/>
  <c r="G172" i="33" s="1"/>
  <c r="O27" i="33" s="1"/>
  <c r="O36" i="33"/>
  <c r="I14" i="31" s="1"/>
  <c r="H128" i="39" s="1"/>
  <c r="H51" i="48"/>
  <c r="E51" i="48" s="1"/>
  <c r="H148" i="33"/>
  <c r="H153" i="33" s="1"/>
  <c r="AN11" i="43"/>
  <c r="Y25" i="43"/>
  <c r="O34" i="33" s="1"/>
  <c r="I12" i="31" s="1"/>
  <c r="I36" i="31" s="1"/>
  <c r="AJ36" i="31" s="1"/>
  <c r="AJ45" i="31" s="1"/>
  <c r="AO9" i="43"/>
  <c r="AN9" i="43" s="1"/>
  <c r="AL11" i="43"/>
  <c r="AN7" i="43"/>
  <c r="J34" i="45"/>
  <c r="H16" i="45"/>
  <c r="AL8" i="43"/>
  <c r="R59" i="48"/>
  <c r="H32" i="48"/>
  <c r="H34" i="48" s="1"/>
  <c r="H154" i="33"/>
  <c r="P26" i="33" s="1"/>
  <c r="AE56" i="32"/>
  <c r="F75" i="41"/>
  <c r="F76" i="41" s="1"/>
  <c r="H104" i="33"/>
  <c r="G205" i="33"/>
  <c r="O30" i="33" s="1"/>
  <c r="F219" i="33"/>
  <c r="H37" i="33"/>
  <c r="H36" i="33" s="1"/>
  <c r="AW4" i="31"/>
  <c r="AW23" i="31" s="1"/>
  <c r="AW27" i="31" s="1"/>
  <c r="M13" i="43"/>
  <c r="Z34" i="31"/>
  <c r="AV49" i="31"/>
  <c r="F28" i="33"/>
  <c r="F9" i="48" s="1"/>
  <c r="F8" i="48"/>
  <c r="M12" i="43"/>
  <c r="AU27" i="31"/>
  <c r="AU34" i="31"/>
  <c r="G29" i="31"/>
  <c r="AP6" i="43"/>
  <c r="M6" i="43"/>
  <c r="AO42" i="43"/>
  <c r="F52" i="33"/>
  <c r="F73" i="48" s="1"/>
  <c r="H41" i="33"/>
  <c r="H40" i="33" s="1"/>
  <c r="G40" i="33"/>
  <c r="H45" i="33"/>
  <c r="H44" i="33" s="1"/>
  <c r="H49" i="33"/>
  <c r="H48" i="33" s="1"/>
  <c r="G48" i="33"/>
  <c r="H67" i="33"/>
  <c r="G67" i="33"/>
  <c r="H72" i="33"/>
  <c r="H71" i="33" s="1"/>
  <c r="G71" i="33"/>
  <c r="H76" i="33"/>
  <c r="H75" i="33" s="1"/>
  <c r="G75" i="33"/>
  <c r="AW37" i="43"/>
  <c r="H50" i="33" s="1"/>
  <c r="H26" i="48" s="1"/>
  <c r="AW36" i="43"/>
  <c r="AW34" i="43"/>
  <c r="AU23" i="43"/>
  <c r="AU24" i="43"/>
  <c r="AR25" i="43"/>
  <c r="AO43" i="43" s="1"/>
  <c r="G93" i="33" s="1"/>
  <c r="G46" i="48" s="1"/>
  <c r="AW24" i="43"/>
  <c r="AQ49" i="43" s="1"/>
  <c r="G95" i="33"/>
  <c r="G94" i="48" s="1"/>
  <c r="G104" i="33"/>
  <c r="G107" i="33"/>
  <c r="H107" i="33"/>
  <c r="E115" i="33"/>
  <c r="D126" i="28"/>
  <c r="N14" i="43"/>
  <c r="AS25" i="43"/>
  <c r="F156" i="38"/>
  <c r="F175" i="38"/>
  <c r="AM36" i="43"/>
  <c r="AM34" i="43"/>
  <c r="AU49" i="31"/>
  <c r="AU67" i="31"/>
  <c r="AU74" i="31"/>
  <c r="AV79" i="31"/>
  <c r="Z49" i="31"/>
  <c r="AV27" i="31"/>
  <c r="AV34" i="31"/>
  <c r="Z67" i="31"/>
  <c r="AV74" i="31"/>
  <c r="Z79" i="31"/>
  <c r="Z74" i="31"/>
  <c r="G101" i="39"/>
  <c r="G21" i="32"/>
  <c r="K128" i="28" s="1"/>
  <c r="R23" i="32"/>
  <c r="G294" i="38"/>
  <c r="F141" i="40"/>
  <c r="F149" i="40" s="1"/>
  <c r="F324" i="38"/>
  <c r="I27" i="31"/>
  <c r="Y56" i="32"/>
  <c r="I79" i="31"/>
  <c r="F329" i="38"/>
  <c r="G139" i="40"/>
  <c r="G155" i="40" s="1"/>
  <c r="F117" i="41"/>
  <c r="F120" i="41" s="1"/>
  <c r="I67" i="31"/>
  <c r="I74" i="31"/>
  <c r="F290" i="38"/>
  <c r="F10" i="52" s="1"/>
  <c r="F55" i="52" s="1"/>
  <c r="R72" i="48"/>
  <c r="F289" i="38"/>
  <c r="F9" i="52" s="1"/>
  <c r="S23" i="32"/>
  <c r="R93" i="48" s="1"/>
  <c r="L6" i="31"/>
  <c r="F183" i="41"/>
  <c r="F228" i="41" s="1"/>
  <c r="I34" i="31"/>
  <c r="G180" i="41"/>
  <c r="H180" i="41" s="1"/>
  <c r="I180" i="41" s="1"/>
  <c r="G31" i="41"/>
  <c r="H34" i="31"/>
  <c r="G115" i="39"/>
  <c r="L5" i="31"/>
  <c r="G144" i="39"/>
  <c r="H79" i="31"/>
  <c r="Y57" i="32"/>
  <c r="I217" i="40"/>
  <c r="I262" i="40" s="1"/>
  <c r="J216" i="40"/>
  <c r="I219" i="40"/>
  <c r="I264" i="40" s="1"/>
  <c r="I218" i="40"/>
  <c r="I222" i="40"/>
  <c r="I267" i="40" s="1"/>
  <c r="I220" i="40"/>
  <c r="I265" i="40" s="1"/>
  <c r="I221" i="40"/>
  <c r="F189" i="40"/>
  <c r="F142" i="38"/>
  <c r="F150" i="38" s="1"/>
  <c r="F1" i="40"/>
  <c r="G1" i="40" s="1"/>
  <c r="G130" i="39"/>
  <c r="F212" i="38"/>
  <c r="F214" i="38" s="1"/>
  <c r="F216" i="38" s="1"/>
  <c r="F217" i="38" s="1"/>
  <c r="F257" i="38"/>
  <c r="F265" i="38" s="1"/>
  <c r="G138" i="39"/>
  <c r="I16" i="32"/>
  <c r="G140" i="38"/>
  <c r="G156" i="38" s="1"/>
  <c r="G109" i="39"/>
  <c r="F155" i="40"/>
  <c r="S28" i="32"/>
  <c r="I256" i="40"/>
  <c r="I28" i="32"/>
  <c r="I261" i="40"/>
  <c r="I38" i="32"/>
  <c r="G110" i="39"/>
  <c r="H271" i="40"/>
  <c r="S16" i="32"/>
  <c r="H81" i="48"/>
  <c r="L7" i="31"/>
  <c r="H53" i="48"/>
  <c r="D46" i="48"/>
  <c r="F171" i="38"/>
  <c r="F173" i="38" s="1"/>
  <c r="H6" i="40"/>
  <c r="I6" i="40" s="1"/>
  <c r="G5" i="40"/>
  <c r="H30" i="40"/>
  <c r="F5" i="40"/>
  <c r="F156" i="41"/>
  <c r="H74" i="41"/>
  <c r="G112" i="39"/>
  <c r="G96" i="41"/>
  <c r="G19" i="32"/>
  <c r="F142" i="41"/>
  <c r="F150" i="41" s="1"/>
  <c r="G140" i="41"/>
  <c r="H38" i="32"/>
  <c r="F2" i="41"/>
  <c r="G7" i="41"/>
  <c r="G8" i="41" s="1"/>
  <c r="F3" i="41"/>
  <c r="F6" i="41"/>
  <c r="I115" i="40"/>
  <c r="J115" i="40" s="1"/>
  <c r="K115" i="40" s="1"/>
  <c r="H116" i="40"/>
  <c r="F8" i="41"/>
  <c r="F9" i="41" s="1"/>
  <c r="I290" i="38"/>
  <c r="I335" i="38" s="1"/>
  <c r="D334" i="38" s="1"/>
  <c r="I285" i="38"/>
  <c r="I330" i="38" s="1"/>
  <c r="I289" i="38"/>
  <c r="J284" i="38"/>
  <c r="J288" i="38" s="1"/>
  <c r="I286" i="38"/>
  <c r="I331" i="38" s="1"/>
  <c r="I333" i="38"/>
  <c r="I287" i="38"/>
  <c r="I332" i="38" s="1"/>
  <c r="L29" i="40"/>
  <c r="K30" i="40"/>
  <c r="I166" i="38"/>
  <c r="J166" i="38" s="1"/>
  <c r="H167" i="38"/>
  <c r="J34" i="31"/>
  <c r="J49" i="31"/>
  <c r="J74" i="31"/>
  <c r="J27" i="31"/>
  <c r="J79" i="31"/>
  <c r="J67" i="31"/>
  <c r="I190" i="41"/>
  <c r="H53" i="41"/>
  <c r="G54" i="41"/>
  <c r="T94" i="48"/>
  <c r="AE57" i="32"/>
  <c r="G234" i="38"/>
  <c r="F235" i="38"/>
  <c r="F236" i="38" s="1"/>
  <c r="H67" i="31"/>
  <c r="H27" i="31"/>
  <c r="H49" i="31"/>
  <c r="H116" i="41"/>
  <c r="I116" i="41" s="1"/>
  <c r="J116" i="41" s="1"/>
  <c r="G117" i="41"/>
  <c r="J166" i="40"/>
  <c r="I167" i="40"/>
  <c r="H99" i="33"/>
  <c r="P25" i="33" s="1"/>
  <c r="H47" i="48"/>
  <c r="H48" i="48" s="1"/>
  <c r="H98" i="33"/>
  <c r="H100" i="33"/>
  <c r="P48" i="33" s="1"/>
  <c r="H108" i="33"/>
  <c r="L73" i="40"/>
  <c r="M73" i="40" s="1"/>
  <c r="N73" i="40" s="1"/>
  <c r="O73" i="40" s="1"/>
  <c r="K74" i="40"/>
  <c r="G140" i="39"/>
  <c r="G111" i="39"/>
  <c r="G169" i="39"/>
  <c r="AQ51" i="43"/>
  <c r="H191" i="33" s="1"/>
  <c r="H193" i="33" s="1"/>
  <c r="H205" i="33" s="1"/>
  <c r="R28" i="32"/>
  <c r="H16" i="32"/>
  <c r="H6" i="32"/>
  <c r="R16" i="32"/>
  <c r="AJ27" i="31"/>
  <c r="AJ49" i="31"/>
  <c r="AJ67" i="31"/>
  <c r="AJ74" i="31"/>
  <c r="AJ34" i="31"/>
  <c r="M27" i="31"/>
  <c r="M49" i="31"/>
  <c r="M79" i="31"/>
  <c r="M34" i="31"/>
  <c r="M67" i="31"/>
  <c r="N7" i="43"/>
  <c r="M7" i="43"/>
  <c r="N11" i="43"/>
  <c r="H38" i="31"/>
  <c r="AA38" i="31" s="1"/>
  <c r="AA45" i="31" s="1"/>
  <c r="M9" i="43"/>
  <c r="N9" i="43"/>
  <c r="N8" i="43"/>
  <c r="M11" i="43"/>
  <c r="M8" i="43"/>
  <c r="AX74" i="31"/>
  <c r="AX79" i="31"/>
  <c r="AX67" i="31"/>
  <c r="AX27" i="31"/>
  <c r="AX34" i="31"/>
  <c r="AX49" i="31"/>
  <c r="N74" i="31"/>
  <c r="N34" i="31"/>
  <c r="N49" i="31"/>
  <c r="N27" i="31"/>
  <c r="N67" i="31"/>
  <c r="N79" i="31"/>
  <c r="Y79" i="31"/>
  <c r="Y67" i="31"/>
  <c r="Y49" i="31"/>
  <c r="Y74" i="31"/>
  <c r="Y34" i="31"/>
  <c r="Y27" i="31"/>
  <c r="AA14" i="31"/>
  <c r="BA3" i="31"/>
  <c r="AZ4" i="31"/>
  <c r="AZ23" i="31" s="1"/>
  <c r="K31" i="41"/>
  <c r="M30" i="41"/>
  <c r="L31" i="41"/>
  <c r="P1" i="43"/>
  <c r="O2" i="43"/>
  <c r="O18" i="43" s="1"/>
  <c r="O4" i="43"/>
  <c r="AO25" i="43"/>
  <c r="AO36" i="43" s="1"/>
  <c r="G34" i="33" s="1"/>
  <c r="G22" i="48" s="1"/>
  <c r="H162" i="33"/>
  <c r="H171" i="33" s="1"/>
  <c r="H172" i="33"/>
  <c r="P27" i="33" s="1"/>
  <c r="J95" i="41"/>
  <c r="AP12" i="43"/>
  <c r="N12" i="43"/>
  <c r="H36" i="48"/>
  <c r="H37" i="48" s="1"/>
  <c r="AR23" i="43"/>
  <c r="F2" i="42"/>
  <c r="H30" i="33"/>
  <c r="G30" i="33"/>
  <c r="F30" i="33"/>
  <c r="E14" i="46"/>
  <c r="AW23" i="43"/>
  <c r="AW25" i="43"/>
  <c r="AQ50" i="43" s="1"/>
  <c r="F95" i="40"/>
  <c r="F96" i="40" s="1"/>
  <c r="H74" i="40"/>
  <c r="I74" i="40"/>
  <c r="F74" i="40"/>
  <c r="F75" i="40" s="1"/>
  <c r="G95" i="40"/>
  <c r="F2" i="40"/>
  <c r="G53" i="40"/>
  <c r="G9" i="48"/>
  <c r="H95" i="40"/>
  <c r="L95" i="40"/>
  <c r="K95" i="40"/>
  <c r="J74" i="40"/>
  <c r="H53" i="40"/>
  <c r="G167" i="40"/>
  <c r="F30" i="40"/>
  <c r="F31" i="40" s="1"/>
  <c r="F167" i="40"/>
  <c r="F168" i="40" s="1"/>
  <c r="H167" i="40"/>
  <c r="G116" i="40"/>
  <c r="F53" i="40"/>
  <c r="F54" i="40" s="1"/>
  <c r="M95" i="40"/>
  <c r="G74" i="40"/>
  <c r="F7" i="40"/>
  <c r="F8" i="40" s="1"/>
  <c r="G7" i="40"/>
  <c r="N95" i="40"/>
  <c r="H96" i="41"/>
  <c r="F39" i="33"/>
  <c r="P94" i="40"/>
  <c r="O95" i="40"/>
  <c r="G43" i="33"/>
  <c r="G44" i="33" s="1"/>
  <c r="F107" i="33"/>
  <c r="F104" i="33"/>
  <c r="T28" i="32"/>
  <c r="T16" i="32"/>
  <c r="J38" i="32"/>
  <c r="J6" i="32"/>
  <c r="J16" i="32"/>
  <c r="H9" i="48"/>
  <c r="F97" i="41"/>
  <c r="H31" i="41"/>
  <c r="F54" i="41"/>
  <c r="F55" i="41" s="1"/>
  <c r="G30" i="40"/>
  <c r="F116" i="40"/>
  <c r="F119" i="40" s="1"/>
  <c r="G339" i="38"/>
  <c r="AT23" i="43"/>
  <c r="K24" i="43"/>
  <c r="AL3" i="31"/>
  <c r="AK4" i="31"/>
  <c r="AK23" i="31" s="1"/>
  <c r="AQ23" i="43"/>
  <c r="R24" i="33" s="1"/>
  <c r="Q37" i="33"/>
  <c r="P35" i="33"/>
  <c r="J13" i="31" s="1"/>
  <c r="I16" i="45"/>
  <c r="G236" i="41" l="1"/>
  <c r="D236" i="41" s="1"/>
  <c r="J15" i="52"/>
  <c r="J60" i="52" s="1"/>
  <c r="AD56" i="32"/>
  <c r="H239" i="41"/>
  <c r="D239" i="41" s="1"/>
  <c r="K18" i="52"/>
  <c r="K63" i="52" s="1"/>
  <c r="D60" i="52"/>
  <c r="I263" i="40"/>
  <c r="F335" i="38"/>
  <c r="I214" i="41"/>
  <c r="I220" i="41"/>
  <c r="I225" i="41"/>
  <c r="H225" i="41"/>
  <c r="H214" i="41"/>
  <c r="H220" i="41"/>
  <c r="H139" i="40"/>
  <c r="H141" i="40" s="1"/>
  <c r="H149" i="40" s="1"/>
  <c r="H261" i="40"/>
  <c r="J226" i="40"/>
  <c r="K226" i="40" s="1"/>
  <c r="K256" i="40" s="1"/>
  <c r="H256" i="40"/>
  <c r="H250" i="40"/>
  <c r="J28" i="31"/>
  <c r="I20" i="45"/>
  <c r="I21" i="45" s="1"/>
  <c r="J16" i="45"/>
  <c r="J20" i="45" s="1"/>
  <c r="J21" i="45" s="1"/>
  <c r="O16" i="43"/>
  <c r="O17" i="43"/>
  <c r="Q23" i="32"/>
  <c r="AO10" i="43"/>
  <c r="Y23" i="43"/>
  <c r="F162" i="33"/>
  <c r="F171" i="33" s="1"/>
  <c r="L103" i="38" s="1"/>
  <c r="F36" i="48"/>
  <c r="F8" i="38"/>
  <c r="F9" i="38" s="1"/>
  <c r="W8" i="38"/>
  <c r="S8" i="38"/>
  <c r="O8" i="38"/>
  <c r="K8" i="38"/>
  <c r="Z8" i="38"/>
  <c r="V8" i="38"/>
  <c r="R8" i="38"/>
  <c r="N8" i="38"/>
  <c r="Y31" i="38"/>
  <c r="U31" i="38"/>
  <c r="Q31" i="38"/>
  <c r="M31" i="38"/>
  <c r="G31" i="38"/>
  <c r="X54" i="38"/>
  <c r="T54" i="38"/>
  <c r="P54" i="38"/>
  <c r="L54" i="38"/>
  <c r="F54" i="38"/>
  <c r="F55" i="38" s="1"/>
  <c r="W96" i="38"/>
  <c r="S96" i="38"/>
  <c r="O96" i="38"/>
  <c r="K96" i="38"/>
  <c r="Z117" i="38"/>
  <c r="V117" i="38"/>
  <c r="R117" i="38"/>
  <c r="N117" i="38"/>
  <c r="H117" i="38"/>
  <c r="Z31" i="38"/>
  <c r="V31" i="38"/>
  <c r="R31" i="38"/>
  <c r="N31" i="38"/>
  <c r="H31" i="38"/>
  <c r="Y54" i="38"/>
  <c r="U54" i="38"/>
  <c r="Q54" i="38"/>
  <c r="M54" i="38"/>
  <c r="G54" i="38"/>
  <c r="X96" i="38"/>
  <c r="T96" i="38"/>
  <c r="P96" i="38"/>
  <c r="L96" i="38"/>
  <c r="F96" i="38"/>
  <c r="F97" i="38" s="1"/>
  <c r="W117" i="38"/>
  <c r="S117" i="38"/>
  <c r="O117" i="38"/>
  <c r="K117" i="38"/>
  <c r="I182" i="41"/>
  <c r="I227" i="41" s="1"/>
  <c r="I185" i="41"/>
  <c r="I230" i="41" s="1"/>
  <c r="AO51" i="43"/>
  <c r="H177" i="33" s="1"/>
  <c r="H55" i="48" s="1"/>
  <c r="Z24" i="43"/>
  <c r="N35" i="33" s="1"/>
  <c r="H13" i="31" s="1"/>
  <c r="Z23" i="43"/>
  <c r="AO49" i="43"/>
  <c r="H8" i="38"/>
  <c r="Y8" i="38"/>
  <c r="U8" i="38"/>
  <c r="Q8" i="38"/>
  <c r="M8" i="38"/>
  <c r="G8" i="38"/>
  <c r="X8" i="38"/>
  <c r="T8" i="38"/>
  <c r="P8" i="38"/>
  <c r="L8" i="38"/>
  <c r="W31" i="38"/>
  <c r="S31" i="38"/>
  <c r="O31" i="38"/>
  <c r="K31" i="38"/>
  <c r="Z54" i="38"/>
  <c r="V54" i="38"/>
  <c r="R54" i="38"/>
  <c r="N54" i="38"/>
  <c r="H54" i="38"/>
  <c r="Y96" i="38"/>
  <c r="U96" i="38"/>
  <c r="Q96" i="38"/>
  <c r="M96" i="38"/>
  <c r="G96" i="38"/>
  <c r="X117" i="38"/>
  <c r="T117" i="38"/>
  <c r="P117" i="38"/>
  <c r="L117" i="38"/>
  <c r="F117" i="38"/>
  <c r="F120" i="38" s="1"/>
  <c r="X31" i="38"/>
  <c r="T31" i="38"/>
  <c r="P31" i="38"/>
  <c r="L31" i="38"/>
  <c r="F31" i="38"/>
  <c r="F32" i="38" s="1"/>
  <c r="W54" i="38"/>
  <c r="S54" i="38"/>
  <c r="O54" i="38"/>
  <c r="K54" i="38"/>
  <c r="Z96" i="38"/>
  <c r="V96" i="38"/>
  <c r="R96" i="38"/>
  <c r="N96" i="38"/>
  <c r="H96" i="38"/>
  <c r="Y117" i="38"/>
  <c r="U117" i="38"/>
  <c r="Q117" i="38"/>
  <c r="M117" i="38"/>
  <c r="G117" i="38"/>
  <c r="W56" i="32"/>
  <c r="H138" i="33"/>
  <c r="P24" i="33"/>
  <c r="AL9" i="43"/>
  <c r="H212" i="33"/>
  <c r="H217" i="33" s="1"/>
  <c r="H39" i="48"/>
  <c r="G32" i="41"/>
  <c r="H32" i="41" s="1"/>
  <c r="J38" i="31"/>
  <c r="AW38" i="31" s="1"/>
  <c r="AW45" i="31" s="1"/>
  <c r="H157" i="39"/>
  <c r="H30" i="32"/>
  <c r="P78" i="48" s="1"/>
  <c r="H5" i="40"/>
  <c r="I28" i="31"/>
  <c r="I32" i="31" s="1"/>
  <c r="I30" i="32" s="1"/>
  <c r="R78" i="48" s="1"/>
  <c r="H20" i="45"/>
  <c r="H21" i="45" s="1"/>
  <c r="AY67" i="31"/>
  <c r="AY27" i="31"/>
  <c r="AY74" i="31"/>
  <c r="AY79" i="31"/>
  <c r="AY34" i="31"/>
  <c r="F154" i="33"/>
  <c r="I75" i="38" s="1"/>
  <c r="I76" i="38" s="1"/>
  <c r="I87" i="38" s="1"/>
  <c r="I89" i="38" s="1"/>
  <c r="I84" i="38" s="1"/>
  <c r="F153" i="33"/>
  <c r="E153" i="33" s="1"/>
  <c r="H7" i="28"/>
  <c r="F127" i="28"/>
  <c r="I53" i="40"/>
  <c r="P131" i="38"/>
  <c r="H7" i="41"/>
  <c r="I7" i="41" s="1"/>
  <c r="G6" i="41"/>
  <c r="F103" i="41"/>
  <c r="U103" i="38"/>
  <c r="Z103" i="38"/>
  <c r="F172" i="33"/>
  <c r="F87" i="41"/>
  <c r="G2" i="40"/>
  <c r="H2" i="40" s="1"/>
  <c r="I2" i="40" s="1"/>
  <c r="G72" i="39"/>
  <c r="O4" i="31"/>
  <c r="O23" i="31" s="1"/>
  <c r="P3" i="31"/>
  <c r="AB3" i="31"/>
  <c r="AA4" i="31"/>
  <c r="AA23" i="31" s="1"/>
  <c r="F93" i="33"/>
  <c r="F100" i="33" s="1"/>
  <c r="N48" i="33" s="1"/>
  <c r="M10" i="43"/>
  <c r="P34" i="33"/>
  <c r="AF1" i="43"/>
  <c r="AG1" i="43" s="1"/>
  <c r="AG4" i="43" s="1"/>
  <c r="P28" i="33"/>
  <c r="M28" i="33" s="1"/>
  <c r="AP10" i="43"/>
  <c r="AP24" i="43" s="1"/>
  <c r="I95" i="40"/>
  <c r="J95" i="40"/>
  <c r="G162" i="33"/>
  <c r="G171" i="33" s="1"/>
  <c r="G173" i="33" s="1"/>
  <c r="F50" i="48"/>
  <c r="E50" i="48" s="1"/>
  <c r="N6" i="43"/>
  <c r="G76" i="41"/>
  <c r="G87" i="41" s="1"/>
  <c r="J53" i="40"/>
  <c r="G138" i="33"/>
  <c r="G108" i="33"/>
  <c r="H155" i="33"/>
  <c r="G36" i="48"/>
  <c r="G37" i="48" s="1"/>
  <c r="H126" i="39"/>
  <c r="I38" i="31"/>
  <c r="AL38" i="31" s="1"/>
  <c r="AL45" i="31" s="1"/>
  <c r="G14" i="31"/>
  <c r="O14" i="31" s="1"/>
  <c r="M36" i="33"/>
  <c r="AL14" i="31"/>
  <c r="G99" i="33"/>
  <c r="O25" i="33" s="1"/>
  <c r="G100" i="33"/>
  <c r="O48" i="33" s="1"/>
  <c r="AO45" i="43"/>
  <c r="G98" i="33"/>
  <c r="AJ12" i="31"/>
  <c r="G120" i="41"/>
  <c r="H179" i="33"/>
  <c r="H204" i="33" s="1"/>
  <c r="J117" i="41" s="1"/>
  <c r="AW34" i="31"/>
  <c r="AW79" i="31"/>
  <c r="AW67" i="31"/>
  <c r="AW49" i="31"/>
  <c r="AW74" i="31"/>
  <c r="G3" i="41"/>
  <c r="D131" i="28"/>
  <c r="F167" i="38"/>
  <c r="F168" i="38" s="1"/>
  <c r="G167" i="38"/>
  <c r="E32" i="48"/>
  <c r="E34" i="48" s="1"/>
  <c r="F127" i="33"/>
  <c r="F136" i="33" s="1"/>
  <c r="F137" i="33"/>
  <c r="F40" i="33"/>
  <c r="F70" i="48" s="1"/>
  <c r="I24" i="31"/>
  <c r="H173" i="33"/>
  <c r="F176" i="38"/>
  <c r="M128" i="28"/>
  <c r="AO14" i="43"/>
  <c r="M14" i="43"/>
  <c r="Y24" i="43"/>
  <c r="F37" i="43"/>
  <c r="I184" i="41"/>
  <c r="I229" i="41" s="1"/>
  <c r="I183" i="41"/>
  <c r="I228" i="41" s="1"/>
  <c r="I186" i="41"/>
  <c r="I231" i="41" s="1"/>
  <c r="H1" i="40"/>
  <c r="I181" i="41"/>
  <c r="J180" i="41"/>
  <c r="H7" i="40"/>
  <c r="G257" i="38"/>
  <c r="G265" i="38" s="1"/>
  <c r="G324" i="38"/>
  <c r="G329" i="38"/>
  <c r="G318" i="38"/>
  <c r="H294" i="38"/>
  <c r="G2" i="41"/>
  <c r="G58" i="41" s="1"/>
  <c r="G189" i="40"/>
  <c r="G197" i="40" s="1"/>
  <c r="AC56" i="32"/>
  <c r="AB56" i="32" s="1"/>
  <c r="P93" i="48"/>
  <c r="H140" i="38"/>
  <c r="H212" i="38" s="1"/>
  <c r="H220" i="38" s="1"/>
  <c r="G141" i="40"/>
  <c r="G149" i="40" s="1"/>
  <c r="G212" i="38"/>
  <c r="G220" i="38" s="1"/>
  <c r="G142" i="38"/>
  <c r="G150" i="38" s="1"/>
  <c r="H56" i="48"/>
  <c r="E56" i="48" s="1"/>
  <c r="H195" i="33"/>
  <c r="F259" i="38"/>
  <c r="F261" i="38" s="1"/>
  <c r="F262" i="38" s="1"/>
  <c r="I167" i="38"/>
  <c r="P50" i="33"/>
  <c r="M50" i="33" s="1"/>
  <c r="K53" i="40"/>
  <c r="E47" i="48"/>
  <c r="J217" i="40"/>
  <c r="J262" i="40" s="1"/>
  <c r="J220" i="40"/>
  <c r="J265" i="40" s="1"/>
  <c r="J222" i="40"/>
  <c r="J267" i="40" s="1"/>
  <c r="K216" i="40"/>
  <c r="J218" i="40"/>
  <c r="J221" i="40"/>
  <c r="J219" i="40"/>
  <c r="J264" i="40" s="1"/>
  <c r="N74" i="40"/>
  <c r="G211" i="38"/>
  <c r="M74" i="40"/>
  <c r="L74" i="40"/>
  <c r="F191" i="40"/>
  <c r="F197" i="40"/>
  <c r="F220" i="38"/>
  <c r="I271" i="40"/>
  <c r="H117" i="41"/>
  <c r="G99" i="40"/>
  <c r="G78" i="40"/>
  <c r="G171" i="40"/>
  <c r="G57" i="40"/>
  <c r="G142" i="41"/>
  <c r="G150" i="41" s="1"/>
  <c r="G156" i="41"/>
  <c r="H140" i="41"/>
  <c r="H155" i="41" s="1"/>
  <c r="H166" i="41" s="1"/>
  <c r="H221" i="41" s="1"/>
  <c r="M52" i="40"/>
  <c r="M53" i="40" s="1"/>
  <c r="H101" i="33"/>
  <c r="H155" i="40"/>
  <c r="H189" i="40"/>
  <c r="H197" i="40" s="1"/>
  <c r="I139" i="40"/>
  <c r="J139" i="40" s="1"/>
  <c r="J157" i="40" s="1"/>
  <c r="H75" i="41"/>
  <c r="I74" i="41"/>
  <c r="R94" i="48"/>
  <c r="AD57" i="32"/>
  <c r="K116" i="41"/>
  <c r="I53" i="41"/>
  <c r="H54" i="41"/>
  <c r="F247" i="38"/>
  <c r="AQ52" i="43"/>
  <c r="J6" i="40"/>
  <c r="I5" i="40"/>
  <c r="I1" i="40"/>
  <c r="G235" i="38"/>
  <c r="G236" i="38" s="1"/>
  <c r="H234" i="38"/>
  <c r="K166" i="38"/>
  <c r="J167" i="38"/>
  <c r="J289" i="38"/>
  <c r="J9" i="52" s="1"/>
  <c r="J290" i="38"/>
  <c r="J335" i="38" s="1"/>
  <c r="J333" i="38"/>
  <c r="K284" i="38"/>
  <c r="K288" i="38" s="1"/>
  <c r="J285" i="38"/>
  <c r="J330" i="38" s="1"/>
  <c r="J287" i="38"/>
  <c r="J332" i="38" s="1"/>
  <c r="J286" i="38"/>
  <c r="J331" i="38" s="1"/>
  <c r="P30" i="33"/>
  <c r="M30" i="33" s="1"/>
  <c r="E205" i="33"/>
  <c r="M29" i="40"/>
  <c r="L30" i="40"/>
  <c r="K166" i="40"/>
  <c r="J167" i="40"/>
  <c r="J190" i="41"/>
  <c r="L115" i="40"/>
  <c r="K116" i="40"/>
  <c r="M25" i="43"/>
  <c r="M26" i="43"/>
  <c r="N24" i="43"/>
  <c r="F63" i="48"/>
  <c r="G168" i="40"/>
  <c r="F179" i="40"/>
  <c r="AU36" i="43"/>
  <c r="G46" i="33" s="1"/>
  <c r="G25" i="48" s="1"/>
  <c r="AS36" i="43"/>
  <c r="G42" i="33" s="1"/>
  <c r="G24" i="48" s="1"/>
  <c r="AQ36" i="43"/>
  <c r="G38" i="33" s="1"/>
  <c r="G23" i="48" s="1"/>
  <c r="BB3" i="31"/>
  <c r="BA4" i="31"/>
  <c r="BA23" i="31" s="1"/>
  <c r="H8" i="41"/>
  <c r="AL4" i="31"/>
  <c r="AL23" i="31" s="1"/>
  <c r="AM3" i="31"/>
  <c r="F65" i="40"/>
  <c r="G54" i="40"/>
  <c r="G31" i="40"/>
  <c r="G75" i="40"/>
  <c r="F86" i="40"/>
  <c r="K95" i="41"/>
  <c r="G48" i="48"/>
  <c r="E46" i="48"/>
  <c r="M31" i="41"/>
  <c r="N30" i="41"/>
  <c r="H339" i="38"/>
  <c r="F129" i="28"/>
  <c r="G55" i="41"/>
  <c r="F66" i="41"/>
  <c r="F37" i="48"/>
  <c r="J24" i="31"/>
  <c r="AV25" i="43"/>
  <c r="AO50" i="43" s="1"/>
  <c r="AV23" i="43"/>
  <c r="J32" i="31"/>
  <c r="J30" i="32" s="1"/>
  <c r="T78" i="48" s="1"/>
  <c r="G97" i="41"/>
  <c r="F108" i="41"/>
  <c r="G158" i="38"/>
  <c r="F158" i="38"/>
  <c r="F225" i="38"/>
  <c r="F270" i="38"/>
  <c r="F227" i="38"/>
  <c r="G225" i="38"/>
  <c r="F272" i="38"/>
  <c r="F10" i="48"/>
  <c r="G155" i="38"/>
  <c r="G272" i="38"/>
  <c r="G227" i="38"/>
  <c r="G270" i="38"/>
  <c r="F155" i="38"/>
  <c r="AK34" i="31"/>
  <c r="AK67" i="31"/>
  <c r="AK27" i="31"/>
  <c r="AK74" i="31"/>
  <c r="AK79" i="31"/>
  <c r="AK49" i="31"/>
  <c r="G8" i="40"/>
  <c r="G10" i="48"/>
  <c r="F202" i="40"/>
  <c r="F157" i="40"/>
  <c r="F154" i="40"/>
  <c r="F204" i="40"/>
  <c r="G204" i="40"/>
  <c r="H202" i="40"/>
  <c r="G154" i="40"/>
  <c r="G157" i="40"/>
  <c r="G202" i="40"/>
  <c r="H154" i="40"/>
  <c r="H157" i="40"/>
  <c r="H204" i="40"/>
  <c r="P73" i="40"/>
  <c r="O74" i="40"/>
  <c r="O12" i="43"/>
  <c r="O13" i="43"/>
  <c r="O10" i="43"/>
  <c r="O7" i="43"/>
  <c r="O8" i="43"/>
  <c r="O6" i="43"/>
  <c r="O14" i="43"/>
  <c r="O9" i="43"/>
  <c r="O11" i="43"/>
  <c r="O15" i="43"/>
  <c r="F107" i="40"/>
  <c r="G96" i="40"/>
  <c r="F155" i="41"/>
  <c r="F166" i="41" s="1"/>
  <c r="F221" i="41" s="1"/>
  <c r="F158" i="41"/>
  <c r="F168" i="41" s="1"/>
  <c r="G155" i="41"/>
  <c r="G166" i="41" s="1"/>
  <c r="G221" i="41" s="1"/>
  <c r="G158" i="41"/>
  <c r="G168" i="41" s="1"/>
  <c r="H10" i="48"/>
  <c r="AL12" i="43"/>
  <c r="AN12" i="43"/>
  <c r="P59" i="48"/>
  <c r="O59" i="48" s="1"/>
  <c r="F287" i="38"/>
  <c r="F7" i="52" s="1"/>
  <c r="F52" i="52" s="1"/>
  <c r="P2" i="43"/>
  <c r="P18" i="43" s="1"/>
  <c r="P4" i="43"/>
  <c r="Q1" i="43"/>
  <c r="R25" i="33"/>
  <c r="N37" i="33"/>
  <c r="P37" i="33"/>
  <c r="J15" i="31" s="1"/>
  <c r="O37" i="33"/>
  <c r="I15" i="31" s="1"/>
  <c r="Q38" i="33"/>
  <c r="F94" i="48"/>
  <c r="F98" i="33"/>
  <c r="P95" i="40"/>
  <c r="Q94" i="40"/>
  <c r="F47" i="42"/>
  <c r="G3" i="47"/>
  <c r="F1" i="42"/>
  <c r="G2" i="42"/>
  <c r="E217" i="33"/>
  <c r="E219" i="33" s="1"/>
  <c r="F87" i="48" s="1"/>
  <c r="H219" i="33"/>
  <c r="G9" i="41"/>
  <c r="AP13" i="43"/>
  <c r="AP23" i="43" s="1"/>
  <c r="R23" i="33" s="1"/>
  <c r="N13" i="43"/>
  <c r="H25" i="31"/>
  <c r="H7" i="32" s="1"/>
  <c r="G119" i="40"/>
  <c r="F108" i="33"/>
  <c r="H40" i="48"/>
  <c r="E39" i="48"/>
  <c r="E40" i="48" s="1"/>
  <c r="H156" i="39"/>
  <c r="AV13" i="31"/>
  <c r="J37" i="31"/>
  <c r="AV37" i="31" s="1"/>
  <c r="AV45" i="31" s="1"/>
  <c r="AZ74" i="31"/>
  <c r="AZ79" i="31"/>
  <c r="AZ67" i="31"/>
  <c r="AZ34" i="31"/>
  <c r="AZ27" i="31"/>
  <c r="AZ49" i="31"/>
  <c r="H182" i="33" l="1"/>
  <c r="H203" i="33" s="1"/>
  <c r="H206" i="33" s="1"/>
  <c r="P49" i="33"/>
  <c r="K103" i="38"/>
  <c r="Y103" i="38"/>
  <c r="V103" i="38"/>
  <c r="Q103" i="38"/>
  <c r="R103" i="38"/>
  <c r="M103" i="38"/>
  <c r="N103" i="38"/>
  <c r="X103" i="38"/>
  <c r="X104" i="38" s="1"/>
  <c r="X106" i="38" s="1"/>
  <c r="X112" i="38" s="1"/>
  <c r="J103" i="38"/>
  <c r="T103" i="38"/>
  <c r="S103" i="38"/>
  <c r="I103" i="38"/>
  <c r="P103" i="38"/>
  <c r="O103" i="38"/>
  <c r="W103" i="38"/>
  <c r="F99" i="33"/>
  <c r="N25" i="33" s="1"/>
  <c r="M25" i="33" s="1"/>
  <c r="S25" i="33" s="1"/>
  <c r="J263" i="40"/>
  <c r="K250" i="40"/>
  <c r="J256" i="40"/>
  <c r="I226" i="41"/>
  <c r="J214" i="41"/>
  <c r="J220" i="41"/>
  <c r="J225" i="41"/>
  <c r="H158" i="41"/>
  <c r="H168" i="41" s="1"/>
  <c r="H78" i="40"/>
  <c r="I78" i="40" s="1"/>
  <c r="H99" i="40"/>
  <c r="H6" i="41"/>
  <c r="H3" i="41"/>
  <c r="I3" i="41" s="1"/>
  <c r="J261" i="40"/>
  <c r="K261" i="40"/>
  <c r="J250" i="40"/>
  <c r="L226" i="40"/>
  <c r="M226" i="40" s="1"/>
  <c r="M256" i="40" s="1"/>
  <c r="J202" i="40"/>
  <c r="J203" i="40" s="1"/>
  <c r="J154" i="40"/>
  <c r="I154" i="40"/>
  <c r="I156" i="40" s="1"/>
  <c r="J204" i="40"/>
  <c r="H57" i="40"/>
  <c r="I57" i="40" s="1"/>
  <c r="I202" i="40"/>
  <c r="H171" i="40"/>
  <c r="I171" i="40" s="1"/>
  <c r="G28" i="31"/>
  <c r="P16" i="43"/>
  <c r="P17" i="43"/>
  <c r="G120" i="38"/>
  <c r="H120" i="38" s="1"/>
  <c r="J186" i="41"/>
  <c r="J231" i="41" s="1"/>
  <c r="J185" i="41"/>
  <c r="J230" i="41" s="1"/>
  <c r="G32" i="38"/>
  <c r="H32" i="38" s="1"/>
  <c r="F177" i="33"/>
  <c r="AO52" i="43"/>
  <c r="G97" i="38"/>
  <c r="H97" i="38" s="1"/>
  <c r="G55" i="38"/>
  <c r="H55" i="38" s="1"/>
  <c r="G9" i="38"/>
  <c r="H9" i="38" s="1"/>
  <c r="AO30" i="43"/>
  <c r="F61" i="33" s="1"/>
  <c r="F15" i="48" s="1"/>
  <c r="AQ30" i="43"/>
  <c r="E36" i="48"/>
  <c r="G257" i="40"/>
  <c r="F155" i="33"/>
  <c r="F102" i="48" s="1"/>
  <c r="E154" i="33"/>
  <c r="N26" i="33"/>
  <c r="M26" i="33" s="1"/>
  <c r="Y104" i="38"/>
  <c r="Y106" i="38" s="1"/>
  <c r="Y112" i="38" s="1"/>
  <c r="S104" i="38"/>
  <c r="S106" i="38" s="1"/>
  <c r="S112" i="38" s="1"/>
  <c r="Q104" i="38"/>
  <c r="Q106" i="38" s="1"/>
  <c r="Q112" i="38" s="1"/>
  <c r="O104" i="38"/>
  <c r="O106" i="38" s="1"/>
  <c r="O112" i="38" s="1"/>
  <c r="M104" i="38"/>
  <c r="M106" i="38" s="1"/>
  <c r="M112" i="38" s="1"/>
  <c r="N27" i="33"/>
  <c r="M27" i="33" s="1"/>
  <c r="J96" i="38"/>
  <c r="I96" i="38"/>
  <c r="K104" i="38"/>
  <c r="K106" i="38" s="1"/>
  <c r="K112" i="38" s="1"/>
  <c r="U104" i="38"/>
  <c r="U106" i="38" s="1"/>
  <c r="U112" i="38" s="1"/>
  <c r="Z104" i="38"/>
  <c r="Z106" i="38" s="1"/>
  <c r="Z112" i="38" s="1"/>
  <c r="T104" i="38"/>
  <c r="T106" i="38" s="1"/>
  <c r="T112" i="38" s="1"/>
  <c r="V104" i="38"/>
  <c r="V106" i="38" s="1"/>
  <c r="V112" i="38" s="1"/>
  <c r="V114" i="38" s="1"/>
  <c r="P104" i="38"/>
  <c r="P106" i="38" s="1"/>
  <c r="P112" i="38" s="1"/>
  <c r="R104" i="38"/>
  <c r="R106" i="38" s="1"/>
  <c r="R112" i="38" s="1"/>
  <c r="L104" i="38"/>
  <c r="L106" i="38" s="1"/>
  <c r="L112" i="38" s="1"/>
  <c r="N104" i="38"/>
  <c r="N106" i="38" s="1"/>
  <c r="N112" i="38" s="1"/>
  <c r="F45" i="48"/>
  <c r="E45" i="48" s="1"/>
  <c r="J104" i="38"/>
  <c r="J106" i="38" s="1"/>
  <c r="J112" i="38" s="1"/>
  <c r="J113" i="38" s="1"/>
  <c r="I104" i="38"/>
  <c r="I106" i="38" s="1"/>
  <c r="I112" i="38" s="1"/>
  <c r="W104" i="38"/>
  <c r="W106" i="38" s="1"/>
  <c r="W112" i="38" s="1"/>
  <c r="J54" i="38"/>
  <c r="I54" i="38"/>
  <c r="AP26" i="43"/>
  <c r="N26" i="43"/>
  <c r="E172" i="33"/>
  <c r="H257" i="40"/>
  <c r="I7" i="28"/>
  <c r="J7" i="28" s="1"/>
  <c r="K7" i="28" s="1"/>
  <c r="L7" i="28" s="1"/>
  <c r="M7" i="28" s="1"/>
  <c r="N7" i="28" s="1"/>
  <c r="F173" i="33"/>
  <c r="F84" i="48" s="1"/>
  <c r="G32" i="31"/>
  <c r="Q131" i="38"/>
  <c r="N226" i="40"/>
  <c r="N261" i="40" s="1"/>
  <c r="T82" i="38"/>
  <c r="T83" i="38" s="1"/>
  <c r="T85" i="38" s="1"/>
  <c r="T91" i="38" s="1"/>
  <c r="R82" i="38"/>
  <c r="R83" i="38" s="1"/>
  <c r="R85" i="38" s="1"/>
  <c r="R91" i="38" s="1"/>
  <c r="K82" i="38"/>
  <c r="K83" i="38" s="1"/>
  <c r="K85" i="38" s="1"/>
  <c r="K91" i="38" s="1"/>
  <c r="O82" i="38"/>
  <c r="O83" i="38" s="1"/>
  <c r="O85" i="38" s="1"/>
  <c r="O91" i="38" s="1"/>
  <c r="Q82" i="38"/>
  <c r="Q83" i="38" s="1"/>
  <c r="Q85" i="38" s="1"/>
  <c r="Q91" i="38" s="1"/>
  <c r="N82" i="38"/>
  <c r="N83" i="38" s="1"/>
  <c r="N85" i="38" s="1"/>
  <c r="N91" i="38" s="1"/>
  <c r="I82" i="38"/>
  <c r="S82" i="38"/>
  <c r="U82" i="38"/>
  <c r="U83" i="38" s="1"/>
  <c r="U85" i="38" s="1"/>
  <c r="U91" i="38" s="1"/>
  <c r="J82" i="38"/>
  <c r="P82" i="38"/>
  <c r="P83" i="38" s="1"/>
  <c r="P85" i="38" s="1"/>
  <c r="P91" i="38" s="1"/>
  <c r="P93" i="38" s="1"/>
  <c r="Z82" i="38"/>
  <c r="Z83" i="38" s="1"/>
  <c r="Z85" i="38" s="1"/>
  <c r="Z91" i="38" s="1"/>
  <c r="Y82" i="38"/>
  <c r="Y83" i="38" s="1"/>
  <c r="Y85" i="38" s="1"/>
  <c r="Y91" i="38" s="1"/>
  <c r="L82" i="38"/>
  <c r="L83" i="38" s="1"/>
  <c r="L85" i="38" s="1"/>
  <c r="L91" i="38" s="1"/>
  <c r="W82" i="38"/>
  <c r="W83" i="38" s="1"/>
  <c r="W85" i="38" s="1"/>
  <c r="W91" i="38" s="1"/>
  <c r="M82" i="38"/>
  <c r="X82" i="38"/>
  <c r="X83" i="38" s="1"/>
  <c r="X85" i="38" s="1"/>
  <c r="X91" i="38" s="1"/>
  <c r="V82" i="38"/>
  <c r="V83" i="38" s="1"/>
  <c r="V85" i="38" s="1"/>
  <c r="V91" i="38" s="1"/>
  <c r="F257" i="40"/>
  <c r="N61" i="38"/>
  <c r="N62" i="38" s="1"/>
  <c r="V61" i="38"/>
  <c r="V62" i="38" s="1"/>
  <c r="W61" i="38"/>
  <c r="W62" i="38" s="1"/>
  <c r="M61" i="38"/>
  <c r="M62" i="38" s="1"/>
  <c r="O61" i="38"/>
  <c r="O62" i="38" s="1"/>
  <c r="P61" i="38"/>
  <c r="P62" i="38" s="1"/>
  <c r="X61" i="38"/>
  <c r="X62" i="38" s="1"/>
  <c r="Q61" i="38"/>
  <c r="Q62" i="38" s="1"/>
  <c r="Y61" i="38"/>
  <c r="Y62" i="38" s="1"/>
  <c r="J61" i="38"/>
  <c r="J62" i="38" s="1"/>
  <c r="R61" i="38"/>
  <c r="R62" i="38" s="1"/>
  <c r="Z61" i="38"/>
  <c r="Z62" i="38" s="1"/>
  <c r="S61" i="38"/>
  <c r="S62" i="38" s="1"/>
  <c r="K61" i="38"/>
  <c r="K62" i="38" s="1"/>
  <c r="I61" i="38"/>
  <c r="I62" i="38" s="1"/>
  <c r="U61" i="38"/>
  <c r="U62" i="38" s="1"/>
  <c r="L61" i="38"/>
  <c r="L62" i="38" s="1"/>
  <c r="T61" i="38"/>
  <c r="T62" i="38" s="1"/>
  <c r="Q3" i="31"/>
  <c r="P4" i="31"/>
  <c r="P23" i="31" s="1"/>
  <c r="O34" i="31"/>
  <c r="O67" i="31"/>
  <c r="O27" i="31"/>
  <c r="O79" i="31"/>
  <c r="O49" i="31"/>
  <c r="O74" i="31"/>
  <c r="AA34" i="31"/>
  <c r="AA67" i="31"/>
  <c r="AA27" i="31"/>
  <c r="AA79" i="31"/>
  <c r="AA49" i="31"/>
  <c r="AA74" i="31"/>
  <c r="AB4" i="31"/>
  <c r="AB23" i="31" s="1"/>
  <c r="AC3" i="31"/>
  <c r="M48" i="33"/>
  <c r="E171" i="33"/>
  <c r="G101" i="33"/>
  <c r="M23" i="43"/>
  <c r="AF4" i="43"/>
  <c r="AV4" i="43" s="1"/>
  <c r="AN10" i="43"/>
  <c r="AL10" i="43"/>
  <c r="F53" i="48"/>
  <c r="E53" i="48"/>
  <c r="H70" i="39"/>
  <c r="E70" i="39" s="1"/>
  <c r="H76" i="41"/>
  <c r="H87" i="41" s="1"/>
  <c r="E37" i="48"/>
  <c r="F34" i="48"/>
  <c r="G38" i="31"/>
  <c r="O38" i="31" s="1"/>
  <c r="O45" i="31" s="1"/>
  <c r="M24" i="43"/>
  <c r="G24" i="31"/>
  <c r="F130" i="28" s="1"/>
  <c r="I25" i="31"/>
  <c r="I7" i="32" s="1"/>
  <c r="E100" i="33"/>
  <c r="I117" i="41"/>
  <c r="P29" i="33"/>
  <c r="E48" i="48"/>
  <c r="F177" i="38"/>
  <c r="F186" i="38" s="1"/>
  <c r="E155" i="33"/>
  <c r="H120" i="41"/>
  <c r="G168" i="38"/>
  <c r="H168" i="38" s="1"/>
  <c r="I168" i="38" s="1"/>
  <c r="AH1" i="43"/>
  <c r="AW4" i="43"/>
  <c r="E137" i="33"/>
  <c r="N24" i="33"/>
  <c r="M24" i="33" s="1"/>
  <c r="S24" i="33" s="1"/>
  <c r="E136" i="33"/>
  <c r="F138" i="33"/>
  <c r="AO26" i="43"/>
  <c r="AO37" i="43" s="1"/>
  <c r="H34" i="33" s="1"/>
  <c r="H22" i="48" s="1"/>
  <c r="AN6" i="43"/>
  <c r="AL6" i="43"/>
  <c r="N34" i="33"/>
  <c r="H12" i="31" s="1"/>
  <c r="H36" i="31" s="1"/>
  <c r="AN14" i="43"/>
  <c r="AL14" i="43"/>
  <c r="AO23" i="43"/>
  <c r="R22" i="33" s="1"/>
  <c r="AO24" i="43"/>
  <c r="AO34" i="43" s="1"/>
  <c r="G100" i="41"/>
  <c r="G103" i="41" s="1"/>
  <c r="G79" i="41"/>
  <c r="H2" i="41"/>
  <c r="H58" i="41" s="1"/>
  <c r="H272" i="38"/>
  <c r="H225" i="38"/>
  <c r="H226" i="38" s="1"/>
  <c r="H158" i="38"/>
  <c r="J183" i="41"/>
  <c r="J228" i="41" s="1"/>
  <c r="K180" i="41"/>
  <c r="K185" i="41" s="1"/>
  <c r="K230" i="41" s="1"/>
  <c r="H227" i="38"/>
  <c r="N52" i="40"/>
  <c r="N53" i="40" s="1"/>
  <c r="H156" i="38"/>
  <c r="H270" i="38"/>
  <c r="H142" i="38"/>
  <c r="H150" i="38" s="1"/>
  <c r="J181" i="41"/>
  <c r="H155" i="38"/>
  <c r="H157" i="38" s="1"/>
  <c r="I140" i="38"/>
  <c r="J184" i="41"/>
  <c r="J229" i="41" s="1"/>
  <c r="J182" i="41"/>
  <c r="J227" i="41" s="1"/>
  <c r="H57" i="48"/>
  <c r="H257" i="38"/>
  <c r="H265" i="38" s="1"/>
  <c r="I157" i="40"/>
  <c r="H318" i="38"/>
  <c r="H324" i="38"/>
  <c r="H329" i="38"/>
  <c r="I294" i="38"/>
  <c r="I204" i="40"/>
  <c r="J2" i="40"/>
  <c r="G256" i="38"/>
  <c r="G259" i="38" s="1"/>
  <c r="H256" i="38" s="1"/>
  <c r="G214" i="38"/>
  <c r="H211" i="38" s="1"/>
  <c r="H214" i="38" s="1"/>
  <c r="K223" i="40"/>
  <c r="K268" i="40" s="1"/>
  <c r="K220" i="40"/>
  <c r="K265" i="40" s="1"/>
  <c r="K219" i="40"/>
  <c r="K264" i="40" s="1"/>
  <c r="K222" i="40"/>
  <c r="K267" i="40" s="1"/>
  <c r="L216" i="40"/>
  <c r="K218" i="40"/>
  <c r="K217" i="40"/>
  <c r="K221" i="40"/>
  <c r="G188" i="40"/>
  <c r="G191" i="40" s="1"/>
  <c r="H188" i="40" s="1"/>
  <c r="H191" i="40" s="1"/>
  <c r="F193" i="40"/>
  <c r="F194" i="40" s="1"/>
  <c r="J271" i="40"/>
  <c r="N23" i="43"/>
  <c r="G239" i="38"/>
  <c r="G175" i="38"/>
  <c r="G171" i="38"/>
  <c r="G173" i="38" s="1"/>
  <c r="I75" i="41"/>
  <c r="J74" i="41"/>
  <c r="J189" i="40"/>
  <c r="J197" i="40" s="1"/>
  <c r="J141" i="40"/>
  <c r="J149" i="40" s="1"/>
  <c r="J155" i="40"/>
  <c r="K139" i="40"/>
  <c r="H142" i="41"/>
  <c r="H150" i="41" s="1"/>
  <c r="H156" i="41"/>
  <c r="I140" i="41"/>
  <c r="N29" i="40"/>
  <c r="M30" i="40"/>
  <c r="G247" i="38"/>
  <c r="K285" i="38"/>
  <c r="K333" i="38"/>
  <c r="K287" i="38"/>
  <c r="K332" i="38" s="1"/>
  <c r="K291" i="38"/>
  <c r="K336" i="38" s="1"/>
  <c r="K290" i="38"/>
  <c r="K335" i="38" s="1"/>
  <c r="L284" i="38"/>
  <c r="L288" i="38" s="1"/>
  <c r="K286" i="38"/>
  <c r="K331" i="38" s="1"/>
  <c r="K289" i="38"/>
  <c r="H235" i="38"/>
  <c r="H236" i="38" s="1"/>
  <c r="I234" i="38"/>
  <c r="J53" i="41"/>
  <c r="I54" i="41"/>
  <c r="M115" i="40"/>
  <c r="L116" i="40"/>
  <c r="L166" i="38"/>
  <c r="K167" i="38"/>
  <c r="I99" i="40"/>
  <c r="L166" i="40"/>
  <c r="K167" i="40"/>
  <c r="K190" i="41"/>
  <c r="K6" i="40"/>
  <c r="J5" i="40"/>
  <c r="J1" i="40"/>
  <c r="L116" i="41"/>
  <c r="K117" i="41"/>
  <c r="I8" i="32"/>
  <c r="G6" i="47"/>
  <c r="G4" i="47"/>
  <c r="H3" i="47"/>
  <c r="G5" i="47"/>
  <c r="O38" i="33"/>
  <c r="I16" i="31" s="1"/>
  <c r="Q39" i="33"/>
  <c r="R26" i="33"/>
  <c r="S26" i="33" s="1"/>
  <c r="N38" i="33"/>
  <c r="P38" i="33"/>
  <c r="J16" i="31" s="1"/>
  <c r="F157" i="41"/>
  <c r="O24" i="43"/>
  <c r="G156" i="40"/>
  <c r="E173" i="33"/>
  <c r="G157" i="38"/>
  <c r="K96" i="41"/>
  <c r="L95" i="41"/>
  <c r="G65" i="40"/>
  <c r="H54" i="40"/>
  <c r="I54" i="40" s="1"/>
  <c r="H168" i="40"/>
  <c r="G179" i="40"/>
  <c r="F156" i="40"/>
  <c r="J25" i="31"/>
  <c r="BA67" i="31"/>
  <c r="BA27" i="31"/>
  <c r="BA49" i="31"/>
  <c r="BA34" i="31"/>
  <c r="BA74" i="31"/>
  <c r="BA79" i="31"/>
  <c r="E108" i="33"/>
  <c r="O35" i="33"/>
  <c r="R94" i="40"/>
  <c r="Q95" i="40"/>
  <c r="J39" i="31"/>
  <c r="AX39" i="31" s="1"/>
  <c r="AX45" i="31" s="1"/>
  <c r="AX15" i="31"/>
  <c r="H158" i="39"/>
  <c r="O25" i="43"/>
  <c r="Q73" i="40"/>
  <c r="P74" i="40"/>
  <c r="BC3" i="31"/>
  <c r="BC4" i="31" s="1"/>
  <c r="BC23" i="31" s="1"/>
  <c r="BB4" i="31"/>
  <c r="BB23" i="31" s="1"/>
  <c r="H37" i="31"/>
  <c r="Z13" i="31"/>
  <c r="H98" i="39"/>
  <c r="H129" i="39"/>
  <c r="AM15" i="31"/>
  <c r="I39" i="31"/>
  <c r="AM39" i="31" s="1"/>
  <c r="AM45" i="31" s="1"/>
  <c r="H15" i="31"/>
  <c r="M37" i="33"/>
  <c r="J156" i="40"/>
  <c r="H96" i="40"/>
  <c r="G107" i="40"/>
  <c r="N25" i="43"/>
  <c r="F203" i="40"/>
  <c r="F205" i="40" s="1"/>
  <c r="G226" i="38"/>
  <c r="G228" i="38" s="1"/>
  <c r="AN3" i="31"/>
  <c r="AM4" i="31"/>
  <c r="AM23" i="31" s="1"/>
  <c r="I6" i="41"/>
  <c r="J7" i="41"/>
  <c r="F101" i="33"/>
  <c r="E98" i="33"/>
  <c r="Q4" i="43"/>
  <c r="Q2" i="43"/>
  <c r="Q18" i="43" s="1"/>
  <c r="R1" i="43"/>
  <c r="G157" i="41"/>
  <c r="H203" i="40"/>
  <c r="H205" i="40" s="1"/>
  <c r="F157" i="38"/>
  <c r="F159" i="38" s="1"/>
  <c r="H75" i="40"/>
  <c r="G86" i="40"/>
  <c r="AL67" i="31"/>
  <c r="AL27" i="31"/>
  <c r="AL34" i="31"/>
  <c r="AL79" i="31"/>
  <c r="AL49" i="31"/>
  <c r="AL74" i="31"/>
  <c r="G50" i="33"/>
  <c r="G26" i="48" s="1"/>
  <c r="AX36" i="43"/>
  <c r="AN13" i="43"/>
  <c r="AN25" i="43" s="1"/>
  <c r="AL13" i="43"/>
  <c r="G203" i="40"/>
  <c r="G271" i="38"/>
  <c r="G273" i="38" s="1"/>
  <c r="G325" i="38"/>
  <c r="G45" i="52" s="1"/>
  <c r="F325" i="38"/>
  <c r="F45" i="52" s="1"/>
  <c r="F271" i="38"/>
  <c r="F273" i="38" s="1"/>
  <c r="G108" i="41"/>
  <c r="H119" i="40"/>
  <c r="H29" i="32"/>
  <c r="H9" i="41"/>
  <c r="G1" i="42"/>
  <c r="H2" i="42"/>
  <c r="G47" i="42"/>
  <c r="P13" i="43"/>
  <c r="P10" i="43"/>
  <c r="P14" i="43"/>
  <c r="P11" i="43"/>
  <c r="P8" i="43"/>
  <c r="P6" i="43"/>
  <c r="P9" i="43"/>
  <c r="P12" i="43"/>
  <c r="P15" i="43"/>
  <c r="P7" i="43"/>
  <c r="H156" i="40"/>
  <c r="J12" i="31"/>
  <c r="F226" i="38"/>
  <c r="F228" i="38" s="1"/>
  <c r="I339" i="38"/>
  <c r="H31" i="40"/>
  <c r="F332" i="38"/>
  <c r="H77" i="33"/>
  <c r="H19" i="48" s="1"/>
  <c r="AP25" i="43"/>
  <c r="H157" i="41"/>
  <c r="H167" i="41" s="1"/>
  <c r="H222" i="41" s="1"/>
  <c r="O26" i="43"/>
  <c r="O23" i="43"/>
  <c r="H8" i="40"/>
  <c r="G177" i="33"/>
  <c r="H55" i="41"/>
  <c r="G66" i="41"/>
  <c r="O30" i="41"/>
  <c r="N31" i="41"/>
  <c r="L8" i="52" l="1"/>
  <c r="L53" i="52" s="1"/>
  <c r="E99" i="33"/>
  <c r="K263" i="40"/>
  <c r="L256" i="40"/>
  <c r="M261" i="40"/>
  <c r="M250" i="40"/>
  <c r="J226" i="41"/>
  <c r="H223" i="41"/>
  <c r="H248" i="41" s="1"/>
  <c r="K225" i="41"/>
  <c r="K214" i="41"/>
  <c r="K220" i="41"/>
  <c r="N256" i="40"/>
  <c r="N250" i="40"/>
  <c r="L250" i="40"/>
  <c r="L261" i="40"/>
  <c r="I257" i="40"/>
  <c r="J257" i="40"/>
  <c r="I203" i="40"/>
  <c r="I205" i="40" s="1"/>
  <c r="O226" i="40"/>
  <c r="O256" i="40" s="1"/>
  <c r="J205" i="40"/>
  <c r="I76" i="41"/>
  <c r="I87" i="41" s="1"/>
  <c r="I2" i="41"/>
  <c r="I58" i="41" s="1"/>
  <c r="I55" i="38"/>
  <c r="J55" i="38" s="1"/>
  <c r="I97" i="38"/>
  <c r="J97" i="38" s="1"/>
  <c r="K97" i="38" s="1"/>
  <c r="L97" i="38" s="1"/>
  <c r="M97" i="38" s="1"/>
  <c r="N97" i="38" s="1"/>
  <c r="O97" i="38" s="1"/>
  <c r="P97" i="38" s="1"/>
  <c r="Q97" i="38" s="1"/>
  <c r="R97" i="38" s="1"/>
  <c r="S97" i="38" s="1"/>
  <c r="T97" i="38" s="1"/>
  <c r="U97" i="38" s="1"/>
  <c r="V97" i="38" s="1"/>
  <c r="W97" i="38" s="1"/>
  <c r="X97" i="38" s="1"/>
  <c r="Y97" i="38" s="1"/>
  <c r="Z97" i="38" s="1"/>
  <c r="V113" i="38"/>
  <c r="Q16" i="43"/>
  <c r="Q17" i="43"/>
  <c r="I114" i="38"/>
  <c r="I113" i="38"/>
  <c r="AQ33" i="43"/>
  <c r="H65" i="33" s="1"/>
  <c r="H16" i="48" s="1"/>
  <c r="AO33" i="43"/>
  <c r="H61" i="33" s="1"/>
  <c r="H15" i="48" s="1"/>
  <c r="F55" i="48"/>
  <c r="F57" i="48" s="1"/>
  <c r="N49" i="33"/>
  <c r="F179" i="33"/>
  <c r="F204" i="33" s="1"/>
  <c r="F182" i="33"/>
  <c r="F203" i="33" s="1"/>
  <c r="I212" i="38"/>
  <c r="I155" i="38"/>
  <c r="I157" i="38" s="1"/>
  <c r="H271" i="38"/>
  <c r="H326" i="38" s="1"/>
  <c r="H325" i="38"/>
  <c r="H45" i="52" s="1"/>
  <c r="F34" i="33"/>
  <c r="F22" i="48" s="1"/>
  <c r="AO38" i="43"/>
  <c r="P92" i="38"/>
  <c r="Z113" i="38"/>
  <c r="Z114" i="38"/>
  <c r="K114" i="38"/>
  <c r="F9" i="39" s="1"/>
  <c r="K113" i="38"/>
  <c r="U114" i="38"/>
  <c r="U113" i="38"/>
  <c r="N113" i="38"/>
  <c r="N114" i="38"/>
  <c r="L113" i="38"/>
  <c r="L114" i="38"/>
  <c r="R113" i="38"/>
  <c r="R114" i="38"/>
  <c r="M114" i="38"/>
  <c r="M113" i="38"/>
  <c r="P113" i="38"/>
  <c r="P114" i="38"/>
  <c r="O114" i="38"/>
  <c r="O113" i="38"/>
  <c r="X114" i="38"/>
  <c r="X113" i="38"/>
  <c r="Q114" i="38"/>
  <c r="Q113" i="38"/>
  <c r="S114" i="38"/>
  <c r="S113" i="38"/>
  <c r="W114" i="38"/>
  <c r="W113" i="38"/>
  <c r="T113" i="38"/>
  <c r="T114" i="38"/>
  <c r="Y113" i="38"/>
  <c r="Y114" i="38"/>
  <c r="I83" i="38"/>
  <c r="I85" i="38" s="1"/>
  <c r="I91" i="38" s="1"/>
  <c r="I93" i="38" s="1"/>
  <c r="F48" i="48"/>
  <c r="J114" i="38"/>
  <c r="AU33" i="43"/>
  <c r="H73" i="33" s="1"/>
  <c r="H18" i="48" s="1"/>
  <c r="AS33" i="43"/>
  <c r="H69" i="33" s="1"/>
  <c r="H17" i="48" s="1"/>
  <c r="AN26" i="43"/>
  <c r="F159" i="41"/>
  <c r="F167" i="41"/>
  <c r="F222" i="41" s="1"/>
  <c r="H169" i="41"/>
  <c r="G159" i="38"/>
  <c r="G326" i="38"/>
  <c r="G159" i="41"/>
  <c r="G167" i="41"/>
  <c r="G222" i="41" s="1"/>
  <c r="P77" i="48"/>
  <c r="I65" i="40"/>
  <c r="M83" i="38"/>
  <c r="M85" i="38"/>
  <c r="M91" i="38" s="1"/>
  <c r="S83" i="38"/>
  <c r="S85" i="38" s="1"/>
  <c r="S91" i="38" s="1"/>
  <c r="W92" i="38"/>
  <c r="W93" i="38"/>
  <c r="J258" i="40"/>
  <c r="L92" i="38"/>
  <c r="L93" i="38"/>
  <c r="N92" i="38"/>
  <c r="N93" i="38"/>
  <c r="Y92" i="38"/>
  <c r="Y93" i="38"/>
  <c r="Q92" i="38"/>
  <c r="Q93" i="38"/>
  <c r="Z92" i="38"/>
  <c r="Z93" i="38"/>
  <c r="O92" i="38"/>
  <c r="O93" i="38"/>
  <c r="K92" i="38"/>
  <c r="K93" i="38"/>
  <c r="V92" i="38"/>
  <c r="V93" i="38"/>
  <c r="J83" i="38"/>
  <c r="J85" i="38" s="1"/>
  <c r="J91" i="38" s="1"/>
  <c r="R92" i="38"/>
  <c r="R93" i="38"/>
  <c r="R131" i="38"/>
  <c r="X92" i="38"/>
  <c r="X93" i="38"/>
  <c r="U92" i="38"/>
  <c r="U93" i="38"/>
  <c r="T92" i="38"/>
  <c r="T93" i="38"/>
  <c r="F158" i="40"/>
  <c r="F258" i="40"/>
  <c r="G158" i="40"/>
  <c r="G258" i="40"/>
  <c r="H158" i="40"/>
  <c r="H258" i="40"/>
  <c r="H259" i="40" s="1"/>
  <c r="J140" i="38"/>
  <c r="K140" i="38" s="1"/>
  <c r="I225" i="38"/>
  <c r="I226" i="38" s="1"/>
  <c r="I158" i="38"/>
  <c r="P74" i="31"/>
  <c r="P79" i="31"/>
  <c r="P34" i="31"/>
  <c r="P67" i="31"/>
  <c r="P49" i="31"/>
  <c r="P27" i="31"/>
  <c r="R3" i="31"/>
  <c r="Q4" i="31"/>
  <c r="Q23" i="31" s="1"/>
  <c r="AD3" i="31"/>
  <c r="AC4" i="31"/>
  <c r="AC23" i="31" s="1"/>
  <c r="AB79" i="31"/>
  <c r="AB49" i="31"/>
  <c r="AB34" i="31"/>
  <c r="AB27" i="31"/>
  <c r="AB74" i="31"/>
  <c r="AB67" i="31"/>
  <c r="AN24" i="43"/>
  <c r="F65" i="33"/>
  <c r="F16" i="48" s="1"/>
  <c r="AS30" i="43"/>
  <c r="F69" i="33" s="1"/>
  <c r="F17" i="48" s="1"/>
  <c r="AU30" i="43"/>
  <c r="E101" i="33"/>
  <c r="AN23" i="43"/>
  <c r="G25" i="31"/>
  <c r="H79" i="41"/>
  <c r="H100" i="41"/>
  <c r="H103" i="41" s="1"/>
  <c r="I29" i="32"/>
  <c r="I39" i="32" s="1"/>
  <c r="I120" i="41"/>
  <c r="J120" i="41" s="1"/>
  <c r="E138" i="33"/>
  <c r="F81" i="48" s="1"/>
  <c r="G81" i="48" s="1"/>
  <c r="I270" i="38"/>
  <c r="I271" i="38" s="1"/>
  <c r="I227" i="38"/>
  <c r="M34" i="33"/>
  <c r="AS37" i="43"/>
  <c r="H42" i="33" s="1"/>
  <c r="H24" i="48" s="1"/>
  <c r="AU37" i="43"/>
  <c r="AQ37" i="43"/>
  <c r="H38" i="33" s="1"/>
  <c r="H23" i="48" s="1"/>
  <c r="H228" i="38"/>
  <c r="AU34" i="43"/>
  <c r="AS34" i="43"/>
  <c r="AQ34" i="43"/>
  <c r="F38" i="33" s="1"/>
  <c r="F23" i="48" s="1"/>
  <c r="Y12" i="31"/>
  <c r="H97" i="39"/>
  <c r="H259" i="38"/>
  <c r="I256" i="38" s="1"/>
  <c r="G216" i="38"/>
  <c r="G217" i="38" s="1"/>
  <c r="H159" i="38"/>
  <c r="O52" i="40"/>
  <c r="P52" i="40" s="1"/>
  <c r="K184" i="41"/>
  <c r="K229" i="41" s="1"/>
  <c r="K186" i="41"/>
  <c r="K231" i="41" s="1"/>
  <c r="K187" i="41"/>
  <c r="K232" i="41" s="1"/>
  <c r="K182" i="41"/>
  <c r="K227" i="41" s="1"/>
  <c r="L180" i="41"/>
  <c r="L185" i="41" s="1"/>
  <c r="L230" i="41" s="1"/>
  <c r="K183" i="41"/>
  <c r="K228" i="41" s="1"/>
  <c r="K181" i="41"/>
  <c r="I272" i="38"/>
  <c r="G261" i="38"/>
  <c r="G262" i="38" s="1"/>
  <c r="J294" i="38"/>
  <c r="I329" i="38"/>
  <c r="I318" i="38"/>
  <c r="I324" i="38"/>
  <c r="G193" i="40"/>
  <c r="G194" i="40" s="1"/>
  <c r="J158" i="40"/>
  <c r="M216" i="40"/>
  <c r="L222" i="40"/>
  <c r="L267" i="40" s="1"/>
  <c r="L223" i="40"/>
  <c r="L268" i="40" s="1"/>
  <c r="L221" i="40"/>
  <c r="L219" i="40"/>
  <c r="L264" i="40" s="1"/>
  <c r="L220" i="40"/>
  <c r="L265" i="40" s="1"/>
  <c r="L218" i="40"/>
  <c r="L217" i="40"/>
  <c r="K262" i="40"/>
  <c r="K224" i="40"/>
  <c r="H159" i="41"/>
  <c r="K271" i="40"/>
  <c r="J140" i="41"/>
  <c r="I158" i="41"/>
  <c r="I168" i="41" s="1"/>
  <c r="I155" i="41"/>
  <c r="I166" i="41" s="1"/>
  <c r="I221" i="41" s="1"/>
  <c r="H175" i="38"/>
  <c r="H239" i="38"/>
  <c r="H171" i="38"/>
  <c r="H173" i="38" s="1"/>
  <c r="G176" i="38"/>
  <c r="G177" i="38" s="1"/>
  <c r="G186" i="38" s="1"/>
  <c r="K74" i="41"/>
  <c r="J75" i="41"/>
  <c r="H216" i="38"/>
  <c r="H217" i="38" s="1"/>
  <c r="I211" i="38"/>
  <c r="L139" i="40"/>
  <c r="K202" i="40"/>
  <c r="K157" i="40"/>
  <c r="K141" i="40"/>
  <c r="K149" i="40" s="1"/>
  <c r="K154" i="40"/>
  <c r="K189" i="40"/>
  <c r="K197" i="40" s="1"/>
  <c r="K204" i="40"/>
  <c r="K155" i="40"/>
  <c r="H193" i="40"/>
  <c r="H194" i="40" s="1"/>
  <c r="I188" i="40"/>
  <c r="H247" i="38"/>
  <c r="K53" i="41"/>
  <c r="J54" i="41"/>
  <c r="J78" i="40"/>
  <c r="J99" i="40"/>
  <c r="J57" i="40"/>
  <c r="J171" i="40"/>
  <c r="J234" i="38"/>
  <c r="I235" i="38"/>
  <c r="I236" i="38" s="1"/>
  <c r="I244" i="38" s="1"/>
  <c r="L167" i="40"/>
  <c r="M166" i="40"/>
  <c r="M166" i="38"/>
  <c r="L167" i="38"/>
  <c r="K7" i="40"/>
  <c r="L6" i="40"/>
  <c r="K5" i="40"/>
  <c r="K1" i="40"/>
  <c r="N30" i="40"/>
  <c r="O29" i="40"/>
  <c r="G56" i="33"/>
  <c r="O176" i="33" s="1"/>
  <c r="I20" i="32" s="1"/>
  <c r="H229" i="40" s="1"/>
  <c r="J168" i="38"/>
  <c r="K292" i="38"/>
  <c r="K330" i="38"/>
  <c r="K337" i="38" s="1"/>
  <c r="K2" i="40"/>
  <c r="L190" i="41"/>
  <c r="N115" i="40"/>
  <c r="M116" i="40"/>
  <c r="G205" i="40"/>
  <c r="M116" i="41"/>
  <c r="L117" i="41"/>
  <c r="L290" i="38"/>
  <c r="L10" i="52" s="1"/>
  <c r="L55" i="52" s="1"/>
  <c r="L289" i="38"/>
  <c r="L9" i="52" s="1"/>
  <c r="L291" i="38"/>
  <c r="L336" i="38" s="1"/>
  <c r="L287" i="38"/>
  <c r="L7" i="52" s="1"/>
  <c r="L52" i="52" s="1"/>
  <c r="M284" i="38"/>
  <c r="M288" i="38" s="1"/>
  <c r="M8" i="52" s="1"/>
  <c r="M53" i="52" s="1"/>
  <c r="L286" i="38"/>
  <c r="L6" i="52" s="1"/>
  <c r="L51" i="52" s="1"/>
  <c r="L285" i="38"/>
  <c r="L5" i="52" s="1"/>
  <c r="L50" i="52" s="1"/>
  <c r="L333" i="38"/>
  <c r="P25" i="43"/>
  <c r="Z37" i="31"/>
  <c r="Z45" i="31" s="1"/>
  <c r="F217" i="40"/>
  <c r="O31" i="41"/>
  <c r="P30" i="41"/>
  <c r="Q11" i="43"/>
  <c r="Q6" i="43"/>
  <c r="Q8" i="43"/>
  <c r="Q9" i="43"/>
  <c r="Q10" i="43"/>
  <c r="Q12" i="43"/>
  <c r="Q7" i="43"/>
  <c r="Q13" i="43"/>
  <c r="Q14" i="43"/>
  <c r="Q15" i="43"/>
  <c r="I96" i="40"/>
  <c r="H107" i="40"/>
  <c r="H39" i="31"/>
  <c r="AB15" i="31"/>
  <c r="G15" i="31"/>
  <c r="H100" i="39"/>
  <c r="BB67" i="31"/>
  <c r="BB34" i="31"/>
  <c r="BB74" i="31"/>
  <c r="BB79" i="31"/>
  <c r="BB49" i="31"/>
  <c r="BB27" i="31"/>
  <c r="R73" i="40"/>
  <c r="Q74" i="40"/>
  <c r="J29" i="32"/>
  <c r="J7" i="32"/>
  <c r="G7" i="32" s="1"/>
  <c r="H16" i="31"/>
  <c r="M38" i="33"/>
  <c r="S30" i="32"/>
  <c r="R99" i="48" s="1"/>
  <c r="I40" i="32"/>
  <c r="AJ52" i="32"/>
  <c r="BC34" i="31"/>
  <c r="BC74" i="31"/>
  <c r="BC79" i="31"/>
  <c r="BC67" i="31"/>
  <c r="BC49" i="31"/>
  <c r="BC27" i="31"/>
  <c r="R58" i="48"/>
  <c r="F218" i="40"/>
  <c r="F326" i="38"/>
  <c r="F46" i="52" s="1"/>
  <c r="AQ31" i="43"/>
  <c r="AO31" i="43"/>
  <c r="AS31" i="43"/>
  <c r="AU31" i="43"/>
  <c r="AX31" i="43" s="1"/>
  <c r="G54" i="33"/>
  <c r="K7" i="41"/>
  <c r="J6" i="41"/>
  <c r="J3" i="41"/>
  <c r="H8" i="32"/>
  <c r="H179" i="40"/>
  <c r="I168" i="40"/>
  <c r="N39" i="33"/>
  <c r="O39" i="33"/>
  <c r="I17" i="31" s="1"/>
  <c r="Q40" i="33"/>
  <c r="P39" i="33"/>
  <c r="J17" i="31" s="1"/>
  <c r="R27" i="33"/>
  <c r="S27" i="33" s="1"/>
  <c r="H5" i="47"/>
  <c r="I3" i="47"/>
  <c r="H6" i="47"/>
  <c r="H4" i="47"/>
  <c r="G179" i="33"/>
  <c r="G204" i="33" s="1"/>
  <c r="G55" i="48"/>
  <c r="G182" i="33"/>
  <c r="G203" i="33" s="1"/>
  <c r="O49" i="33"/>
  <c r="M49" i="33" s="1"/>
  <c r="P23" i="43"/>
  <c r="P26" i="43"/>
  <c r="F285" i="38"/>
  <c r="P57" i="48"/>
  <c r="H86" i="40"/>
  <c r="I75" i="40"/>
  <c r="G55" i="33"/>
  <c r="S94" i="40"/>
  <c r="R95" i="40"/>
  <c r="H65" i="40"/>
  <c r="I40" i="31"/>
  <c r="AN40" i="31" s="1"/>
  <c r="AN45" i="31" s="1"/>
  <c r="H130" i="39"/>
  <c r="AN16" i="31"/>
  <c r="H66" i="41"/>
  <c r="I55" i="41"/>
  <c r="P24" i="43"/>
  <c r="H1" i="42"/>
  <c r="I2" i="42"/>
  <c r="H47" i="42"/>
  <c r="R29" i="32"/>
  <c r="AI51" i="32"/>
  <c r="H39" i="32"/>
  <c r="H108" i="41"/>
  <c r="G27" i="48"/>
  <c r="AY16" i="31"/>
  <c r="J40" i="31"/>
  <c r="AY40" i="31" s="1"/>
  <c r="AY45" i="31" s="1"/>
  <c r="H159" i="39"/>
  <c r="AM27" i="31"/>
  <c r="AM79" i="31"/>
  <c r="AM74" i="31"/>
  <c r="AM67" i="31"/>
  <c r="AM49" i="31"/>
  <c r="AM34" i="31"/>
  <c r="S1" i="43"/>
  <c r="R4" i="43"/>
  <c r="R2" i="43"/>
  <c r="R18" i="43" s="1"/>
  <c r="J339" i="38"/>
  <c r="J36" i="31"/>
  <c r="H155" i="39"/>
  <c r="AU12" i="31"/>
  <c r="G12" i="31"/>
  <c r="AN4" i="31"/>
  <c r="AN23" i="31" s="1"/>
  <c r="AO3" i="31"/>
  <c r="I13" i="31"/>
  <c r="M35" i="33"/>
  <c r="L96" i="41"/>
  <c r="M95" i="41"/>
  <c r="K269" i="40" l="1"/>
  <c r="E55" i="48"/>
  <c r="E57" i="48" s="1"/>
  <c r="H274" i="40"/>
  <c r="D274" i="40" s="1"/>
  <c r="I17" i="52"/>
  <c r="I62" i="52" s="1"/>
  <c r="F5" i="52"/>
  <c r="F50" i="52" s="1"/>
  <c r="D285" i="38"/>
  <c r="L263" i="40"/>
  <c r="G259" i="40"/>
  <c r="H46" i="52"/>
  <c r="H47" i="52" s="1"/>
  <c r="F259" i="40"/>
  <c r="G46" i="52"/>
  <c r="J76" i="41"/>
  <c r="P226" i="40"/>
  <c r="I258" i="40"/>
  <c r="I259" i="40" s="1"/>
  <c r="G327" i="38"/>
  <c r="G47" i="52"/>
  <c r="L331" i="38"/>
  <c r="F327" i="38"/>
  <c r="F47" i="52"/>
  <c r="L332" i="38"/>
  <c r="L335" i="38"/>
  <c r="G223" i="41"/>
  <c r="G248" i="41" s="1"/>
  <c r="K226" i="41"/>
  <c r="F223" i="41"/>
  <c r="F248" i="41" s="1"/>
  <c r="L225" i="41"/>
  <c r="L214" i="41"/>
  <c r="L220" i="41"/>
  <c r="J2" i="41"/>
  <c r="K2" i="41" s="1"/>
  <c r="I79" i="41"/>
  <c r="O250" i="40"/>
  <c r="K234" i="40"/>
  <c r="K240" i="40" s="1"/>
  <c r="O53" i="40"/>
  <c r="P261" i="40"/>
  <c r="J225" i="38"/>
  <c r="J226" i="38" s="1"/>
  <c r="I66" i="38"/>
  <c r="I68" i="38" s="1"/>
  <c r="I63" i="38" s="1"/>
  <c r="I64" i="38" s="1"/>
  <c r="I70" i="38" s="1"/>
  <c r="I71" i="38" s="1"/>
  <c r="H273" i="38"/>
  <c r="P250" i="40"/>
  <c r="O261" i="40"/>
  <c r="J259" i="40"/>
  <c r="J212" i="38"/>
  <c r="J220" i="38" s="1"/>
  <c r="J158" i="38"/>
  <c r="J155" i="38"/>
  <c r="J157" i="38" s="1"/>
  <c r="J156" i="38"/>
  <c r="R16" i="43"/>
  <c r="R17" i="43"/>
  <c r="AX30" i="43"/>
  <c r="H327" i="38"/>
  <c r="M126" i="38"/>
  <c r="M127" i="38" s="1"/>
  <c r="M128" i="38" s="1"/>
  <c r="N126" i="38"/>
  <c r="N127" i="38" s="1"/>
  <c r="N128" i="38" s="1"/>
  <c r="O126" i="38"/>
  <c r="O127" i="38" s="1"/>
  <c r="O128" i="38" s="1"/>
  <c r="L126" i="38"/>
  <c r="L127" i="38" s="1"/>
  <c r="L128" i="38" s="1"/>
  <c r="X126" i="38"/>
  <c r="X127" i="38" s="1"/>
  <c r="X128" i="38" s="1"/>
  <c r="Y126" i="38"/>
  <c r="Y127" i="38" s="1"/>
  <c r="Y128" i="38" s="1"/>
  <c r="R126" i="38"/>
  <c r="R127" i="38" s="1"/>
  <c r="R128" i="38" s="1"/>
  <c r="K126" i="38"/>
  <c r="K127" i="38" s="1"/>
  <c r="K128" i="38" s="1"/>
  <c r="I126" i="38"/>
  <c r="I127" i="38" s="1"/>
  <c r="I128" i="38" s="1"/>
  <c r="U126" i="38"/>
  <c r="U127" i="38" s="1"/>
  <c r="U128" i="38" s="1"/>
  <c r="V126" i="38"/>
  <c r="V127" i="38" s="1"/>
  <c r="V128" i="38" s="1"/>
  <c r="W126" i="38"/>
  <c r="W127" i="38" s="1"/>
  <c r="W128" i="38" s="1"/>
  <c r="P126" i="38"/>
  <c r="P127" i="38" s="1"/>
  <c r="P128" i="38" s="1"/>
  <c r="Q126" i="38"/>
  <c r="Q127" i="38" s="1"/>
  <c r="Q128" i="38" s="1"/>
  <c r="J126" i="38"/>
  <c r="J127" i="38" s="1"/>
  <c r="J128" i="38" s="1"/>
  <c r="Z126" i="38"/>
  <c r="Z127" i="38" s="1"/>
  <c r="Z128" i="38" s="1"/>
  <c r="S126" i="38"/>
  <c r="S127" i="38" s="1"/>
  <c r="S128" i="38" s="1"/>
  <c r="T126" i="38"/>
  <c r="T127" i="38" s="1"/>
  <c r="T128" i="38" s="1"/>
  <c r="F206" i="33"/>
  <c r="Q119" i="38"/>
  <c r="X119" i="38"/>
  <c r="L119" i="38"/>
  <c r="U119" i="38"/>
  <c r="J119" i="38"/>
  <c r="H119" i="38"/>
  <c r="W119" i="38"/>
  <c r="Y119" i="38"/>
  <c r="N119" i="38"/>
  <c r="O119" i="38"/>
  <c r="R119" i="38"/>
  <c r="S119" i="38"/>
  <c r="T119" i="38"/>
  <c r="F119" i="38"/>
  <c r="F118" i="38" s="1"/>
  <c r="G119" i="38"/>
  <c r="V119" i="38"/>
  <c r="K119" i="38"/>
  <c r="M119" i="38"/>
  <c r="I119" i="38"/>
  <c r="Z119" i="38"/>
  <c r="P119" i="38"/>
  <c r="I117" i="38"/>
  <c r="I120" i="38" s="1"/>
  <c r="J117" i="38"/>
  <c r="N29" i="33"/>
  <c r="AX33" i="43"/>
  <c r="I92" i="38"/>
  <c r="K55" i="38"/>
  <c r="J66" i="38"/>
  <c r="J68" i="38" s="1"/>
  <c r="F169" i="41"/>
  <c r="H82" i="33"/>
  <c r="H83" i="33"/>
  <c r="J31" i="41" s="1"/>
  <c r="H84" i="33"/>
  <c r="P47" i="33" s="1"/>
  <c r="G169" i="41"/>
  <c r="I273" i="38"/>
  <c r="J227" i="38"/>
  <c r="J228" i="38" s="1"/>
  <c r="K212" i="38"/>
  <c r="K220" i="38" s="1"/>
  <c r="L140" i="38"/>
  <c r="L225" i="38" s="1"/>
  <c r="L226" i="38" s="1"/>
  <c r="K225" i="38"/>
  <c r="K226" i="38" s="1"/>
  <c r="K227" i="38"/>
  <c r="H261" i="38"/>
  <c r="H262" i="38" s="1"/>
  <c r="K188" i="41"/>
  <c r="K257" i="40"/>
  <c r="J272" i="38"/>
  <c r="I157" i="41"/>
  <c r="I167" i="41" s="1"/>
  <c r="I222" i="41" s="1"/>
  <c r="S92" i="38"/>
  <c r="S93" i="38"/>
  <c r="S131" i="38"/>
  <c r="M92" i="38"/>
  <c r="M93" i="38"/>
  <c r="J92" i="38"/>
  <c r="J93" i="38"/>
  <c r="I100" i="41"/>
  <c r="I326" i="38"/>
  <c r="I46" i="52" s="1"/>
  <c r="J270" i="38"/>
  <c r="J257" i="38"/>
  <c r="J265" i="38" s="1"/>
  <c r="J142" i="38"/>
  <c r="J150" i="38" s="1"/>
  <c r="K272" i="38"/>
  <c r="K156" i="38"/>
  <c r="K155" i="38"/>
  <c r="K157" i="38" s="1"/>
  <c r="K270" i="38"/>
  <c r="K271" i="38" s="1"/>
  <c r="K257" i="38"/>
  <c r="K265" i="38" s="1"/>
  <c r="K158" i="38"/>
  <c r="K142" i="38"/>
  <c r="K150" i="38" s="1"/>
  <c r="I228" i="38"/>
  <c r="I325" i="38"/>
  <c r="I45" i="52" s="1"/>
  <c r="Q49" i="31"/>
  <c r="Q67" i="31"/>
  <c r="Q34" i="31"/>
  <c r="Q74" i="31"/>
  <c r="Q79" i="31"/>
  <c r="Q27" i="31"/>
  <c r="S3" i="31"/>
  <c r="R4" i="31"/>
  <c r="R23" i="31" s="1"/>
  <c r="AC27" i="31"/>
  <c r="AC67" i="31"/>
  <c r="AC34" i="31"/>
  <c r="AC74" i="31"/>
  <c r="AC49" i="31"/>
  <c r="AC79" i="31"/>
  <c r="AE3" i="31"/>
  <c r="AD4" i="31"/>
  <c r="AD23" i="31" s="1"/>
  <c r="F73" i="33"/>
  <c r="F18" i="48" s="1"/>
  <c r="H20" i="48"/>
  <c r="G29" i="32"/>
  <c r="S29" i="32"/>
  <c r="R98" i="48" s="1"/>
  <c r="AJ51" i="32"/>
  <c r="H46" i="33"/>
  <c r="H25" i="48" s="1"/>
  <c r="AX37" i="43"/>
  <c r="Y36" i="31"/>
  <c r="Y45" i="31" s="1"/>
  <c r="G36" i="31"/>
  <c r="AQ38" i="43"/>
  <c r="AS38" i="43"/>
  <c r="F42" i="33"/>
  <c r="F46" i="33"/>
  <c r="F25" i="48" s="1"/>
  <c r="AU38" i="43"/>
  <c r="AW38" i="43"/>
  <c r="AX34" i="43"/>
  <c r="F50" i="33"/>
  <c r="L184" i="41"/>
  <c r="L229" i="41" s="1"/>
  <c r="L183" i="41"/>
  <c r="L228" i="41" s="1"/>
  <c r="L182" i="41"/>
  <c r="L227" i="41" s="1"/>
  <c r="L187" i="41"/>
  <c r="L232" i="41" s="1"/>
  <c r="L186" i="41"/>
  <c r="L231" i="41" s="1"/>
  <c r="M180" i="41"/>
  <c r="L181" i="41"/>
  <c r="J329" i="38"/>
  <c r="K294" i="38"/>
  <c r="J318" i="38"/>
  <c r="J324" i="38"/>
  <c r="L262" i="40"/>
  <c r="L224" i="40"/>
  <c r="H176" i="38"/>
  <c r="H177" i="38" s="1"/>
  <c r="H186" i="38" s="1"/>
  <c r="N216" i="40"/>
  <c r="M223" i="40"/>
  <c r="M268" i="40" s="1"/>
  <c r="M217" i="40"/>
  <c r="M218" i="40"/>
  <c r="M221" i="40"/>
  <c r="M222" i="40"/>
  <c r="M267" i="40" s="1"/>
  <c r="M219" i="40"/>
  <c r="M264" i="40" s="1"/>
  <c r="M220" i="40"/>
  <c r="M265" i="40" s="1"/>
  <c r="L271" i="40"/>
  <c r="I239" i="38"/>
  <c r="I175" i="38"/>
  <c r="I171" i="38"/>
  <c r="I173" i="38" s="1"/>
  <c r="L157" i="40"/>
  <c r="L154" i="40"/>
  <c r="L202" i="40"/>
  <c r="L204" i="40"/>
  <c r="L189" i="40"/>
  <c r="L197" i="40" s="1"/>
  <c r="L155" i="40"/>
  <c r="M139" i="40"/>
  <c r="L141" i="40"/>
  <c r="L149" i="40" s="1"/>
  <c r="J87" i="41"/>
  <c r="K75" i="41"/>
  <c r="K76" i="41" s="1"/>
  <c r="L74" i="41"/>
  <c r="K156" i="40"/>
  <c r="J142" i="41"/>
  <c r="J150" i="41" s="1"/>
  <c r="J156" i="41"/>
  <c r="K140" i="41"/>
  <c r="J155" i="41"/>
  <c r="J158" i="41"/>
  <c r="J168" i="41" s="1"/>
  <c r="K203" i="40"/>
  <c r="I247" i="38"/>
  <c r="O115" i="40"/>
  <c r="N116" i="40"/>
  <c r="L7" i="40"/>
  <c r="L2" i="40"/>
  <c r="L5" i="40"/>
  <c r="M6" i="40"/>
  <c r="L1" i="40"/>
  <c r="M190" i="41"/>
  <c r="L292" i="38"/>
  <c r="L330" i="38"/>
  <c r="N166" i="38"/>
  <c r="M167" i="38"/>
  <c r="M333" i="38"/>
  <c r="M291" i="38"/>
  <c r="M336" i="38" s="1"/>
  <c r="M287" i="38"/>
  <c r="M7" i="52" s="1"/>
  <c r="M52" i="52" s="1"/>
  <c r="M286" i="38"/>
  <c r="M6" i="52" s="1"/>
  <c r="M51" i="52" s="1"/>
  <c r="M285" i="38"/>
  <c r="M5" i="52" s="1"/>
  <c r="M50" i="52" s="1"/>
  <c r="M290" i="38"/>
  <c r="M10" i="52" s="1"/>
  <c r="M55" i="52" s="1"/>
  <c r="M289" i="38"/>
  <c r="M9" i="52" s="1"/>
  <c r="N284" i="38"/>
  <c r="N288" i="38" s="1"/>
  <c r="N8" i="52" s="1"/>
  <c r="N53" i="52" s="1"/>
  <c r="K168" i="38"/>
  <c r="P29" i="40"/>
  <c r="O30" i="40"/>
  <c r="N166" i="40"/>
  <c r="M167" i="40"/>
  <c r="O46" i="33"/>
  <c r="K57" i="40"/>
  <c r="K99" i="40"/>
  <c r="K171" i="40"/>
  <c r="K78" i="40"/>
  <c r="L53" i="41"/>
  <c r="K54" i="41"/>
  <c r="N116" i="41"/>
  <c r="M117" i="41"/>
  <c r="J235" i="38"/>
  <c r="J236" i="38" s="1"/>
  <c r="J244" i="38" s="1"/>
  <c r="K234" i="38"/>
  <c r="Y55" i="32"/>
  <c r="G126" i="39"/>
  <c r="G134" i="39" s="1"/>
  <c r="S22" i="32"/>
  <c r="R71" i="48"/>
  <c r="G218" i="40"/>
  <c r="H218" i="40"/>
  <c r="H40" i="31"/>
  <c r="G40" i="31" s="1"/>
  <c r="AC16" i="31"/>
  <c r="H101" i="39"/>
  <c r="G16" i="31"/>
  <c r="AB39" i="31"/>
  <c r="AB45" i="31" s="1"/>
  <c r="G39" i="31"/>
  <c r="K339" i="38"/>
  <c r="P23" i="33"/>
  <c r="P98" i="48"/>
  <c r="J55" i="41"/>
  <c r="I66" i="41"/>
  <c r="T94" i="40"/>
  <c r="S95" i="40"/>
  <c r="H131" i="39"/>
  <c r="I41" i="31"/>
  <c r="AO41" i="31" s="1"/>
  <c r="AO45" i="31" s="1"/>
  <c r="AO17" i="31"/>
  <c r="I179" i="40"/>
  <c r="J168" i="40"/>
  <c r="F286" i="38"/>
  <c r="F6" i="52" s="1"/>
  <c r="F51" i="52" s="1"/>
  <c r="P58" i="48"/>
  <c r="F131" i="28"/>
  <c r="O22" i="33"/>
  <c r="I7" i="40"/>
  <c r="J7" i="40"/>
  <c r="M39" i="33"/>
  <c r="H17" i="31"/>
  <c r="H40" i="32"/>
  <c r="R30" i="32"/>
  <c r="AI52" i="32"/>
  <c r="K6" i="41"/>
  <c r="K3" i="41"/>
  <c r="K8" i="41"/>
  <c r="L7" i="41"/>
  <c r="R74" i="40"/>
  <c r="S73" i="40"/>
  <c r="Q24" i="43"/>
  <c r="AK13" i="31"/>
  <c r="H127" i="39"/>
  <c r="I37" i="31"/>
  <c r="G13" i="31"/>
  <c r="AO4" i="31"/>
  <c r="AO23" i="31" s="1"/>
  <c r="AP3" i="31"/>
  <c r="M96" i="41"/>
  <c r="N95" i="41"/>
  <c r="AN34" i="31"/>
  <c r="AN74" i="31"/>
  <c r="AN67" i="31"/>
  <c r="AN49" i="31"/>
  <c r="AN79" i="31"/>
  <c r="AN27" i="31"/>
  <c r="R7" i="43"/>
  <c r="R10" i="43"/>
  <c r="R14" i="43"/>
  <c r="R15" i="43"/>
  <c r="R8" i="43"/>
  <c r="R6" i="43"/>
  <c r="R13" i="43"/>
  <c r="R11" i="43"/>
  <c r="R12" i="43"/>
  <c r="R9" i="43"/>
  <c r="Q52" i="40"/>
  <c r="P53" i="40"/>
  <c r="G57" i="33"/>
  <c r="G58" i="33"/>
  <c r="G73" i="33"/>
  <c r="G18" i="48" s="1"/>
  <c r="J96" i="40"/>
  <c r="I107" i="40"/>
  <c r="Q26" i="43"/>
  <c r="Q23" i="43"/>
  <c r="J54" i="40"/>
  <c r="F330" i="38"/>
  <c r="I4" i="47"/>
  <c r="I5" i="47"/>
  <c r="J3" i="47"/>
  <c r="I6" i="47"/>
  <c r="G69" i="33"/>
  <c r="F263" i="40"/>
  <c r="AU36" i="31"/>
  <c r="AU45" i="31" s="1"/>
  <c r="S2" i="43"/>
  <c r="S18" i="43" s="1"/>
  <c r="S4" i="43"/>
  <c r="T1" i="43"/>
  <c r="J75" i="40"/>
  <c r="I86" i="40"/>
  <c r="K120" i="41"/>
  <c r="G61" i="33"/>
  <c r="G15" i="48" s="1"/>
  <c r="Q25" i="43"/>
  <c r="G217" i="40"/>
  <c r="H217" i="40"/>
  <c r="H285" i="38"/>
  <c r="G285" i="38"/>
  <c r="G5" i="52" s="1"/>
  <c r="G50" i="52" s="1"/>
  <c r="G206" i="33"/>
  <c r="E203" i="33"/>
  <c r="G77" i="33"/>
  <c r="F181" i="41"/>
  <c r="T57" i="48"/>
  <c r="O57" i="48" s="1"/>
  <c r="H71" i="39"/>
  <c r="P15" i="31"/>
  <c r="H68" i="39"/>
  <c r="M12" i="31"/>
  <c r="O29" i="33"/>
  <c r="J116" i="40"/>
  <c r="I116" i="40"/>
  <c r="E204" i="33"/>
  <c r="N40" i="33"/>
  <c r="R28" i="33"/>
  <c r="S28" i="33" s="1"/>
  <c r="P40" i="33"/>
  <c r="O40" i="33"/>
  <c r="Q41" i="33"/>
  <c r="I47" i="42"/>
  <c r="I1" i="42"/>
  <c r="J2" i="42"/>
  <c r="G57" i="48"/>
  <c r="H160" i="39"/>
  <c r="J41" i="31"/>
  <c r="AZ41" i="31" s="1"/>
  <c r="AZ45" i="31" s="1"/>
  <c r="AZ17" i="31"/>
  <c r="G65" i="33"/>
  <c r="T29" i="32"/>
  <c r="AK51" i="32"/>
  <c r="J39" i="32"/>
  <c r="G39" i="32" s="1"/>
  <c r="Q30" i="41"/>
  <c r="P31" i="41"/>
  <c r="F262" i="40"/>
  <c r="L269" i="40" l="1"/>
  <c r="M29" i="33"/>
  <c r="J325" i="38"/>
  <c r="J45" i="52" s="1"/>
  <c r="H5" i="52"/>
  <c r="H50" i="52" s="1"/>
  <c r="H263" i="40"/>
  <c r="G263" i="40"/>
  <c r="M263" i="40"/>
  <c r="K198" i="41"/>
  <c r="K204" i="41" s="1"/>
  <c r="P256" i="40"/>
  <c r="Q226" i="40"/>
  <c r="L337" i="38"/>
  <c r="I72" i="38"/>
  <c r="I47" i="52"/>
  <c r="J159" i="38"/>
  <c r="M335" i="38"/>
  <c r="M331" i="38"/>
  <c r="M332" i="38"/>
  <c r="J79" i="41"/>
  <c r="K233" i="41"/>
  <c r="K243" i="41" s="1"/>
  <c r="K247" i="41" s="1"/>
  <c r="F226" i="41"/>
  <c r="I5" i="52"/>
  <c r="L226" i="41"/>
  <c r="M214" i="41"/>
  <c r="M220" i="41"/>
  <c r="M225" i="41"/>
  <c r="J58" i="41"/>
  <c r="K58" i="41" s="1"/>
  <c r="J100" i="41"/>
  <c r="I223" i="41"/>
  <c r="L234" i="40"/>
  <c r="L240" i="40" s="1"/>
  <c r="K235" i="40"/>
  <c r="L270" i="38"/>
  <c r="L271" i="38" s="1"/>
  <c r="L257" i="38"/>
  <c r="L265" i="38" s="1"/>
  <c r="M140" i="38"/>
  <c r="M155" i="38" s="1"/>
  <c r="M157" i="38" s="1"/>
  <c r="L212" i="38"/>
  <c r="L220" i="38" s="1"/>
  <c r="L272" i="38"/>
  <c r="L142" i="38"/>
  <c r="L150" i="38" s="1"/>
  <c r="L155" i="38"/>
  <c r="L157" i="38" s="1"/>
  <c r="L156" i="38"/>
  <c r="L158" i="38"/>
  <c r="L227" i="38"/>
  <c r="L228" i="38" s="1"/>
  <c r="S16" i="43"/>
  <c r="W16" i="43" s="1"/>
  <c r="S17" i="43"/>
  <c r="J120" i="38"/>
  <c r="K120" i="38" s="1"/>
  <c r="L120" i="38" s="1"/>
  <c r="M120" i="38" s="1"/>
  <c r="N120" i="38" s="1"/>
  <c r="O120" i="38" s="1"/>
  <c r="P120" i="38" s="1"/>
  <c r="Q120" i="38" s="1"/>
  <c r="R120" i="38" s="1"/>
  <c r="S120" i="38" s="1"/>
  <c r="T120" i="38" s="1"/>
  <c r="U120" i="38" s="1"/>
  <c r="V120" i="38" s="1"/>
  <c r="W120" i="38" s="1"/>
  <c r="X120" i="38" s="1"/>
  <c r="Y120" i="38" s="1"/>
  <c r="Z120" i="38" s="1"/>
  <c r="H118" i="38"/>
  <c r="G16" i="48"/>
  <c r="E16" i="48" s="1"/>
  <c r="G19" i="48"/>
  <c r="E19" i="48" s="1"/>
  <c r="F24" i="48"/>
  <c r="E24" i="48" s="1"/>
  <c r="P130" i="38"/>
  <c r="P132" i="38" s="1"/>
  <c r="P134" i="38" s="1"/>
  <c r="P118" i="38"/>
  <c r="I130" i="38"/>
  <c r="I132" i="38" s="1"/>
  <c r="I134" i="38" s="1"/>
  <c r="I118" i="38"/>
  <c r="K130" i="38"/>
  <c r="K132" i="38" s="1"/>
  <c r="K134" i="38" s="1"/>
  <c r="K118" i="38"/>
  <c r="G118" i="38"/>
  <c r="T130" i="38"/>
  <c r="T118" i="38"/>
  <c r="R130" i="38"/>
  <c r="R132" i="38" s="1"/>
  <c r="R134" i="38" s="1"/>
  <c r="R136" i="38" s="1"/>
  <c r="R118" i="38"/>
  <c r="N130" i="38"/>
  <c r="N132" i="38" s="1"/>
  <c r="N134" i="38" s="1"/>
  <c r="N118" i="38"/>
  <c r="W130" i="38"/>
  <c r="W118" i="38"/>
  <c r="J130" i="38"/>
  <c r="J132" i="38" s="1"/>
  <c r="J134" i="38" s="1"/>
  <c r="J118" i="38"/>
  <c r="L130" i="38"/>
  <c r="L132" i="38" s="1"/>
  <c r="L134" i="38" s="1"/>
  <c r="L118" i="38"/>
  <c r="Q130" i="38"/>
  <c r="Q132" i="38" s="1"/>
  <c r="Q134" i="38" s="1"/>
  <c r="Q135" i="38" s="1"/>
  <c r="Q118" i="38"/>
  <c r="G17" i="48"/>
  <c r="E17" i="48" s="1"/>
  <c r="F26" i="48"/>
  <c r="E26" i="48" s="1"/>
  <c r="Z130" i="38"/>
  <c r="Z118" i="38"/>
  <c r="M130" i="38"/>
  <c r="M132" i="38" s="1"/>
  <c r="M134" i="38" s="1"/>
  <c r="M118" i="38"/>
  <c r="V130" i="38"/>
  <c r="V118" i="38"/>
  <c r="S130" i="38"/>
  <c r="S132" i="38" s="1"/>
  <c r="S134" i="38" s="1"/>
  <c r="S118" i="38"/>
  <c r="O130" i="38"/>
  <c r="O132" i="38" s="1"/>
  <c r="O134" i="38" s="1"/>
  <c r="O118" i="38"/>
  <c r="Y130" i="38"/>
  <c r="Y118" i="38"/>
  <c r="U130" i="38"/>
  <c r="U118" i="38"/>
  <c r="X130" i="38"/>
  <c r="X118" i="38"/>
  <c r="H86" i="33"/>
  <c r="L55" i="38"/>
  <c r="K66" i="38"/>
  <c r="K68" i="38" s="1"/>
  <c r="J70" i="38"/>
  <c r="J63" i="38"/>
  <c r="I31" i="41"/>
  <c r="I32" i="41" s="1"/>
  <c r="H85" i="33"/>
  <c r="J166" i="41"/>
  <c r="J221" i="41" s="1"/>
  <c r="I327" i="38"/>
  <c r="K273" i="38"/>
  <c r="AH51" i="32"/>
  <c r="K325" i="38"/>
  <c r="K45" i="52" s="1"/>
  <c r="K159" i="38"/>
  <c r="T131" i="38"/>
  <c r="K158" i="40"/>
  <c r="K258" i="40"/>
  <c r="K259" i="40" s="1"/>
  <c r="L156" i="40"/>
  <c r="L158" i="40" s="1"/>
  <c r="L257" i="40"/>
  <c r="J271" i="38"/>
  <c r="J326" i="38" s="1"/>
  <c r="R79" i="31"/>
  <c r="R34" i="31"/>
  <c r="R74" i="31"/>
  <c r="R49" i="31"/>
  <c r="R27" i="31"/>
  <c r="R67" i="31"/>
  <c r="T3" i="31"/>
  <c r="S4" i="31"/>
  <c r="S23" i="31" s="1"/>
  <c r="AD34" i="31"/>
  <c r="AD27" i="31"/>
  <c r="AD67" i="31"/>
  <c r="AD49" i="31"/>
  <c r="AD79" i="31"/>
  <c r="AD74" i="31"/>
  <c r="AF3" i="31"/>
  <c r="AE4" i="31"/>
  <c r="AE23" i="31" s="1"/>
  <c r="F20" i="48"/>
  <c r="F84" i="33"/>
  <c r="F83" i="33"/>
  <c r="F82" i="33"/>
  <c r="F55" i="33"/>
  <c r="N22" i="33" s="1"/>
  <c r="AX38" i="43"/>
  <c r="H55" i="33"/>
  <c r="P22" i="33" s="1"/>
  <c r="P31" i="33" s="1"/>
  <c r="E25" i="48"/>
  <c r="H54" i="33"/>
  <c r="H27" i="48"/>
  <c r="H56" i="33"/>
  <c r="P46" i="33" s="1"/>
  <c r="E23" i="48"/>
  <c r="F54" i="33"/>
  <c r="G82" i="33"/>
  <c r="F56" i="33"/>
  <c r="M185" i="41"/>
  <c r="M230" i="41" s="1"/>
  <c r="M186" i="41"/>
  <c r="M231" i="41" s="1"/>
  <c r="M184" i="41"/>
  <c r="M229" i="41" s="1"/>
  <c r="M181" i="41"/>
  <c r="M182" i="41"/>
  <c r="M227" i="41" s="1"/>
  <c r="M183" i="41"/>
  <c r="M228" i="41" s="1"/>
  <c r="M187" i="41"/>
  <c r="M232" i="41" s="1"/>
  <c r="N180" i="41"/>
  <c r="L188" i="41"/>
  <c r="K324" i="38"/>
  <c r="K329" i="38"/>
  <c r="K318" i="38"/>
  <c r="L294" i="38"/>
  <c r="M224" i="40"/>
  <c r="M262" i="40"/>
  <c r="M269" i="40" s="1"/>
  <c r="N223" i="40"/>
  <c r="N268" i="40" s="1"/>
  <c r="N220" i="40"/>
  <c r="N265" i="40" s="1"/>
  <c r="N219" i="40"/>
  <c r="N264" i="40" s="1"/>
  <c r="N222" i="40"/>
  <c r="N267" i="40" s="1"/>
  <c r="N221" i="40"/>
  <c r="N218" i="40"/>
  <c r="N217" i="40"/>
  <c r="O216" i="40"/>
  <c r="K326" i="38"/>
  <c r="K46" i="52" s="1"/>
  <c r="M271" i="40"/>
  <c r="K87" i="41"/>
  <c r="J239" i="38"/>
  <c r="J171" i="38"/>
  <c r="J173" i="38" s="1"/>
  <c r="J175" i="38"/>
  <c r="K205" i="40"/>
  <c r="I169" i="41"/>
  <c r="K228" i="38"/>
  <c r="J157" i="41"/>
  <c r="J167" i="41" s="1"/>
  <c r="J222" i="41" s="1"/>
  <c r="N139" i="40"/>
  <c r="M189" i="40"/>
  <c r="M197" i="40" s="1"/>
  <c r="M204" i="40"/>
  <c r="M154" i="40"/>
  <c r="M141" i="40"/>
  <c r="M149" i="40" s="1"/>
  <c r="M157" i="40"/>
  <c r="M155" i="40"/>
  <c r="M202" i="40"/>
  <c r="L75" i="41"/>
  <c r="L76" i="41" s="1"/>
  <c r="L87" i="41" s="1"/>
  <c r="M74" i="41"/>
  <c r="I176" i="38"/>
  <c r="L140" i="41"/>
  <c r="K155" i="41"/>
  <c r="K156" i="41"/>
  <c r="K142" i="41"/>
  <c r="K150" i="41" s="1"/>
  <c r="K158" i="41"/>
  <c r="K168" i="41" s="1"/>
  <c r="L203" i="40"/>
  <c r="J247" i="38"/>
  <c r="M2" i="40"/>
  <c r="M5" i="40"/>
  <c r="N6" i="40"/>
  <c r="M7" i="40"/>
  <c r="M1" i="40"/>
  <c r="L168" i="38"/>
  <c r="N333" i="38"/>
  <c r="N291" i="38"/>
  <c r="N11" i="52" s="1"/>
  <c r="N56" i="52" s="1"/>
  <c r="N289" i="38"/>
  <c r="N9" i="52" s="1"/>
  <c r="N287" i="38"/>
  <c r="N7" i="52" s="1"/>
  <c r="N52" i="52" s="1"/>
  <c r="N290" i="38"/>
  <c r="N10" i="52" s="1"/>
  <c r="N55" i="52" s="1"/>
  <c r="N286" i="38"/>
  <c r="N6" i="52" s="1"/>
  <c r="N51" i="52" s="1"/>
  <c r="N285" i="38"/>
  <c r="N5" i="52" s="1"/>
  <c r="N50" i="52" s="1"/>
  <c r="O284" i="38"/>
  <c r="O288" i="38" s="1"/>
  <c r="O8" i="52" s="1"/>
  <c r="O53" i="52" s="1"/>
  <c r="E206" i="33"/>
  <c r="N190" i="41"/>
  <c r="O166" i="40"/>
  <c r="N167" i="40"/>
  <c r="M330" i="38"/>
  <c r="M292" i="38"/>
  <c r="O116" i="40"/>
  <c r="P115" i="40"/>
  <c r="L234" i="38"/>
  <c r="K235" i="38"/>
  <c r="K236" i="38" s="1"/>
  <c r="K244" i="38" s="1"/>
  <c r="O116" i="41"/>
  <c r="N117" i="41"/>
  <c r="M53" i="41"/>
  <c r="L54" i="41"/>
  <c r="Q29" i="40"/>
  <c r="P30" i="40"/>
  <c r="O166" i="38"/>
  <c r="N167" i="38"/>
  <c r="L57" i="40"/>
  <c r="L99" i="40"/>
  <c r="L78" i="40"/>
  <c r="L171" i="40"/>
  <c r="S14" i="43"/>
  <c r="W14" i="43" s="1"/>
  <c r="S9" i="43"/>
  <c r="S6" i="43"/>
  <c r="S13" i="43"/>
  <c r="W13" i="43" s="1"/>
  <c r="S11" i="43"/>
  <c r="W11" i="43" s="1"/>
  <c r="S8" i="43"/>
  <c r="S7" i="43"/>
  <c r="W7" i="43" s="1"/>
  <c r="S10" i="43"/>
  <c r="W10" i="43" s="1"/>
  <c r="S12" i="43"/>
  <c r="W12" i="43" s="1"/>
  <c r="S15" i="43"/>
  <c r="W15" i="43" s="1"/>
  <c r="R25" i="43"/>
  <c r="T95" i="40"/>
  <c r="U94" i="40"/>
  <c r="O41" i="33"/>
  <c r="I19" i="31" s="1"/>
  <c r="R29" i="33"/>
  <c r="S29" i="33" s="1"/>
  <c r="N41" i="33"/>
  <c r="P41" i="33"/>
  <c r="J19" i="31" s="1"/>
  <c r="Q42" i="33"/>
  <c r="H18" i="31"/>
  <c r="H42" i="31" s="1"/>
  <c r="M40" i="33"/>
  <c r="L120" i="41"/>
  <c r="J65" i="40"/>
  <c r="J67" i="40" s="1"/>
  <c r="K54" i="40"/>
  <c r="AK37" i="31"/>
  <c r="AK45" i="31" s="1"/>
  <c r="G37" i="31"/>
  <c r="F331" i="38"/>
  <c r="Q16" i="31"/>
  <c r="H72" i="39"/>
  <c r="J18" i="31"/>
  <c r="H330" i="38"/>
  <c r="K96" i="40"/>
  <c r="J107" i="40"/>
  <c r="J109" i="40" s="1"/>
  <c r="R24" i="43"/>
  <c r="H181" i="41"/>
  <c r="G181" i="41"/>
  <c r="H262" i="40"/>
  <c r="I8" i="40"/>
  <c r="R92" i="48"/>
  <c r="AD55" i="32"/>
  <c r="K79" i="41"/>
  <c r="K100" i="41"/>
  <c r="R30" i="41"/>
  <c r="Q31" i="41"/>
  <c r="T98" i="48"/>
  <c r="I119" i="40"/>
  <c r="G262" i="40"/>
  <c r="G84" i="33"/>
  <c r="G83" i="33"/>
  <c r="R52" i="40"/>
  <c r="Q53" i="40"/>
  <c r="N96" i="41"/>
  <c r="O95" i="41"/>
  <c r="G17" i="31"/>
  <c r="AD17" i="31"/>
  <c r="H41" i="31"/>
  <c r="H102" i="39"/>
  <c r="J66" i="41"/>
  <c r="J68" i="41" s="1"/>
  <c r="K55" i="41"/>
  <c r="L339" i="38"/>
  <c r="G286" i="38"/>
  <c r="G6" i="52" s="1"/>
  <c r="G51" i="52" s="1"/>
  <c r="H286" i="38"/>
  <c r="H6" i="52" s="1"/>
  <c r="H51" i="52" s="1"/>
  <c r="R26" i="43"/>
  <c r="R23" i="43"/>
  <c r="AQ3" i="31"/>
  <c r="AP4" i="31"/>
  <c r="AP23" i="31" s="1"/>
  <c r="AC40" i="31"/>
  <c r="AC45" i="31" s="1"/>
  <c r="AO27" i="31"/>
  <c r="AO67" i="31"/>
  <c r="AO34" i="31"/>
  <c r="AO49" i="31"/>
  <c r="AO74" i="31"/>
  <c r="AO79" i="31"/>
  <c r="T73" i="40"/>
  <c r="S74" i="40"/>
  <c r="J8" i="32"/>
  <c r="F182" i="41" s="1"/>
  <c r="F227" i="41" s="1"/>
  <c r="Q29" i="32"/>
  <c r="J86" i="40"/>
  <c r="K75" i="40"/>
  <c r="M36" i="31"/>
  <c r="M45" i="31" s="1"/>
  <c r="K2" i="42"/>
  <c r="J1" i="42"/>
  <c r="J47" i="42"/>
  <c r="I18" i="31"/>
  <c r="G330" i="38"/>
  <c r="T2" i="43"/>
  <c r="T18" i="43" s="1"/>
  <c r="V18" i="43" s="1"/>
  <c r="U1" i="43"/>
  <c r="T4" i="43"/>
  <c r="J5" i="47"/>
  <c r="J4" i="47"/>
  <c r="K3" i="47"/>
  <c r="J6" i="47"/>
  <c r="N13" i="31"/>
  <c r="H69" i="39"/>
  <c r="L3" i="41"/>
  <c r="L6" i="41"/>
  <c r="L8" i="41"/>
  <c r="L2" i="41"/>
  <c r="M7" i="41"/>
  <c r="J179" i="40"/>
  <c r="K168" i="40"/>
  <c r="P39" i="31"/>
  <c r="P45" i="31" s="1"/>
  <c r="I6" i="52" l="1"/>
  <c r="I51" i="52" s="1"/>
  <c r="K199" i="41"/>
  <c r="K244" i="41"/>
  <c r="N263" i="40"/>
  <c r="L273" i="38"/>
  <c r="J46" i="52"/>
  <c r="J47" i="52" s="1"/>
  <c r="L198" i="41"/>
  <c r="L243" i="41" s="1"/>
  <c r="R226" i="40"/>
  <c r="Q250" i="40"/>
  <c r="Q261" i="40"/>
  <c r="Q256" i="40"/>
  <c r="M337" i="38"/>
  <c r="M272" i="38"/>
  <c r="L325" i="38"/>
  <c r="L45" i="52" s="1"/>
  <c r="M270" i="38"/>
  <c r="M156" i="38"/>
  <c r="M225" i="38"/>
  <c r="M227" i="38"/>
  <c r="M212" i="38"/>
  <c r="M220" i="38" s="1"/>
  <c r="N140" i="38"/>
  <c r="O140" i="38" s="1"/>
  <c r="M142" i="38"/>
  <c r="M150" i="38" s="1"/>
  <c r="M257" i="38"/>
  <c r="M265" i="38" s="1"/>
  <c r="M158" i="38"/>
  <c r="N331" i="38"/>
  <c r="N335" i="38"/>
  <c r="N332" i="38"/>
  <c r="N336" i="38"/>
  <c r="K47" i="52"/>
  <c r="M226" i="41"/>
  <c r="N214" i="41"/>
  <c r="N220" i="41"/>
  <c r="N225" i="41"/>
  <c r="L233" i="41"/>
  <c r="I50" i="52"/>
  <c r="G226" i="41"/>
  <c r="J5" i="52"/>
  <c r="J50" i="52" s="1"/>
  <c r="H226" i="41"/>
  <c r="K5" i="52"/>
  <c r="K50" i="52" s="1"/>
  <c r="J223" i="41"/>
  <c r="M234" i="40"/>
  <c r="N22" i="52" s="1"/>
  <c r="L235" i="40"/>
  <c r="L159" i="38"/>
  <c r="F197" i="41"/>
  <c r="Q136" i="38"/>
  <c r="R135" i="38"/>
  <c r="T16" i="43"/>
  <c r="T17" i="43"/>
  <c r="L136" i="38"/>
  <c r="L135" i="38"/>
  <c r="J136" i="38"/>
  <c r="J135" i="38"/>
  <c r="O136" i="38"/>
  <c r="O135" i="38"/>
  <c r="P136" i="38"/>
  <c r="P135" i="38"/>
  <c r="N135" i="38"/>
  <c r="N136" i="38"/>
  <c r="K135" i="38"/>
  <c r="K136" i="38"/>
  <c r="F10" i="39" s="1"/>
  <c r="M136" i="38"/>
  <c r="M135" i="38"/>
  <c r="I136" i="38"/>
  <c r="I135" i="38"/>
  <c r="W9" i="43"/>
  <c r="S25" i="43"/>
  <c r="J71" i="38"/>
  <c r="J72" i="38"/>
  <c r="K70" i="38"/>
  <c r="K63" i="38"/>
  <c r="M55" i="38"/>
  <c r="L66" i="38"/>
  <c r="L68" i="38" s="1"/>
  <c r="N47" i="33"/>
  <c r="M34" i="38"/>
  <c r="Y34" i="38"/>
  <c r="L34" i="38"/>
  <c r="N34" i="38"/>
  <c r="Z34" i="38"/>
  <c r="K34" i="38"/>
  <c r="O34" i="38"/>
  <c r="I34" i="38"/>
  <c r="R34" i="38"/>
  <c r="P34" i="38"/>
  <c r="Q34" i="38"/>
  <c r="F34" i="38"/>
  <c r="S34" i="38"/>
  <c r="G34" i="38"/>
  <c r="T34" i="38"/>
  <c r="J34" i="38"/>
  <c r="W34" i="38"/>
  <c r="X34" i="38"/>
  <c r="H34" i="38"/>
  <c r="U34" i="38"/>
  <c r="V34" i="38"/>
  <c r="J31" i="38"/>
  <c r="I31" i="38"/>
  <c r="I32" i="38" s="1"/>
  <c r="K166" i="41"/>
  <c r="K221" i="41" s="1"/>
  <c r="N46" i="33"/>
  <c r="M46" i="33" s="1"/>
  <c r="Y11" i="38"/>
  <c r="M11" i="38"/>
  <c r="L11" i="38"/>
  <c r="T11" i="38"/>
  <c r="Z11" i="38"/>
  <c r="N11" i="38"/>
  <c r="S11" i="38"/>
  <c r="I11" i="38"/>
  <c r="O11" i="38"/>
  <c r="P11" i="38"/>
  <c r="G11" i="38"/>
  <c r="Q11" i="38"/>
  <c r="X11" i="38"/>
  <c r="H11" i="38"/>
  <c r="U11" i="38"/>
  <c r="V11" i="38"/>
  <c r="W11" i="38"/>
  <c r="J11" i="38"/>
  <c r="K11" i="38"/>
  <c r="R11" i="38"/>
  <c r="I8" i="38"/>
  <c r="J8" i="38"/>
  <c r="G17" i="38"/>
  <c r="G18" i="38" s="1"/>
  <c r="H17" i="38"/>
  <c r="H18" i="38" s="1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U18" i="38" s="1"/>
  <c r="V17" i="38"/>
  <c r="W17" i="38"/>
  <c r="X17" i="38"/>
  <c r="Y17" i="38"/>
  <c r="Z17" i="38"/>
  <c r="K327" i="38"/>
  <c r="J159" i="41"/>
  <c r="J327" i="38"/>
  <c r="L158" i="41"/>
  <c r="L168" i="41" s="1"/>
  <c r="L155" i="41"/>
  <c r="L258" i="40"/>
  <c r="L259" i="40" s="1"/>
  <c r="S136" i="38"/>
  <c r="S135" i="38"/>
  <c r="J273" i="38"/>
  <c r="U131" i="38"/>
  <c r="T132" i="38"/>
  <c r="T134" i="38" s="1"/>
  <c r="N40" i="38"/>
  <c r="R40" i="38"/>
  <c r="V40" i="38"/>
  <c r="Z40" i="38"/>
  <c r="K40" i="38"/>
  <c r="S40" i="38"/>
  <c r="Q40" i="38"/>
  <c r="U40" i="38"/>
  <c r="O40" i="38"/>
  <c r="W40" i="38"/>
  <c r="J40" i="38"/>
  <c r="L40" i="38"/>
  <c r="P40" i="38"/>
  <c r="T40" i="38"/>
  <c r="X40" i="38"/>
  <c r="I40" i="38"/>
  <c r="M40" i="38"/>
  <c r="Y40" i="38"/>
  <c r="U20" i="38"/>
  <c r="M156" i="40"/>
  <c r="M158" i="40" s="1"/>
  <c r="M257" i="40"/>
  <c r="I177" i="38"/>
  <c r="I186" i="38" s="1"/>
  <c r="S67" i="31"/>
  <c r="S49" i="31"/>
  <c r="S74" i="31"/>
  <c r="S79" i="31"/>
  <c r="S34" i="31"/>
  <c r="S27" i="31"/>
  <c r="U3" i="31"/>
  <c r="U4" i="31" s="1"/>
  <c r="U23" i="31" s="1"/>
  <c r="T4" i="31"/>
  <c r="T23" i="31" s="1"/>
  <c r="AE27" i="31"/>
  <c r="AE49" i="31"/>
  <c r="AE67" i="31"/>
  <c r="AE74" i="31"/>
  <c r="AE79" i="31"/>
  <c r="AE34" i="31"/>
  <c r="AF4" i="31"/>
  <c r="AF23" i="31" s="1"/>
  <c r="AG3" i="31"/>
  <c r="AG4" i="31" s="1"/>
  <c r="AG23" i="31" s="1"/>
  <c r="E18" i="48"/>
  <c r="N23" i="33"/>
  <c r="F85" i="33"/>
  <c r="F67" i="48" s="1"/>
  <c r="F86" i="33"/>
  <c r="E67" i="48" s="1"/>
  <c r="P176" i="33"/>
  <c r="J20" i="32" s="1"/>
  <c r="H57" i="33"/>
  <c r="J8" i="41"/>
  <c r="I8" i="41"/>
  <c r="I9" i="41" s="1"/>
  <c r="H58" i="33"/>
  <c r="E54" i="33"/>
  <c r="E56" i="33"/>
  <c r="N176" i="33"/>
  <c r="H20" i="32" s="1"/>
  <c r="H297" i="38" s="1"/>
  <c r="F58" i="33"/>
  <c r="E74" i="48" s="1"/>
  <c r="F57" i="33"/>
  <c r="F74" i="48" s="1"/>
  <c r="E55" i="33"/>
  <c r="E22" i="48"/>
  <c r="E27" i="48" s="1"/>
  <c r="F27" i="48"/>
  <c r="N184" i="41"/>
  <c r="N229" i="41" s="1"/>
  <c r="N183" i="41"/>
  <c r="N228" i="41" s="1"/>
  <c r="N186" i="41"/>
  <c r="N231" i="41" s="1"/>
  <c r="N182" i="41"/>
  <c r="N227" i="41" s="1"/>
  <c r="N185" i="41"/>
  <c r="N230" i="41" s="1"/>
  <c r="O180" i="41"/>
  <c r="N187" i="41"/>
  <c r="N232" i="41" s="1"/>
  <c r="N181" i="41"/>
  <c r="M188" i="41"/>
  <c r="L324" i="38"/>
  <c r="L329" i="38"/>
  <c r="M294" i="38"/>
  <c r="L318" i="38"/>
  <c r="O221" i="40"/>
  <c r="O217" i="40"/>
  <c r="O223" i="40"/>
  <c r="O268" i="40" s="1"/>
  <c r="P216" i="40"/>
  <c r="O222" i="40"/>
  <c r="O267" i="40" s="1"/>
  <c r="O220" i="40"/>
  <c r="O265" i="40" s="1"/>
  <c r="O218" i="40"/>
  <c r="O219" i="40"/>
  <c r="O264" i="40" s="1"/>
  <c r="N262" i="40"/>
  <c r="N269" i="40" s="1"/>
  <c r="N224" i="40"/>
  <c r="L326" i="38"/>
  <c r="L46" i="52" s="1"/>
  <c r="N271" i="40"/>
  <c r="K171" i="38"/>
  <c r="K173" i="38" s="1"/>
  <c r="K239" i="38"/>
  <c r="K175" i="38"/>
  <c r="M226" i="38"/>
  <c r="M228" i="38" s="1"/>
  <c r="M325" i="38"/>
  <c r="M45" i="52" s="1"/>
  <c r="M271" i="38"/>
  <c r="M203" i="40"/>
  <c r="K157" i="41"/>
  <c r="K167" i="41" s="1"/>
  <c r="K222" i="41" s="1"/>
  <c r="J169" i="41"/>
  <c r="N141" i="40"/>
  <c r="N149" i="40" s="1"/>
  <c r="N155" i="40"/>
  <c r="N189" i="40"/>
  <c r="N197" i="40" s="1"/>
  <c r="O139" i="40"/>
  <c r="N212" i="38"/>
  <c r="N220" i="38" s="1"/>
  <c r="N272" i="38"/>
  <c r="N227" i="38"/>
  <c r="L156" i="41"/>
  <c r="L142" i="41"/>
  <c r="L150" i="41" s="1"/>
  <c r="M140" i="41"/>
  <c r="M156" i="41" s="1"/>
  <c r="J176" i="38"/>
  <c r="J177" i="38" s="1"/>
  <c r="J186" i="38" s="1"/>
  <c r="L205" i="40"/>
  <c r="M75" i="41"/>
  <c r="M76" i="41" s="1"/>
  <c r="N74" i="41"/>
  <c r="P116" i="41"/>
  <c r="O117" i="41"/>
  <c r="P166" i="40"/>
  <c r="O167" i="40"/>
  <c r="N53" i="41"/>
  <c r="M54" i="41"/>
  <c r="R29" i="40"/>
  <c r="Q30" i="40"/>
  <c r="L235" i="38"/>
  <c r="L236" i="38" s="1"/>
  <c r="L244" i="38" s="1"/>
  <c r="M234" i="38"/>
  <c r="O190" i="41"/>
  <c r="P166" i="38"/>
  <c r="O167" i="38"/>
  <c r="Q115" i="40"/>
  <c r="P116" i="40"/>
  <c r="O289" i="38"/>
  <c r="O9" i="52" s="1"/>
  <c r="O333" i="38"/>
  <c r="P284" i="38"/>
  <c r="P288" i="38" s="1"/>
  <c r="P8" i="52" s="1"/>
  <c r="P53" i="52" s="1"/>
  <c r="O290" i="38"/>
  <c r="O10" i="52" s="1"/>
  <c r="O55" i="52" s="1"/>
  <c r="O286" i="38"/>
  <c r="O6" i="52" s="1"/>
  <c r="O51" i="52" s="1"/>
  <c r="O285" i="38"/>
  <c r="O5" i="52" s="1"/>
  <c r="O50" i="52" s="1"/>
  <c r="O291" i="38"/>
  <c r="O11" i="52" s="1"/>
  <c r="O56" i="52" s="1"/>
  <c r="O287" i="38"/>
  <c r="O7" i="52" s="1"/>
  <c r="O52" i="52" s="1"/>
  <c r="N1" i="40"/>
  <c r="N5" i="40"/>
  <c r="O6" i="40"/>
  <c r="N2" i="40"/>
  <c r="N7" i="40"/>
  <c r="N330" i="38"/>
  <c r="N292" i="38"/>
  <c r="M168" i="38"/>
  <c r="M171" i="40"/>
  <c r="M99" i="40"/>
  <c r="M57" i="40"/>
  <c r="M78" i="40"/>
  <c r="K247" i="38"/>
  <c r="S52" i="40"/>
  <c r="R53" i="40"/>
  <c r="L58" i="41"/>
  <c r="L79" i="41"/>
  <c r="L82" i="41" s="1"/>
  <c r="L83" i="41" s="1"/>
  <c r="L100" i="41"/>
  <c r="Q40" i="31"/>
  <c r="Q45" i="31" s="1"/>
  <c r="L55" i="41"/>
  <c r="K66" i="41"/>
  <c r="K68" i="41" s="1"/>
  <c r="K63" i="41" s="1"/>
  <c r="AD41" i="31"/>
  <c r="AD45" i="31" s="1"/>
  <c r="G41" i="31"/>
  <c r="G20" i="48"/>
  <c r="E15" i="48"/>
  <c r="S30" i="41"/>
  <c r="R31" i="41"/>
  <c r="L96" i="40"/>
  <c r="K107" i="40"/>
  <c r="K109" i="40" s="1"/>
  <c r="S26" i="43"/>
  <c r="S23" i="43"/>
  <c r="W6" i="43"/>
  <c r="O23" i="33"/>
  <c r="J30" i="40"/>
  <c r="I30" i="40"/>
  <c r="E83" i="33"/>
  <c r="U73" i="40"/>
  <c r="T74" i="40"/>
  <c r="P95" i="41"/>
  <c r="O96" i="41"/>
  <c r="O47" i="33"/>
  <c r="E84" i="33"/>
  <c r="K65" i="40"/>
  <c r="K67" i="40" s="1"/>
  <c r="L54" i="40"/>
  <c r="M120" i="41"/>
  <c r="G18" i="31"/>
  <c r="AE18" i="31"/>
  <c r="H103" i="39"/>
  <c r="L75" i="40"/>
  <c r="K86" i="40"/>
  <c r="M3" i="41"/>
  <c r="N7" i="41"/>
  <c r="M8" i="41"/>
  <c r="M2" i="41"/>
  <c r="M6" i="41"/>
  <c r="T10" i="43"/>
  <c r="T6" i="43"/>
  <c r="T8" i="43"/>
  <c r="T12" i="43"/>
  <c r="T11" i="43"/>
  <c r="T13" i="43"/>
  <c r="T15" i="43"/>
  <c r="T14" i="43"/>
  <c r="T9" i="43"/>
  <c r="T7" i="43"/>
  <c r="AP67" i="31"/>
  <c r="AP34" i="31"/>
  <c r="AP79" i="31"/>
  <c r="AP74" i="31"/>
  <c r="AP27" i="31"/>
  <c r="AP49" i="31"/>
  <c r="H331" i="38"/>
  <c r="H73" i="39"/>
  <c r="R17" i="31"/>
  <c r="J119" i="40"/>
  <c r="J8" i="40"/>
  <c r="P42" i="33"/>
  <c r="O42" i="33"/>
  <c r="I20" i="31" s="1"/>
  <c r="I10" i="31" s="1"/>
  <c r="N42" i="33"/>
  <c r="R30" i="33"/>
  <c r="S30" i="33" s="1"/>
  <c r="U95" i="40"/>
  <c r="V94" i="40"/>
  <c r="T58" i="48"/>
  <c r="G8" i="32"/>
  <c r="AQ19" i="31"/>
  <c r="I43" i="31"/>
  <c r="AQ43" i="31" s="1"/>
  <c r="AQ45" i="31" s="1"/>
  <c r="K1" i="42"/>
  <c r="K47" i="42"/>
  <c r="L2" i="42"/>
  <c r="G85" i="33"/>
  <c r="G86" i="33"/>
  <c r="E82" i="33"/>
  <c r="U4" i="43"/>
  <c r="U2" i="43"/>
  <c r="U17" i="43" s="1"/>
  <c r="K179" i="40"/>
  <c r="L168" i="40"/>
  <c r="AQ4" i="31"/>
  <c r="AQ23" i="31" s="1"/>
  <c r="AR3" i="31"/>
  <c r="AR4" i="31" s="1"/>
  <c r="AR23" i="31" s="1"/>
  <c r="G331" i="38"/>
  <c r="M339" i="38"/>
  <c r="J43" i="31"/>
  <c r="BB43" i="31" s="1"/>
  <c r="BB45" i="31" s="1"/>
  <c r="BB19" i="31"/>
  <c r="K4" i="47"/>
  <c r="L3" i="47"/>
  <c r="K5" i="47"/>
  <c r="K6" i="47"/>
  <c r="H132" i="39"/>
  <c r="AP18" i="31"/>
  <c r="I42" i="31"/>
  <c r="J32" i="41"/>
  <c r="T30" i="32"/>
  <c r="J40" i="32"/>
  <c r="AK52" i="32"/>
  <c r="G30" i="32"/>
  <c r="M41" i="33"/>
  <c r="H19" i="31"/>
  <c r="S24" i="43"/>
  <c r="W8" i="43"/>
  <c r="J42" i="31"/>
  <c r="H161" i="39"/>
  <c r="BA18" i="31"/>
  <c r="N37" i="31"/>
  <c r="M159" i="38" l="1"/>
  <c r="N45" i="31"/>
  <c r="L199" i="41"/>
  <c r="H17" i="52"/>
  <c r="H342" i="38"/>
  <c r="L204" i="41"/>
  <c r="Z55" i="32"/>
  <c r="H193" i="41"/>
  <c r="O263" i="40"/>
  <c r="L47" i="52"/>
  <c r="M198" i="41"/>
  <c r="M243" i="41" s="1"/>
  <c r="M273" i="38"/>
  <c r="R261" i="40"/>
  <c r="R256" i="40"/>
  <c r="R250" i="40"/>
  <c r="S226" i="40"/>
  <c r="M240" i="40"/>
  <c r="N155" i="38"/>
  <c r="N157" i="38" s="1"/>
  <c r="N158" i="38"/>
  <c r="N156" i="38"/>
  <c r="N142" i="38"/>
  <c r="N150" i="38" s="1"/>
  <c r="N257" i="38"/>
  <c r="N265" i="38" s="1"/>
  <c r="N225" i="38"/>
  <c r="N270" i="38"/>
  <c r="N57" i="52"/>
  <c r="N67" i="52" s="1"/>
  <c r="N71" i="52" s="1"/>
  <c r="N337" i="38"/>
  <c r="O332" i="38"/>
  <c r="O336" i="38"/>
  <c r="O331" i="38"/>
  <c r="O335" i="38"/>
  <c r="N12" i="52"/>
  <c r="K223" i="41"/>
  <c r="L247" i="41"/>
  <c r="L244" i="41"/>
  <c r="O220" i="41"/>
  <c r="O214" i="41"/>
  <c r="O225" i="41"/>
  <c r="N226" i="41"/>
  <c r="M233" i="41"/>
  <c r="I25" i="52"/>
  <c r="N234" i="40"/>
  <c r="O22" i="52" s="1"/>
  <c r="M235" i="40"/>
  <c r="M204" i="41"/>
  <c r="U16" i="43"/>
  <c r="V16" i="43" s="1"/>
  <c r="V17" i="43"/>
  <c r="L70" i="38"/>
  <c r="L63" i="38"/>
  <c r="N55" i="38"/>
  <c r="M66" i="38"/>
  <c r="M68" i="38" s="1"/>
  <c r="K71" i="38"/>
  <c r="K72" i="38"/>
  <c r="F7" i="39" s="1"/>
  <c r="M47" i="33"/>
  <c r="J32" i="38"/>
  <c r="K32" i="38" s="1"/>
  <c r="L32" i="38" s="1"/>
  <c r="M32" i="38" s="1"/>
  <c r="N32" i="38" s="1"/>
  <c r="O32" i="38" s="1"/>
  <c r="P32" i="38" s="1"/>
  <c r="Q32" i="38" s="1"/>
  <c r="R32" i="38" s="1"/>
  <c r="S32" i="38" s="1"/>
  <c r="T32" i="38" s="1"/>
  <c r="U32" i="38" s="1"/>
  <c r="V32" i="38" s="1"/>
  <c r="W32" i="38" s="1"/>
  <c r="X32" i="38" s="1"/>
  <c r="Y32" i="38" s="1"/>
  <c r="Z32" i="38" s="1"/>
  <c r="J41" i="38"/>
  <c r="O41" i="38"/>
  <c r="V33" i="38"/>
  <c r="V42" i="38"/>
  <c r="V45" i="38"/>
  <c r="V47" i="38" s="1"/>
  <c r="R33" i="38"/>
  <c r="R42" i="38"/>
  <c r="R45" i="38"/>
  <c r="R47" i="38" s="1"/>
  <c r="W41" i="38"/>
  <c r="U41" i="38"/>
  <c r="U33" i="38"/>
  <c r="U42" i="38"/>
  <c r="U45" i="38"/>
  <c r="U47" i="38" s="1"/>
  <c r="I42" i="38"/>
  <c r="I33" i="38"/>
  <c r="I45" i="38"/>
  <c r="I47" i="38" s="1"/>
  <c r="Q41" i="38"/>
  <c r="H33" i="38"/>
  <c r="H42" i="38"/>
  <c r="O33" i="38"/>
  <c r="O42" i="38"/>
  <c r="O45" i="38"/>
  <c r="O47" i="38" s="1"/>
  <c r="Y41" i="38"/>
  <c r="S41" i="38"/>
  <c r="X42" i="38"/>
  <c r="X33" i="38"/>
  <c r="X45" i="38"/>
  <c r="X47" i="38" s="1"/>
  <c r="K33" i="38"/>
  <c r="K42" i="38"/>
  <c r="K45" i="38"/>
  <c r="K47" i="38" s="1"/>
  <c r="P33" i="38"/>
  <c r="P42" i="38"/>
  <c r="P45" i="38"/>
  <c r="P47" i="38" s="1"/>
  <c r="M41" i="38"/>
  <c r="K41" i="38"/>
  <c r="W33" i="38"/>
  <c r="W42" i="38"/>
  <c r="W45" i="38"/>
  <c r="W47" i="38" s="1"/>
  <c r="Z33" i="38"/>
  <c r="Z42" i="38"/>
  <c r="Z45" i="38"/>
  <c r="Z47" i="38" s="1"/>
  <c r="I41" i="38"/>
  <c r="Z41" i="38"/>
  <c r="J42" i="38"/>
  <c r="J33" i="38"/>
  <c r="J45" i="38"/>
  <c r="J47" i="38" s="1"/>
  <c r="N33" i="38"/>
  <c r="N42" i="38"/>
  <c r="N45" i="38"/>
  <c r="N47" i="38" s="1"/>
  <c r="Q33" i="38"/>
  <c r="Q42" i="38"/>
  <c r="Q45" i="38"/>
  <c r="Q47" i="38" s="1"/>
  <c r="X41" i="38"/>
  <c r="V41" i="38"/>
  <c r="T33" i="38"/>
  <c r="T42" i="38"/>
  <c r="T45" i="38"/>
  <c r="T47" i="38" s="1"/>
  <c r="L33" i="38"/>
  <c r="L42" i="38"/>
  <c r="L45" i="38"/>
  <c r="L47" i="38" s="1"/>
  <c r="T41" i="38"/>
  <c r="R41" i="38"/>
  <c r="G33" i="38"/>
  <c r="G42" i="38"/>
  <c r="Y42" i="38"/>
  <c r="Y33" i="38"/>
  <c r="Y45" i="38"/>
  <c r="Y47" i="38" s="1"/>
  <c r="P41" i="38"/>
  <c r="N41" i="38"/>
  <c r="S33" i="38"/>
  <c r="S42" i="38"/>
  <c r="S45" i="38"/>
  <c r="S47" i="38" s="1"/>
  <c r="M33" i="38"/>
  <c r="M42" i="38"/>
  <c r="M45" i="38"/>
  <c r="M47" i="38" s="1"/>
  <c r="L41" i="38"/>
  <c r="F33" i="38"/>
  <c r="F42" i="38"/>
  <c r="I10" i="38"/>
  <c r="I22" i="38"/>
  <c r="I24" i="38" s="1"/>
  <c r="I19" i="38"/>
  <c r="Q18" i="38"/>
  <c r="F12" i="38"/>
  <c r="I9" i="38"/>
  <c r="J9" i="38" s="1"/>
  <c r="K9" i="38" s="1"/>
  <c r="L9" i="38" s="1"/>
  <c r="M9" i="38" s="1"/>
  <c r="N9" i="38" s="1"/>
  <c r="O9" i="38" s="1"/>
  <c r="P9" i="38" s="1"/>
  <c r="Q9" i="38" s="1"/>
  <c r="R9" i="38" s="1"/>
  <c r="S9" i="38" s="1"/>
  <c r="T9" i="38" s="1"/>
  <c r="U9" i="38" s="1"/>
  <c r="V9" i="38" s="1"/>
  <c r="W9" i="38" s="1"/>
  <c r="X9" i="38" s="1"/>
  <c r="Y9" i="38" s="1"/>
  <c r="Z9" i="38" s="1"/>
  <c r="O10" i="38"/>
  <c r="O19" i="38"/>
  <c r="O22" i="38"/>
  <c r="O24" i="38" s="1"/>
  <c r="O18" i="38"/>
  <c r="K19" i="38"/>
  <c r="K10" i="38"/>
  <c r="K22" i="38"/>
  <c r="K24" i="38" s="1"/>
  <c r="S19" i="38"/>
  <c r="S22" i="38"/>
  <c r="S24" i="38" s="1"/>
  <c r="P18" i="38"/>
  <c r="Z18" i="38"/>
  <c r="N18" i="38"/>
  <c r="J19" i="38"/>
  <c r="J10" i="38"/>
  <c r="J22" i="38"/>
  <c r="J24" i="38" s="1"/>
  <c r="N10" i="38"/>
  <c r="N19" i="38"/>
  <c r="N22" i="38"/>
  <c r="N24" i="38" s="1"/>
  <c r="Y18" i="38"/>
  <c r="M18" i="38"/>
  <c r="W19" i="38"/>
  <c r="W22" i="38"/>
  <c r="W24" i="38" s="1"/>
  <c r="Z19" i="38"/>
  <c r="Z22" i="38"/>
  <c r="Z24" i="38" s="1"/>
  <c r="X18" i="38"/>
  <c r="L18" i="38"/>
  <c r="V19" i="38"/>
  <c r="V22" i="38"/>
  <c r="V24" i="38" s="1"/>
  <c r="T19" i="38"/>
  <c r="T22" i="38"/>
  <c r="T24" i="38" s="1"/>
  <c r="W18" i="38"/>
  <c r="K18" i="38"/>
  <c r="U19" i="38"/>
  <c r="U22" i="38"/>
  <c r="U24" i="38" s="1"/>
  <c r="U26" i="38" s="1"/>
  <c r="L10" i="38"/>
  <c r="L19" i="38"/>
  <c r="L22" i="38"/>
  <c r="L24" i="38" s="1"/>
  <c r="L166" i="41"/>
  <c r="L221" i="41" s="1"/>
  <c r="V18" i="38"/>
  <c r="J18" i="38"/>
  <c r="H10" i="38"/>
  <c r="H19" i="38"/>
  <c r="H20" i="38" s="1"/>
  <c r="H22" i="38"/>
  <c r="M19" i="38"/>
  <c r="M22" i="38"/>
  <c r="M24" i="38" s="1"/>
  <c r="M10" i="38"/>
  <c r="I18" i="38"/>
  <c r="X19" i="38"/>
  <c r="X22" i="38"/>
  <c r="X24" i="38" s="1"/>
  <c r="Y19" i="38"/>
  <c r="Y22" i="38"/>
  <c r="Y24" i="38" s="1"/>
  <c r="T18" i="38"/>
  <c r="Q10" i="38"/>
  <c r="Q22" i="38"/>
  <c r="Q24" i="38" s="1"/>
  <c r="Q19" i="38"/>
  <c r="R19" i="38"/>
  <c r="R10" i="38"/>
  <c r="R22" i="38"/>
  <c r="R24" i="38" s="1"/>
  <c r="S18" i="38"/>
  <c r="G19" i="38"/>
  <c r="G20" i="38" s="1"/>
  <c r="G26" i="38" s="1"/>
  <c r="G28" i="38" s="1"/>
  <c r="G22" i="38"/>
  <c r="K159" i="41"/>
  <c r="R18" i="38"/>
  <c r="P19" i="38"/>
  <c r="P10" i="38"/>
  <c r="P22" i="38"/>
  <c r="P24" i="38" s="1"/>
  <c r="L327" i="38"/>
  <c r="M87" i="41"/>
  <c r="O58" i="48"/>
  <c r="T136" i="38"/>
  <c r="T135" i="38"/>
  <c r="V131" i="38"/>
  <c r="U132" i="38"/>
  <c r="U134" i="38" s="1"/>
  <c r="M258" i="40"/>
  <c r="M259" i="40" s="1"/>
  <c r="T49" i="31"/>
  <c r="T79" i="31"/>
  <c r="T34" i="31"/>
  <c r="T74" i="31"/>
  <c r="T67" i="31"/>
  <c r="T27" i="31"/>
  <c r="U74" i="31"/>
  <c r="U79" i="31"/>
  <c r="U49" i="31"/>
  <c r="U34" i="31"/>
  <c r="U67" i="31"/>
  <c r="U27" i="31"/>
  <c r="AG27" i="31"/>
  <c r="AG74" i="31"/>
  <c r="AG79" i="31"/>
  <c r="AG34" i="31"/>
  <c r="AG49" i="31"/>
  <c r="AG67" i="31"/>
  <c r="AF79" i="31"/>
  <c r="AF49" i="31"/>
  <c r="AF27" i="31"/>
  <c r="AF34" i="31"/>
  <c r="AF74" i="31"/>
  <c r="AF67" i="31"/>
  <c r="E20" i="48"/>
  <c r="G155" i="39"/>
  <c r="G163" i="39" s="1"/>
  <c r="T22" i="32"/>
  <c r="AE55" i="32" s="1"/>
  <c r="T71" i="48"/>
  <c r="J9" i="41"/>
  <c r="K9" i="41" s="1"/>
  <c r="L9" i="41" s="1"/>
  <c r="M9" i="41" s="1"/>
  <c r="G69" i="39"/>
  <c r="G98" i="39"/>
  <c r="X57" i="32"/>
  <c r="W57" i="32" s="1"/>
  <c r="N31" i="33"/>
  <c r="M22" i="33"/>
  <c r="S22" i="33" s="1"/>
  <c r="E58" i="33"/>
  <c r="E57" i="33"/>
  <c r="X55" i="32"/>
  <c r="G97" i="39"/>
  <c r="R22" i="32"/>
  <c r="P71" i="48"/>
  <c r="G20" i="32"/>
  <c r="N120" i="33"/>
  <c r="P119" i="33"/>
  <c r="N119" i="33"/>
  <c r="P120" i="33"/>
  <c r="O119" i="33"/>
  <c r="O120" i="33"/>
  <c r="O182" i="41"/>
  <c r="O227" i="41" s="1"/>
  <c r="O184" i="41"/>
  <c r="O229" i="41" s="1"/>
  <c r="O186" i="41"/>
  <c r="O231" i="41" s="1"/>
  <c r="O185" i="41"/>
  <c r="O230" i="41" s="1"/>
  <c r="P180" i="41"/>
  <c r="O183" i="41"/>
  <c r="O228" i="41" s="1"/>
  <c r="O187" i="41"/>
  <c r="O232" i="41" s="1"/>
  <c r="O181" i="41"/>
  <c r="N188" i="41"/>
  <c r="N294" i="38"/>
  <c r="M318" i="38"/>
  <c r="M329" i="38"/>
  <c r="M324" i="38"/>
  <c r="P220" i="40"/>
  <c r="P265" i="40" s="1"/>
  <c r="P218" i="40"/>
  <c r="P217" i="40"/>
  <c r="P221" i="40"/>
  <c r="P223" i="40"/>
  <c r="P268" i="40" s="1"/>
  <c r="P219" i="40"/>
  <c r="P264" i="40" s="1"/>
  <c r="P222" i="40"/>
  <c r="P267" i="40" s="1"/>
  <c r="Q216" i="40"/>
  <c r="O224" i="40"/>
  <c r="O262" i="40"/>
  <c r="O269" i="40" s="1"/>
  <c r="O271" i="40"/>
  <c r="O225" i="38"/>
  <c r="O226" i="38" s="1"/>
  <c r="O270" i="38"/>
  <c r="O142" i="38"/>
  <c r="O150" i="38" s="1"/>
  <c r="O158" i="38"/>
  <c r="O155" i="38"/>
  <c r="O157" i="38" s="1"/>
  <c r="P140" i="38"/>
  <c r="O257" i="38"/>
  <c r="O265" i="38" s="1"/>
  <c r="O227" i="38"/>
  <c r="O212" i="38"/>
  <c r="O220" i="38" s="1"/>
  <c r="O272" i="38"/>
  <c r="O156" i="38"/>
  <c r="L239" i="38"/>
  <c r="L171" i="38"/>
  <c r="L173" i="38" s="1"/>
  <c r="L175" i="38"/>
  <c r="M205" i="40"/>
  <c r="M326" i="38"/>
  <c r="N271" i="38"/>
  <c r="O74" i="41"/>
  <c r="N75" i="41"/>
  <c r="N76" i="41" s="1"/>
  <c r="N87" i="41" s="1"/>
  <c r="M142" i="41"/>
  <c r="M150" i="41" s="1"/>
  <c r="N140" i="41"/>
  <c r="K176" i="38"/>
  <c r="K177" i="38" s="1"/>
  <c r="K186" i="38" s="1"/>
  <c r="O155" i="40"/>
  <c r="O189" i="40"/>
  <c r="O197" i="40" s="1"/>
  <c r="P139" i="40"/>
  <c r="O141" i="40"/>
  <c r="O149" i="40" s="1"/>
  <c r="K169" i="41"/>
  <c r="N226" i="38"/>
  <c r="N228" i="38" s="1"/>
  <c r="L247" i="38"/>
  <c r="N234" i="38"/>
  <c r="M235" i="38"/>
  <c r="M236" i="38" s="1"/>
  <c r="M244" i="38" s="1"/>
  <c r="S29" i="40"/>
  <c r="R30" i="40"/>
  <c r="Q116" i="41"/>
  <c r="P117" i="41"/>
  <c r="P290" i="38"/>
  <c r="P10" i="52" s="1"/>
  <c r="P55" i="52" s="1"/>
  <c r="P289" i="38"/>
  <c r="P9" i="52" s="1"/>
  <c r="P286" i="38"/>
  <c r="P6" i="52" s="1"/>
  <c r="P51" i="52" s="1"/>
  <c r="P291" i="38"/>
  <c r="P11" i="52" s="1"/>
  <c r="P56" i="52" s="1"/>
  <c r="P333" i="38"/>
  <c r="P285" i="38"/>
  <c r="P5" i="52" s="1"/>
  <c r="P50" i="52" s="1"/>
  <c r="P287" i="38"/>
  <c r="P7" i="52" s="1"/>
  <c r="P52" i="52" s="1"/>
  <c r="Q284" i="38"/>
  <c r="Q288" i="38" s="1"/>
  <c r="Q8" i="52" s="1"/>
  <c r="Q53" i="52" s="1"/>
  <c r="P6" i="40"/>
  <c r="O5" i="40"/>
  <c r="O2" i="40"/>
  <c r="O1" i="40"/>
  <c r="O7" i="40"/>
  <c r="O330" i="38"/>
  <c r="O292" i="38"/>
  <c r="R115" i="40"/>
  <c r="Q116" i="40"/>
  <c r="Q166" i="38"/>
  <c r="P167" i="38"/>
  <c r="P190" i="41"/>
  <c r="P167" i="40"/>
  <c r="Q166" i="40"/>
  <c r="N168" i="38"/>
  <c r="N99" i="40"/>
  <c r="N171" i="40"/>
  <c r="N78" i="40"/>
  <c r="N57" i="40"/>
  <c r="O53" i="41"/>
  <c r="N54" i="41"/>
  <c r="O6" i="31"/>
  <c r="AL6" i="31" s="1"/>
  <c r="AL56" i="31" s="1"/>
  <c r="M6" i="31"/>
  <c r="P6" i="31"/>
  <c r="AM6" i="31" s="1"/>
  <c r="AM56" i="31" s="1"/>
  <c r="Q6" i="31"/>
  <c r="AN6" i="31" s="1"/>
  <c r="AN56" i="31" s="1"/>
  <c r="N6" i="31"/>
  <c r="AK6" i="31" s="1"/>
  <c r="AK56" i="31" s="1"/>
  <c r="R6" i="31"/>
  <c r="AO6" i="31" s="1"/>
  <c r="AO56" i="31" s="1"/>
  <c r="T6" i="31"/>
  <c r="AQ6" i="31" s="1"/>
  <c r="AQ56" i="31" s="1"/>
  <c r="S6" i="31"/>
  <c r="AP6" i="31" s="1"/>
  <c r="AP56" i="31" s="1"/>
  <c r="H74" i="39"/>
  <c r="S18" i="31"/>
  <c r="J20" i="31"/>
  <c r="P43" i="33"/>
  <c r="M58" i="41"/>
  <c r="M100" i="41"/>
  <c r="M79" i="41"/>
  <c r="O43" i="33"/>
  <c r="I44" i="31"/>
  <c r="AR44" i="31" s="1"/>
  <c r="AR45" i="31" s="1"/>
  <c r="AR20" i="31"/>
  <c r="U6" i="31"/>
  <c r="AR6" i="31" s="1"/>
  <c r="AR56" i="31" s="1"/>
  <c r="G19" i="31"/>
  <c r="AF19" i="31"/>
  <c r="H43" i="31"/>
  <c r="AP42" i="31"/>
  <c r="AP45" i="31" s="1"/>
  <c r="L6" i="47"/>
  <c r="M3" i="47"/>
  <c r="L4" i="47"/>
  <c r="L5" i="47"/>
  <c r="L47" i="42"/>
  <c r="M2" i="42"/>
  <c r="L1" i="42"/>
  <c r="V95" i="40"/>
  <c r="W94" i="40"/>
  <c r="T26" i="43"/>
  <c r="T23" i="43"/>
  <c r="N2" i="41"/>
  <c r="O7" i="41"/>
  <c r="N6" i="41"/>
  <c r="N8" i="41"/>
  <c r="N3" i="41"/>
  <c r="N120" i="41"/>
  <c r="I31" i="40"/>
  <c r="R41" i="31"/>
  <c r="R45" i="31" s="1"/>
  <c r="T24" i="43"/>
  <c r="BA42" i="31"/>
  <c r="BA45" i="31" s="1"/>
  <c r="E85" i="33"/>
  <c r="E86" i="33"/>
  <c r="K119" i="40"/>
  <c r="P96" i="41"/>
  <c r="Q95" i="41"/>
  <c r="M96" i="40"/>
  <c r="L107" i="40"/>
  <c r="L109" i="40" s="1"/>
  <c r="T30" i="41"/>
  <c r="S31" i="41"/>
  <c r="H182" i="41"/>
  <c r="G182" i="41"/>
  <c r="G40" i="32"/>
  <c r="AR79" i="31"/>
  <c r="AR67" i="31"/>
  <c r="AR49" i="31"/>
  <c r="AR34" i="31"/>
  <c r="AR27" i="31"/>
  <c r="AR74" i="31"/>
  <c r="H133" i="39"/>
  <c r="M23" i="33"/>
  <c r="S23" i="33" s="1"/>
  <c r="O31" i="33"/>
  <c r="S53" i="40"/>
  <c r="T52" i="40"/>
  <c r="K32" i="41"/>
  <c r="N339" i="38"/>
  <c r="AQ74" i="31"/>
  <c r="AQ49" i="31"/>
  <c r="AQ79" i="31"/>
  <c r="AQ67" i="31"/>
  <c r="AQ34" i="31"/>
  <c r="AQ27" i="31"/>
  <c r="K8" i="40"/>
  <c r="T25" i="43"/>
  <c r="U74" i="40"/>
  <c r="V73" i="40"/>
  <c r="AH52" i="32"/>
  <c r="M54" i="40"/>
  <c r="L65" i="40"/>
  <c r="L67" i="40" s="1"/>
  <c r="T99" i="48"/>
  <c r="Q30" i="32"/>
  <c r="M168" i="40"/>
  <c r="L179" i="40"/>
  <c r="U9" i="43"/>
  <c r="V9" i="43" s="1"/>
  <c r="U14" i="43"/>
  <c r="V14" i="43" s="1"/>
  <c r="U6" i="43"/>
  <c r="U8" i="43"/>
  <c r="V8" i="43" s="1"/>
  <c r="U12" i="43"/>
  <c r="V12" i="43" s="1"/>
  <c r="U15" i="43"/>
  <c r="V15" i="43" s="1"/>
  <c r="U7" i="43"/>
  <c r="V7" i="43" s="1"/>
  <c r="U10" i="43"/>
  <c r="V10" i="43" s="1"/>
  <c r="U13" i="43"/>
  <c r="V13" i="43" s="1"/>
  <c r="U11" i="43"/>
  <c r="V11" i="43" s="1"/>
  <c r="H20" i="31"/>
  <c r="H10" i="31" s="1"/>
  <c r="M42" i="33"/>
  <c r="N43" i="33"/>
  <c r="M75" i="40"/>
  <c r="L86" i="40"/>
  <c r="G42" i="31"/>
  <c r="AE42" i="31"/>
  <c r="AE45" i="31" s="1"/>
  <c r="L66" i="41"/>
  <c r="L68" i="41" s="1"/>
  <c r="M55" i="41"/>
  <c r="G227" i="41" l="1"/>
  <c r="J6" i="52"/>
  <c r="J51" i="52" s="1"/>
  <c r="H227" i="41"/>
  <c r="K6" i="52"/>
  <c r="K51" i="52" s="1"/>
  <c r="W55" i="32"/>
  <c r="N325" i="38"/>
  <c r="N45" i="52" s="1"/>
  <c r="Q22" i="32"/>
  <c r="M127" i="28" s="1"/>
  <c r="K17" i="52"/>
  <c r="K62" i="52" s="1"/>
  <c r="H238" i="41"/>
  <c r="D238" i="41" s="1"/>
  <c r="M199" i="41"/>
  <c r="H62" i="52"/>
  <c r="N159" i="38"/>
  <c r="P263" i="40"/>
  <c r="M46" i="52"/>
  <c r="M47" i="52" s="1"/>
  <c r="N198" i="41"/>
  <c r="N243" i="41" s="1"/>
  <c r="S261" i="40"/>
  <c r="S250" i="40"/>
  <c r="S256" i="40"/>
  <c r="T226" i="40"/>
  <c r="N240" i="40"/>
  <c r="N28" i="52"/>
  <c r="N23" i="52"/>
  <c r="P43" i="38"/>
  <c r="O337" i="38"/>
  <c r="O57" i="52"/>
  <c r="O67" i="52" s="1"/>
  <c r="O71" i="52" s="1"/>
  <c r="P335" i="38"/>
  <c r="P332" i="38"/>
  <c r="P336" i="38"/>
  <c r="P331" i="38"/>
  <c r="O12" i="52"/>
  <c r="O226" i="41"/>
  <c r="P220" i="41"/>
  <c r="P225" i="41"/>
  <c r="P214" i="41"/>
  <c r="N233" i="41"/>
  <c r="M247" i="41"/>
  <c r="M244" i="41"/>
  <c r="O234" i="40"/>
  <c r="P22" i="52" s="1"/>
  <c r="N235" i="40"/>
  <c r="M43" i="38"/>
  <c r="M49" i="38" s="1"/>
  <c r="M51" i="38" s="1"/>
  <c r="U43" i="38"/>
  <c r="U49" i="38" s="1"/>
  <c r="U51" i="38" s="1"/>
  <c r="W43" i="38"/>
  <c r="W49" i="38" s="1"/>
  <c r="W50" i="38" s="1"/>
  <c r="M70" i="38"/>
  <c r="M63" i="38"/>
  <c r="Z43" i="38"/>
  <c r="Z49" i="38" s="1"/>
  <c r="R43" i="38"/>
  <c r="R49" i="38" s="1"/>
  <c r="R50" i="38" s="1"/>
  <c r="O55" i="38"/>
  <c r="N66" i="38"/>
  <c r="N68" i="38" s="1"/>
  <c r="V43" i="38"/>
  <c r="V49" i="38" s="1"/>
  <c r="I43" i="38"/>
  <c r="I49" i="38" s="1"/>
  <c r="I50" i="38" s="1"/>
  <c r="L71" i="38"/>
  <c r="L72" i="38"/>
  <c r="Y43" i="38"/>
  <c r="Y49" i="38" s="1"/>
  <c r="Y51" i="38" s="1"/>
  <c r="Q43" i="38"/>
  <c r="Q49" i="38" s="1"/>
  <c r="P49" i="38"/>
  <c r="P50" i="38" s="1"/>
  <c r="K43" i="38"/>
  <c r="K49" i="38" s="1"/>
  <c r="F16" i="39" s="1"/>
  <c r="L43" i="38"/>
  <c r="L49" i="38" s="1"/>
  <c r="L50" i="38" s="1"/>
  <c r="O43" i="38"/>
  <c r="O49" i="38" s="1"/>
  <c r="O51" i="38" s="1"/>
  <c r="S20" i="38"/>
  <c r="S26" i="38" s="1"/>
  <c r="T43" i="38"/>
  <c r="T49" i="38" s="1"/>
  <c r="T50" i="38" s="1"/>
  <c r="X43" i="38"/>
  <c r="X49" i="38" s="1"/>
  <c r="X50" i="38" s="1"/>
  <c r="J43" i="38"/>
  <c r="N43" i="38"/>
  <c r="N49" i="38" s="1"/>
  <c r="N51" i="38" s="1"/>
  <c r="S43" i="38"/>
  <c r="S49" i="38" s="1"/>
  <c r="S50" i="38" s="1"/>
  <c r="T20" i="38"/>
  <c r="T26" i="38" s="1"/>
  <c r="T27" i="38" s="1"/>
  <c r="N20" i="38"/>
  <c r="N26" i="38" s="1"/>
  <c r="N27" i="38" s="1"/>
  <c r="V20" i="38"/>
  <c r="V26" i="38" s="1"/>
  <c r="V27" i="38" s="1"/>
  <c r="O20" i="38"/>
  <c r="O26" i="38" s="1"/>
  <c r="J20" i="38"/>
  <c r="J26" i="38" s="1"/>
  <c r="P20" i="38"/>
  <c r="P26" i="38" s="1"/>
  <c r="P27" i="38" s="1"/>
  <c r="R20" i="38"/>
  <c r="R26" i="38" s="1"/>
  <c r="M20" i="38"/>
  <c r="M26" i="38" s="1"/>
  <c r="X20" i="38"/>
  <c r="X26" i="38" s="1"/>
  <c r="X27" i="38" s="1"/>
  <c r="L20" i="38"/>
  <c r="L26" i="38" s="1"/>
  <c r="Z20" i="38"/>
  <c r="Z26" i="38" s="1"/>
  <c r="Z27" i="38" s="1"/>
  <c r="Q20" i="38"/>
  <c r="Q26" i="38" s="1"/>
  <c r="Q27" i="38" s="1"/>
  <c r="W20" i="38"/>
  <c r="W26" i="38" s="1"/>
  <c r="W27" i="38" s="1"/>
  <c r="I20" i="38"/>
  <c r="I26" i="38" s="1"/>
  <c r="I27" i="38" s="1"/>
  <c r="Y20" i="38"/>
  <c r="Y26" i="38" s="1"/>
  <c r="Y28" i="38" s="1"/>
  <c r="K20" i="38"/>
  <c r="K26" i="38" s="1"/>
  <c r="F15" i="39" s="1"/>
  <c r="U27" i="38"/>
  <c r="U28" i="38"/>
  <c r="F17" i="38"/>
  <c r="F18" i="38" s="1"/>
  <c r="F11" i="38"/>
  <c r="M327" i="38"/>
  <c r="U135" i="38"/>
  <c r="U136" i="38"/>
  <c r="W131" i="38"/>
  <c r="V132" i="38"/>
  <c r="V134" i="38" s="1"/>
  <c r="Q58" i="48"/>
  <c r="S58" i="48"/>
  <c r="U58" i="48"/>
  <c r="T92" i="48"/>
  <c r="AC57" i="32"/>
  <c r="AB57" i="32" s="1"/>
  <c r="M31" i="33"/>
  <c r="K129" i="28"/>
  <c r="G105" i="39"/>
  <c r="S31" i="33"/>
  <c r="G68" i="39"/>
  <c r="G76" i="39" s="1"/>
  <c r="K127" i="28"/>
  <c r="AC55" i="32"/>
  <c r="AB55" i="32" s="1"/>
  <c r="P92" i="48"/>
  <c r="O188" i="41"/>
  <c r="P186" i="41"/>
  <c r="P231" i="41" s="1"/>
  <c r="Q180" i="41"/>
  <c r="P181" i="41"/>
  <c r="P182" i="41"/>
  <c r="P227" i="41" s="1"/>
  <c r="P183" i="41"/>
  <c r="P228" i="41" s="1"/>
  <c r="P187" i="41"/>
  <c r="P232" i="41" s="1"/>
  <c r="P184" i="41"/>
  <c r="P229" i="41" s="1"/>
  <c r="P185" i="41"/>
  <c r="P230" i="41" s="1"/>
  <c r="N324" i="38"/>
  <c r="O294" i="38"/>
  <c r="N318" i="38"/>
  <c r="N329" i="38"/>
  <c r="P224" i="40"/>
  <c r="P262" i="40"/>
  <c r="Q222" i="40"/>
  <c r="Q267" i="40" s="1"/>
  <c r="Q221" i="40"/>
  <c r="Q223" i="40"/>
  <c r="Q268" i="40" s="1"/>
  <c r="Q218" i="40"/>
  <c r="Q219" i="40"/>
  <c r="Q264" i="40" s="1"/>
  <c r="Q217" i="40"/>
  <c r="Q220" i="40"/>
  <c r="Q265" i="40" s="1"/>
  <c r="R216" i="40"/>
  <c r="N326" i="38"/>
  <c r="N46" i="52" s="1"/>
  <c r="P271" i="40"/>
  <c r="M171" i="38"/>
  <c r="M173" i="38" s="1"/>
  <c r="M175" i="38"/>
  <c r="M239" i="38"/>
  <c r="P142" i="38"/>
  <c r="P150" i="38" s="1"/>
  <c r="P257" i="38"/>
  <c r="P265" i="38" s="1"/>
  <c r="P212" i="38"/>
  <c r="P220" i="38" s="1"/>
  <c r="Q140" i="38"/>
  <c r="P156" i="38"/>
  <c r="O159" i="38"/>
  <c r="Q139" i="40"/>
  <c r="P202" i="40"/>
  <c r="P161" i="40"/>
  <c r="P284" i="40"/>
  <c r="P141" i="40"/>
  <c r="P149" i="40" s="1"/>
  <c r="P204" i="40"/>
  <c r="P157" i="40"/>
  <c r="P189" i="40"/>
  <c r="P197" i="40" s="1"/>
  <c r="P207" i="40"/>
  <c r="P155" i="40"/>
  <c r="P154" i="40"/>
  <c r="N156" i="41"/>
  <c r="N155" i="41"/>
  <c r="O140" i="41"/>
  <c r="N162" i="41"/>
  <c r="N171" i="41"/>
  <c r="N142" i="41"/>
  <c r="N150" i="41" s="1"/>
  <c r="N158" i="41"/>
  <c r="N168" i="41" s="1"/>
  <c r="O271" i="38"/>
  <c r="O326" i="38" s="1"/>
  <c r="O325" i="38"/>
  <c r="O228" i="38"/>
  <c r="O75" i="41"/>
  <c r="O76" i="41" s="1"/>
  <c r="O87" i="41" s="1"/>
  <c r="P74" i="41"/>
  <c r="N273" i="38"/>
  <c r="L176" i="38"/>
  <c r="L177" i="38" s="1"/>
  <c r="L186" i="38" s="1"/>
  <c r="R116" i="41"/>
  <c r="Q117" i="41"/>
  <c r="M247" i="38"/>
  <c r="P53" i="41"/>
  <c r="O54" i="41"/>
  <c r="T29" i="40"/>
  <c r="S30" i="40"/>
  <c r="Q190" i="41"/>
  <c r="R116" i="40"/>
  <c r="S115" i="40"/>
  <c r="O99" i="40"/>
  <c r="O78" i="40"/>
  <c r="O171" i="40"/>
  <c r="O57" i="40"/>
  <c r="R166" i="40"/>
  <c r="Q167" i="40"/>
  <c r="Q287" i="38"/>
  <c r="Q7" i="52" s="1"/>
  <c r="Q52" i="52" s="1"/>
  <c r="Q333" i="38"/>
  <c r="R284" i="38"/>
  <c r="R288" i="38" s="1"/>
  <c r="R8" i="52" s="1"/>
  <c r="R53" i="52" s="1"/>
  <c r="Q286" i="38"/>
  <c r="Q6" i="52" s="1"/>
  <c r="Q51" i="52" s="1"/>
  <c r="Q290" i="38"/>
  <c r="Q10" i="52" s="1"/>
  <c r="Q55" i="52" s="1"/>
  <c r="Q289" i="38"/>
  <c r="Q9" i="52" s="1"/>
  <c r="Q285" i="38"/>
  <c r="Q5" i="52" s="1"/>
  <c r="Q291" i="38"/>
  <c r="Q11" i="52" s="1"/>
  <c r="Q56" i="52" s="1"/>
  <c r="P1" i="40"/>
  <c r="Q6" i="40"/>
  <c r="P5" i="40"/>
  <c r="P2" i="40"/>
  <c r="P7" i="40"/>
  <c r="P330" i="38"/>
  <c r="P292" i="38"/>
  <c r="R166" i="38"/>
  <c r="Q167" i="38"/>
  <c r="O168" i="38"/>
  <c r="O234" i="38"/>
  <c r="N235" i="38"/>
  <c r="N236" i="38" s="1"/>
  <c r="N244" i="38" s="1"/>
  <c r="O5" i="31"/>
  <c r="M5" i="31"/>
  <c r="N5" i="31"/>
  <c r="P5" i="31"/>
  <c r="Q5" i="31"/>
  <c r="R5" i="31"/>
  <c r="S5" i="31"/>
  <c r="T5" i="31"/>
  <c r="N54" i="40"/>
  <c r="M65" i="40"/>
  <c r="M67" i="40" s="1"/>
  <c r="AL35" i="31"/>
  <c r="AL46" i="31" s="1"/>
  <c r="AL28" i="31"/>
  <c r="AL29" i="31"/>
  <c r="AL24" i="31"/>
  <c r="AL25" i="31" s="1"/>
  <c r="AL31" i="31"/>
  <c r="AQ28" i="31"/>
  <c r="AQ29" i="31"/>
  <c r="AQ35" i="31"/>
  <c r="AQ46" i="31" s="1"/>
  <c r="AQ24" i="31"/>
  <c r="AQ25" i="31" s="1"/>
  <c r="AQ31" i="31"/>
  <c r="N2" i="42"/>
  <c r="M47" i="42"/>
  <c r="M1" i="42"/>
  <c r="I45" i="31"/>
  <c r="I46" i="31" s="1"/>
  <c r="I31" i="32" s="1"/>
  <c r="AO29" i="31"/>
  <c r="AO28" i="31"/>
  <c r="AO35" i="31"/>
  <c r="AO46" i="31" s="1"/>
  <c r="AO24" i="31"/>
  <c r="AO25" i="31" s="1"/>
  <c r="AO31" i="31"/>
  <c r="O120" i="41"/>
  <c r="U30" i="41"/>
  <c r="T31" i="41"/>
  <c r="W73" i="40"/>
  <c r="V74" i="40"/>
  <c r="L8" i="40"/>
  <c r="N9" i="41"/>
  <c r="J31" i="40"/>
  <c r="O3" i="41"/>
  <c r="O6" i="41"/>
  <c r="P7" i="41"/>
  <c r="O8" i="41"/>
  <c r="O2" i="41"/>
  <c r="G43" i="31"/>
  <c r="AF43" i="31"/>
  <c r="AF45" i="31" s="1"/>
  <c r="AK35" i="31"/>
  <c r="AK46" i="31" s="1"/>
  <c r="AK28" i="31"/>
  <c r="AK29" i="31"/>
  <c r="AK24" i="31"/>
  <c r="AK25" i="31" s="1"/>
  <c r="AK31" i="31"/>
  <c r="L32" i="41"/>
  <c r="U5" i="31"/>
  <c r="G20" i="31"/>
  <c r="U20" i="31" s="1"/>
  <c r="AG20" i="31"/>
  <c r="H44" i="31"/>
  <c r="U52" i="40"/>
  <c r="T53" i="40"/>
  <c r="R95" i="41"/>
  <c r="Q96" i="41"/>
  <c r="N79" i="41"/>
  <c r="N100" i="41"/>
  <c r="N58" i="41"/>
  <c r="W95" i="40"/>
  <c r="X94" i="40"/>
  <c r="H104" i="39"/>
  <c r="AR28" i="31"/>
  <c r="AR35" i="31"/>
  <c r="AR46" i="31" s="1"/>
  <c r="AR29" i="31"/>
  <c r="AR24" i="31"/>
  <c r="AR25" i="31" s="1"/>
  <c r="AR31" i="31"/>
  <c r="AN29" i="31"/>
  <c r="AN28" i="31"/>
  <c r="AN35" i="31"/>
  <c r="AN46" i="31" s="1"/>
  <c r="AN24" i="31"/>
  <c r="AN25" i="31" s="1"/>
  <c r="AN31" i="31"/>
  <c r="U26" i="43"/>
  <c r="U23" i="43"/>
  <c r="M43" i="33"/>
  <c r="M129" i="28"/>
  <c r="O339" i="38"/>
  <c r="AM35" i="31"/>
  <c r="AM46" i="31" s="1"/>
  <c r="AM28" i="31"/>
  <c r="AM29" i="31"/>
  <c r="AM24" i="31"/>
  <c r="AM25" i="31" s="1"/>
  <c r="AM31" i="31"/>
  <c r="AP35" i="31"/>
  <c r="AP46" i="31" s="1"/>
  <c r="AP28" i="31"/>
  <c r="AP29" i="31"/>
  <c r="AP24" i="31"/>
  <c r="AP25" i="31" s="1"/>
  <c r="AP31" i="31"/>
  <c r="S42" i="31"/>
  <c r="S45" i="31" s="1"/>
  <c r="N55" i="41"/>
  <c r="M66" i="41"/>
  <c r="M68" i="41" s="1"/>
  <c r="N96" i="40"/>
  <c r="M107" i="40"/>
  <c r="M109" i="40" s="1"/>
  <c r="L119" i="40"/>
  <c r="M179" i="40"/>
  <c r="N168" i="40"/>
  <c r="M86" i="40"/>
  <c r="N75" i="40"/>
  <c r="U25" i="43"/>
  <c r="U24" i="43"/>
  <c r="V6" i="43"/>
  <c r="M6" i="47"/>
  <c r="M5" i="47"/>
  <c r="M4" i="47"/>
  <c r="N3" i="47"/>
  <c r="T19" i="31"/>
  <c r="J44" i="31"/>
  <c r="BC20" i="31"/>
  <c r="H162" i="39"/>
  <c r="J10" i="31"/>
  <c r="G10" i="31" s="1"/>
  <c r="AJ6" i="31"/>
  <c r="AJ56" i="31" s="1"/>
  <c r="V6" i="31"/>
  <c r="F22" i="32" l="1"/>
  <c r="F30" i="31"/>
  <c r="N204" i="41"/>
  <c r="N199" i="41"/>
  <c r="D17" i="52"/>
  <c r="D62" i="52"/>
  <c r="P269" i="40"/>
  <c r="Q263" i="40"/>
  <c r="O198" i="41"/>
  <c r="O243" i="41" s="1"/>
  <c r="T250" i="40"/>
  <c r="T261" i="40"/>
  <c r="U226" i="40"/>
  <c r="T256" i="40"/>
  <c r="P57" i="52"/>
  <c r="P67" i="52" s="1"/>
  <c r="P71" i="52" s="1"/>
  <c r="O240" i="40"/>
  <c r="N68" i="52"/>
  <c r="O23" i="52"/>
  <c r="O28" i="52"/>
  <c r="P337" i="38"/>
  <c r="Q332" i="38"/>
  <c r="Q50" i="52"/>
  <c r="Q336" i="38"/>
  <c r="P12" i="52"/>
  <c r="Q335" i="38"/>
  <c r="N327" i="38"/>
  <c r="N47" i="52"/>
  <c r="Q331" i="38"/>
  <c r="Q214" i="41"/>
  <c r="Q225" i="41"/>
  <c r="Q220" i="41"/>
  <c r="N247" i="41"/>
  <c r="N244" i="41"/>
  <c r="O233" i="41"/>
  <c r="P226" i="41"/>
  <c r="P234" i="40"/>
  <c r="Q22" i="52" s="1"/>
  <c r="Q67" i="52" s="1"/>
  <c r="O235" i="40"/>
  <c r="W51" i="38"/>
  <c r="M50" i="38"/>
  <c r="U50" i="38"/>
  <c r="Y50" i="38"/>
  <c r="Z50" i="38"/>
  <c r="Z51" i="38"/>
  <c r="V51" i="38"/>
  <c r="V50" i="38"/>
  <c r="N70" i="38"/>
  <c r="N63" i="38"/>
  <c r="P55" i="38"/>
  <c r="O66" i="38"/>
  <c r="O68" i="38" s="1"/>
  <c r="I51" i="38"/>
  <c r="M71" i="38"/>
  <c r="M72" i="38"/>
  <c r="M138" i="38"/>
  <c r="X51" i="38"/>
  <c r="K50" i="38"/>
  <c r="K51" i="38"/>
  <c r="F6" i="39" s="1"/>
  <c r="R51" i="38"/>
  <c r="Q51" i="38"/>
  <c r="Q50" i="38"/>
  <c r="J49" i="38"/>
  <c r="J50" i="38" s="1"/>
  <c r="S51" i="38"/>
  <c r="P51" i="38"/>
  <c r="T51" i="38"/>
  <c r="O50" i="38"/>
  <c r="S27" i="38"/>
  <c r="S28" i="38"/>
  <c r="N50" i="38"/>
  <c r="L51" i="38"/>
  <c r="V28" i="38"/>
  <c r="N138" i="38"/>
  <c r="N28" i="38"/>
  <c r="M27" i="38"/>
  <c r="M28" i="38"/>
  <c r="O28" i="38"/>
  <c r="O27" i="38"/>
  <c r="P28" i="38"/>
  <c r="L27" i="38"/>
  <c r="L138" i="38"/>
  <c r="J28" i="38"/>
  <c r="J27" i="38"/>
  <c r="Z28" i="38"/>
  <c r="Y27" i="38"/>
  <c r="X28" i="38"/>
  <c r="I138" i="38"/>
  <c r="I28" i="38"/>
  <c r="Q28" i="38"/>
  <c r="T28" i="38"/>
  <c r="W28" i="38"/>
  <c r="K138" i="38"/>
  <c r="K28" i="38"/>
  <c r="F5" i="39" s="1"/>
  <c r="K27" i="38"/>
  <c r="L28" i="38"/>
  <c r="P209" i="40"/>
  <c r="P241" i="40"/>
  <c r="R27" i="38"/>
  <c r="R28" i="38"/>
  <c r="F19" i="38"/>
  <c r="F20" i="38" s="1"/>
  <c r="F22" i="38"/>
  <c r="F10" i="38"/>
  <c r="G10" i="38"/>
  <c r="N166" i="41"/>
  <c r="N221" i="41" s="1"/>
  <c r="N173" i="41"/>
  <c r="N205" i="41" s="1"/>
  <c r="P29" i="32"/>
  <c r="F24" i="31"/>
  <c r="R79" i="48"/>
  <c r="I41" i="32"/>
  <c r="V136" i="38"/>
  <c r="V135" i="38"/>
  <c r="X131" i="38"/>
  <c r="W132" i="38"/>
  <c r="W134" i="38" s="1"/>
  <c r="P156" i="40"/>
  <c r="P158" i="40" s="1"/>
  <c r="P257" i="40"/>
  <c r="F56" i="31"/>
  <c r="P18" i="32"/>
  <c r="F40" i="32"/>
  <c r="P188" i="41"/>
  <c r="Q186" i="41"/>
  <c r="Q231" i="41" s="1"/>
  <c r="Q184" i="41"/>
  <c r="Q229" i="41" s="1"/>
  <c r="Q181" i="41"/>
  <c r="R180" i="41"/>
  <c r="Q185" i="41"/>
  <c r="Q230" i="41" s="1"/>
  <c r="Q182" i="41"/>
  <c r="Q227" i="41" s="1"/>
  <c r="Q187" i="41"/>
  <c r="Q232" i="41" s="1"/>
  <c r="Q183" i="41"/>
  <c r="Q228" i="41" s="1"/>
  <c r="P294" i="38"/>
  <c r="O329" i="38"/>
  <c r="O318" i="38"/>
  <c r="O324" i="38"/>
  <c r="R221" i="40"/>
  <c r="S216" i="40"/>
  <c r="R219" i="40"/>
  <c r="R264" i="40" s="1"/>
  <c r="R223" i="40"/>
  <c r="R268" i="40" s="1"/>
  <c r="R218" i="40"/>
  <c r="R222" i="40"/>
  <c r="R267" i="40" s="1"/>
  <c r="R220" i="40"/>
  <c r="R265" i="40" s="1"/>
  <c r="R217" i="40"/>
  <c r="Q262" i="40"/>
  <c r="Q269" i="40" s="1"/>
  <c r="Q224" i="40"/>
  <c r="Q271" i="40"/>
  <c r="O273" i="38"/>
  <c r="O156" i="41"/>
  <c r="O171" i="41"/>
  <c r="P140" i="41"/>
  <c r="O155" i="41"/>
  <c r="O162" i="41"/>
  <c r="O158" i="41"/>
  <c r="O168" i="41" s="1"/>
  <c r="O142" i="41"/>
  <c r="O150" i="41" s="1"/>
  <c r="N171" i="38"/>
  <c r="N173" i="38" s="1"/>
  <c r="N239" i="38"/>
  <c r="N175" i="38"/>
  <c r="O327" i="38"/>
  <c r="Q225" i="38"/>
  <c r="Q226" i="38" s="1"/>
  <c r="Q156" i="38"/>
  <c r="Q227" i="38"/>
  <c r="Q155" i="38"/>
  <c r="Q157" i="38" s="1"/>
  <c r="Q275" i="38"/>
  <c r="Q270" i="38"/>
  <c r="R140" i="38"/>
  <c r="Q352" i="38"/>
  <c r="Q142" i="38"/>
  <c r="Q150" i="38" s="1"/>
  <c r="Q257" i="38"/>
  <c r="Q265" i="38" s="1"/>
  <c r="Q162" i="38"/>
  <c r="Q272" i="38"/>
  <c r="Q158" i="38"/>
  <c r="Q212" i="38"/>
  <c r="Q220" i="38" s="1"/>
  <c r="Q230" i="38"/>
  <c r="Q320" i="38" s="1"/>
  <c r="P75" i="41"/>
  <c r="P76" i="41" s="1"/>
  <c r="P87" i="41" s="1"/>
  <c r="Q74" i="41"/>
  <c r="N157" i="41"/>
  <c r="N167" i="41" s="1"/>
  <c r="N222" i="41" s="1"/>
  <c r="P203" i="40"/>
  <c r="M176" i="38"/>
  <c r="M177" i="38" s="1"/>
  <c r="M186" i="38" s="1"/>
  <c r="Q154" i="40"/>
  <c r="Q284" i="40"/>
  <c r="R139" i="40"/>
  <c r="Q161" i="40"/>
  <c r="Q204" i="40"/>
  <c r="Q141" i="40"/>
  <c r="Q149" i="40" s="1"/>
  <c r="Q207" i="40"/>
  <c r="Q189" i="40"/>
  <c r="Q197" i="40" s="1"/>
  <c r="Q202" i="40"/>
  <c r="Q155" i="40"/>
  <c r="Q157" i="40"/>
  <c r="N247" i="38"/>
  <c r="S166" i="38"/>
  <c r="R167" i="38"/>
  <c r="O235" i="38"/>
  <c r="O236" i="38" s="1"/>
  <c r="O244" i="38" s="1"/>
  <c r="P234" i="38"/>
  <c r="S116" i="41"/>
  <c r="R117" i="41"/>
  <c r="P168" i="38"/>
  <c r="R291" i="38"/>
  <c r="R11" i="52" s="1"/>
  <c r="R56" i="52" s="1"/>
  <c r="R287" i="38"/>
  <c r="R7" i="52" s="1"/>
  <c r="R52" i="52" s="1"/>
  <c r="S284" i="38"/>
  <c r="S288" i="38" s="1"/>
  <c r="R290" i="38"/>
  <c r="R10" i="52" s="1"/>
  <c r="R55" i="52" s="1"/>
  <c r="R333" i="38"/>
  <c r="R285" i="38"/>
  <c r="R5" i="52" s="1"/>
  <c r="R50" i="52" s="1"/>
  <c r="R289" i="38"/>
  <c r="R9" i="52" s="1"/>
  <c r="R286" i="38"/>
  <c r="R6" i="52" s="1"/>
  <c r="R51" i="52" s="1"/>
  <c r="U29" i="40"/>
  <c r="T30" i="40"/>
  <c r="R167" i="40"/>
  <c r="S166" i="40"/>
  <c r="Q5" i="40"/>
  <c r="R6" i="40"/>
  <c r="Q2" i="40"/>
  <c r="Q1" i="40"/>
  <c r="Q7" i="40"/>
  <c r="T115" i="40"/>
  <c r="S116" i="40"/>
  <c r="P57" i="40"/>
  <c r="P78" i="40"/>
  <c r="P99" i="40"/>
  <c r="P171" i="40"/>
  <c r="Q330" i="38"/>
  <c r="Q292" i="38"/>
  <c r="R190" i="41"/>
  <c r="Q53" i="41"/>
  <c r="P54" i="41"/>
  <c r="U7" i="31"/>
  <c r="BC7" i="31" s="1"/>
  <c r="H75" i="39"/>
  <c r="AQ32" i="31"/>
  <c r="AM32" i="31"/>
  <c r="AP32" i="31"/>
  <c r="BC44" i="31"/>
  <c r="BC45" i="31" s="1"/>
  <c r="J45" i="31"/>
  <c r="J46" i="31" s="1"/>
  <c r="O96" i="40"/>
  <c r="N107" i="40"/>
  <c r="N109" i="40" s="1"/>
  <c r="AE5" i="31"/>
  <c r="AE56" i="31" s="1"/>
  <c r="S95" i="41"/>
  <c r="R96" i="41"/>
  <c r="M8" i="40"/>
  <c r="P30" i="32"/>
  <c r="N179" i="40"/>
  <c r="O168" i="40"/>
  <c r="F42" i="31"/>
  <c r="M32" i="41"/>
  <c r="O9" i="41"/>
  <c r="AC5" i="31"/>
  <c r="AC56" i="31" s="1"/>
  <c r="P24" i="32"/>
  <c r="AK32" i="31"/>
  <c r="AD5" i="31"/>
  <c r="AD56" i="31" s="1"/>
  <c r="K31" i="40"/>
  <c r="P120" i="41"/>
  <c r="AB5" i="31"/>
  <c r="AB56" i="31" s="1"/>
  <c r="T43" i="31"/>
  <c r="T45" i="31" s="1"/>
  <c r="F43" i="31"/>
  <c r="J21" i="31"/>
  <c r="J60" i="31" s="1"/>
  <c r="O7" i="31"/>
  <c r="AW7" i="31" s="1"/>
  <c r="AW56" i="31" s="1"/>
  <c r="N7" i="31"/>
  <c r="AV7" i="31" s="1"/>
  <c r="AV56" i="31" s="1"/>
  <c r="P7" i="31"/>
  <c r="AX7" i="31" s="1"/>
  <c r="AX56" i="31" s="1"/>
  <c r="Q7" i="31"/>
  <c r="AY7" i="31" s="1"/>
  <c r="AY56" i="31" s="1"/>
  <c r="M7" i="31"/>
  <c r="M35" i="31" s="1"/>
  <c r="M46" i="31" s="1"/>
  <c r="R7" i="31"/>
  <c r="AZ7" i="31" s="1"/>
  <c r="AZ56" i="31" s="1"/>
  <c r="T7" i="31"/>
  <c r="BB7" i="31" s="1"/>
  <c r="BB56" i="31" s="1"/>
  <c r="S7" i="31"/>
  <c r="BA7" i="31" s="1"/>
  <c r="BA56" i="31" s="1"/>
  <c r="M119" i="40"/>
  <c r="N66" i="41"/>
  <c r="N68" i="41" s="1"/>
  <c r="O55" i="41"/>
  <c r="P339" i="38"/>
  <c r="AR32" i="31"/>
  <c r="AG44" i="31"/>
  <c r="AG45" i="31" s="1"/>
  <c r="G44" i="31"/>
  <c r="G50" i="31" s="1"/>
  <c r="H45" i="31"/>
  <c r="O58" i="41"/>
  <c r="O79" i="41"/>
  <c r="O100" i="41"/>
  <c r="W74" i="40"/>
  <c r="X73" i="40"/>
  <c r="AO32" i="31"/>
  <c r="N65" i="40"/>
  <c r="N67" i="40" s="1"/>
  <c r="O54" i="40"/>
  <c r="Z5" i="31"/>
  <c r="Z56" i="31" s="1"/>
  <c r="F62" i="31"/>
  <c r="F58" i="31"/>
  <c r="F12" i="32"/>
  <c r="F76" i="31"/>
  <c r="F55" i="31"/>
  <c r="F29" i="31"/>
  <c r="F60" i="31"/>
  <c r="P21" i="32"/>
  <c r="F77" i="31"/>
  <c r="F61" i="31"/>
  <c r="F11" i="32"/>
  <c r="F21" i="32"/>
  <c r="F19" i="32"/>
  <c r="F38" i="31"/>
  <c r="F75" i="31"/>
  <c r="G63" i="31"/>
  <c r="F52" i="31"/>
  <c r="P23" i="32"/>
  <c r="F54" i="31"/>
  <c r="F53" i="31"/>
  <c r="F35" i="31"/>
  <c r="F28" i="31"/>
  <c r="F9" i="32"/>
  <c r="F31" i="31"/>
  <c r="F25" i="31"/>
  <c r="F7" i="32"/>
  <c r="F29" i="32"/>
  <c r="F36" i="31"/>
  <c r="F39" i="32"/>
  <c r="F39" i="31"/>
  <c r="F32" i="31"/>
  <c r="F37" i="31"/>
  <c r="F20" i="32"/>
  <c r="F40" i="31"/>
  <c r="I21" i="31"/>
  <c r="F41" i="31"/>
  <c r="F30" i="32"/>
  <c r="F8" i="32"/>
  <c r="P22" i="32"/>
  <c r="N86" i="40"/>
  <c r="O75" i="40"/>
  <c r="AN32" i="31"/>
  <c r="AL32" i="31"/>
  <c r="V5" i="31"/>
  <c r="Y5" i="31"/>
  <c r="Y56" i="31" s="1"/>
  <c r="V52" i="40"/>
  <c r="U53" i="40"/>
  <c r="P3" i="41"/>
  <c r="P2" i="41"/>
  <c r="P6" i="41"/>
  <c r="P8" i="41"/>
  <c r="Q7" i="41"/>
  <c r="V30" i="41"/>
  <c r="U31" i="41"/>
  <c r="H21" i="31"/>
  <c r="N1" i="42"/>
  <c r="O2" i="42"/>
  <c r="N47" i="42"/>
  <c r="AJ29" i="31"/>
  <c r="AJ28" i="31"/>
  <c r="AJ35" i="31"/>
  <c r="AJ46" i="31" s="1"/>
  <c r="AI46" i="31" s="1"/>
  <c r="AJ24" i="31"/>
  <c r="AJ25" i="31" s="1"/>
  <c r="AJ31" i="31"/>
  <c r="N5" i="47"/>
  <c r="N6" i="47"/>
  <c r="N4" i="47"/>
  <c r="O3" i="47"/>
  <c r="Y94" i="40"/>
  <c r="X95" i="40"/>
  <c r="AG5" i="31"/>
  <c r="AG56" i="31" s="1"/>
  <c r="AF5" i="31"/>
  <c r="AF56" i="31" s="1"/>
  <c r="AA5" i="31"/>
  <c r="AA56" i="31" s="1"/>
  <c r="O199" i="41" l="1"/>
  <c r="O204" i="41"/>
  <c r="S8" i="52"/>
  <c r="S53" i="52" s="1"/>
  <c r="R263" i="40"/>
  <c r="P198" i="41"/>
  <c r="P243" i="41" s="1"/>
  <c r="P247" i="41" s="1"/>
  <c r="U261" i="40"/>
  <c r="U250" i="40"/>
  <c r="V226" i="40"/>
  <c r="U256" i="40"/>
  <c r="O68" i="52"/>
  <c r="P28" i="52"/>
  <c r="P23" i="52"/>
  <c r="P240" i="40"/>
  <c r="Q337" i="38"/>
  <c r="Q57" i="52"/>
  <c r="R331" i="38"/>
  <c r="R335" i="38"/>
  <c r="R332" i="38"/>
  <c r="R336" i="38"/>
  <c r="Q12" i="52"/>
  <c r="P233" i="41"/>
  <c r="Q226" i="41"/>
  <c r="N206" i="41"/>
  <c r="R214" i="41"/>
  <c r="R220" i="41"/>
  <c r="R225" i="41"/>
  <c r="N223" i="41"/>
  <c r="O247" i="41"/>
  <c r="O244" i="41"/>
  <c r="Q234" i="40"/>
  <c r="R22" i="52" s="1"/>
  <c r="R67" i="52" s="1"/>
  <c r="P235" i="40"/>
  <c r="O70" i="38"/>
  <c r="O63" i="38"/>
  <c r="Q55" i="38"/>
  <c r="P66" i="38"/>
  <c r="P68" i="38" s="1"/>
  <c r="N71" i="38"/>
  <c r="N72" i="38"/>
  <c r="J138" i="38"/>
  <c r="J51" i="38"/>
  <c r="O157" i="41"/>
  <c r="O167" i="41" s="1"/>
  <c r="O222" i="41" s="1"/>
  <c r="O166" i="41"/>
  <c r="O221" i="41" s="1"/>
  <c r="Q241" i="40"/>
  <c r="Q209" i="40"/>
  <c r="N159" i="41"/>
  <c r="O173" i="41"/>
  <c r="W136" i="38"/>
  <c r="W135" i="38"/>
  <c r="Y131" i="38"/>
  <c r="X132" i="38"/>
  <c r="X134" i="38" s="1"/>
  <c r="P258" i="40"/>
  <c r="P259" i="40" s="1"/>
  <c r="BC28" i="31"/>
  <c r="BC56" i="31"/>
  <c r="Q56" i="31"/>
  <c r="U56" i="31"/>
  <c r="T56" i="31"/>
  <c r="N56" i="31"/>
  <c r="P56" i="31"/>
  <c r="S56" i="31"/>
  <c r="M56" i="31"/>
  <c r="O56" i="31"/>
  <c r="R56" i="31"/>
  <c r="Q156" i="40"/>
  <c r="Q158" i="40" s="1"/>
  <c r="Q257" i="40"/>
  <c r="R186" i="41"/>
  <c r="R231" i="41" s="1"/>
  <c r="S180" i="41"/>
  <c r="R184" i="41"/>
  <c r="R229" i="41" s="1"/>
  <c r="R182" i="41"/>
  <c r="R227" i="41" s="1"/>
  <c r="R181" i="41"/>
  <c r="R185" i="41"/>
  <c r="R230" i="41" s="1"/>
  <c r="R187" i="41"/>
  <c r="R232" i="41" s="1"/>
  <c r="R183" i="41"/>
  <c r="R228" i="41" s="1"/>
  <c r="Q188" i="41"/>
  <c r="P324" i="38"/>
  <c r="P318" i="38"/>
  <c r="Q294" i="38"/>
  <c r="P329" i="38"/>
  <c r="N176" i="38"/>
  <c r="N177" i="38" s="1"/>
  <c r="N186" i="38" s="1"/>
  <c r="S218" i="40"/>
  <c r="S220" i="40"/>
  <c r="S265" i="40" s="1"/>
  <c r="S221" i="40"/>
  <c r="S219" i="40"/>
  <c r="S264" i="40" s="1"/>
  <c r="S222" i="40"/>
  <c r="S267" i="40" s="1"/>
  <c r="S217" i="40"/>
  <c r="S223" i="40"/>
  <c r="S268" i="40" s="1"/>
  <c r="T216" i="40"/>
  <c r="R224" i="40"/>
  <c r="R262" i="40"/>
  <c r="R269" i="40" s="1"/>
  <c r="R271" i="40"/>
  <c r="U28" i="31"/>
  <c r="P205" i="40"/>
  <c r="S140" i="38"/>
  <c r="R272" i="38"/>
  <c r="R227" i="38"/>
  <c r="R270" i="38"/>
  <c r="R275" i="38"/>
  <c r="R230" i="38"/>
  <c r="R320" i="38" s="1"/>
  <c r="R155" i="38"/>
  <c r="R157" i="38" s="1"/>
  <c r="R212" i="38"/>
  <c r="R220" i="38" s="1"/>
  <c r="R156" i="38"/>
  <c r="R158" i="38"/>
  <c r="R142" i="38"/>
  <c r="R150" i="38" s="1"/>
  <c r="R257" i="38"/>
  <c r="R265" i="38" s="1"/>
  <c r="R352" i="38"/>
  <c r="R162" i="38"/>
  <c r="R225" i="38"/>
  <c r="R226" i="38" s="1"/>
  <c r="P166" i="41"/>
  <c r="P221" i="41" s="1"/>
  <c r="P158" i="41"/>
  <c r="P168" i="41" s="1"/>
  <c r="P156" i="41"/>
  <c r="P155" i="41"/>
  <c r="P142" i="41"/>
  <c r="P150" i="41" s="1"/>
  <c r="Q140" i="41"/>
  <c r="P162" i="41"/>
  <c r="P171" i="41"/>
  <c r="Q228" i="38"/>
  <c r="N169" i="41"/>
  <c r="BC29" i="31"/>
  <c r="O171" i="38"/>
  <c r="O173" i="38" s="1"/>
  <c r="O175" i="38"/>
  <c r="O239" i="38"/>
  <c r="Q271" i="38"/>
  <c r="Q325" i="38"/>
  <c r="Q45" i="52" s="1"/>
  <c r="Q75" i="41"/>
  <c r="Q76" i="41" s="1"/>
  <c r="Q87" i="41" s="1"/>
  <c r="R74" i="41"/>
  <c r="Q277" i="38"/>
  <c r="Q309" i="38" s="1"/>
  <c r="Q29" i="52" s="1"/>
  <c r="U29" i="31"/>
  <c r="Q203" i="40"/>
  <c r="R155" i="40"/>
  <c r="R157" i="40"/>
  <c r="R161" i="40"/>
  <c r="R141" i="40"/>
  <c r="R149" i="40" s="1"/>
  <c r="R202" i="40"/>
  <c r="S139" i="40"/>
  <c r="R284" i="40"/>
  <c r="R189" i="40"/>
  <c r="R197" i="40" s="1"/>
  <c r="R154" i="40"/>
  <c r="R207" i="40"/>
  <c r="R204" i="40"/>
  <c r="Q159" i="38"/>
  <c r="O247" i="38"/>
  <c r="Q99" i="40"/>
  <c r="Q171" i="40"/>
  <c r="Q78" i="40"/>
  <c r="Q57" i="40"/>
  <c r="R7" i="40"/>
  <c r="R1" i="40"/>
  <c r="R2" i="40"/>
  <c r="S6" i="40"/>
  <c r="R5" i="40"/>
  <c r="V29" i="40"/>
  <c r="U30" i="40"/>
  <c r="R53" i="41"/>
  <c r="Q54" i="41"/>
  <c r="Q168" i="38"/>
  <c r="T116" i="41"/>
  <c r="S117" i="41"/>
  <c r="S167" i="40"/>
  <c r="T166" i="40"/>
  <c r="S290" i="38"/>
  <c r="S10" i="52" s="1"/>
  <c r="S55" i="52" s="1"/>
  <c r="S287" i="38"/>
  <c r="S7" i="52" s="1"/>
  <c r="S52" i="52" s="1"/>
  <c r="S285" i="38"/>
  <c r="S5" i="52" s="1"/>
  <c r="T284" i="38"/>
  <c r="T288" i="38" s="1"/>
  <c r="T8" i="52" s="1"/>
  <c r="T53" i="52" s="1"/>
  <c r="S289" i="38"/>
  <c r="S9" i="52" s="1"/>
  <c r="S286" i="38"/>
  <c r="S6" i="52" s="1"/>
  <c r="S51" i="52" s="1"/>
  <c r="S291" i="38"/>
  <c r="S11" i="52" s="1"/>
  <c r="S56" i="52" s="1"/>
  <c r="S333" i="38"/>
  <c r="R330" i="38"/>
  <c r="R292" i="38"/>
  <c r="P235" i="38"/>
  <c r="Q234" i="38"/>
  <c r="T166" i="38"/>
  <c r="S167" i="38"/>
  <c r="S190" i="41"/>
  <c r="T116" i="40"/>
  <c r="U115" i="40"/>
  <c r="BC24" i="31"/>
  <c r="BC25" i="31" s="1"/>
  <c r="M28" i="31"/>
  <c r="M24" i="31"/>
  <c r="M25" i="31" s="1"/>
  <c r="T24" i="31"/>
  <c r="T25" i="31" s="1"/>
  <c r="O31" i="31"/>
  <c r="BC35" i="31"/>
  <c r="BC46" i="31" s="1"/>
  <c r="U35" i="31"/>
  <c r="T29" i="31"/>
  <c r="T35" i="31"/>
  <c r="T46" i="31" s="1"/>
  <c r="U31" i="31"/>
  <c r="BC31" i="31"/>
  <c r="U24" i="31"/>
  <c r="U25" i="31" s="1"/>
  <c r="R31" i="31"/>
  <c r="T28" i="31"/>
  <c r="T31" i="31"/>
  <c r="P24" i="31"/>
  <c r="P25" i="31" s="1"/>
  <c r="Q24" i="31"/>
  <c r="Q25" i="31" s="1"/>
  <c r="P28" i="31"/>
  <c r="Q35" i="31"/>
  <c r="Q46" i="31" s="1"/>
  <c r="Q87" i="31" s="1"/>
  <c r="P31" i="31"/>
  <c r="J50" i="31"/>
  <c r="H50" i="31"/>
  <c r="F50" i="31"/>
  <c r="I50" i="31"/>
  <c r="V31" i="41"/>
  <c r="W30" i="41"/>
  <c r="W52" i="40"/>
  <c r="V53" i="40"/>
  <c r="N29" i="31"/>
  <c r="O4" i="47"/>
  <c r="P3" i="47"/>
  <c r="O5" i="47"/>
  <c r="O6" i="47"/>
  <c r="AJ32" i="31"/>
  <c r="AI32" i="31" s="1"/>
  <c r="Y29" i="31"/>
  <c r="Y28" i="31"/>
  <c r="Y35" i="31"/>
  <c r="Y46" i="31" s="1"/>
  <c r="Y24" i="31"/>
  <c r="Y25" i="31" s="1"/>
  <c r="Y31" i="31"/>
  <c r="I63" i="31"/>
  <c r="H63" i="31"/>
  <c r="F63" i="31"/>
  <c r="J63" i="31"/>
  <c r="Z28" i="31"/>
  <c r="Z29" i="31"/>
  <c r="Z35" i="31"/>
  <c r="Z46" i="31" s="1"/>
  <c r="Z24" i="31"/>
  <c r="Z25" i="31" s="1"/>
  <c r="Z31" i="31"/>
  <c r="BA29" i="31"/>
  <c r="BA35" i="31"/>
  <c r="BA46" i="31" s="1"/>
  <c r="BA28" i="31"/>
  <c r="BA24" i="31"/>
  <c r="BA25" i="31" s="1"/>
  <c r="BA31" i="31"/>
  <c r="J52" i="31"/>
  <c r="J75" i="31"/>
  <c r="J58" i="31"/>
  <c r="J76" i="31"/>
  <c r="J53" i="31"/>
  <c r="J62" i="31"/>
  <c r="J55" i="31"/>
  <c r="J61" i="31"/>
  <c r="J54" i="31"/>
  <c r="Q29" i="31"/>
  <c r="T95" i="41"/>
  <c r="S96" i="41"/>
  <c r="S31" i="31"/>
  <c r="N32" i="41"/>
  <c r="O47" i="42"/>
  <c r="O1" i="42"/>
  <c r="P2" i="42"/>
  <c r="O24" i="31"/>
  <c r="O25" i="31" s="1"/>
  <c r="S31" i="32"/>
  <c r="AJ53" i="32"/>
  <c r="M89" i="31"/>
  <c r="M87" i="31"/>
  <c r="N35" i="31"/>
  <c r="N46" i="31" s="1"/>
  <c r="N119" i="40"/>
  <c r="BB35" i="31"/>
  <c r="BB46" i="31" s="1"/>
  <c r="BB29" i="31"/>
  <c r="BB24" i="31"/>
  <c r="BB25" i="31" s="1"/>
  <c r="BB28" i="31"/>
  <c r="BB31" i="31"/>
  <c r="Q120" i="41"/>
  <c r="R24" i="31"/>
  <c r="R25" i="31" s="1"/>
  <c r="Q28" i="31"/>
  <c r="P58" i="41"/>
  <c r="P79" i="41"/>
  <c r="P100" i="41"/>
  <c r="Q339" i="38"/>
  <c r="O29" i="31"/>
  <c r="AG29" i="31"/>
  <c r="AG28" i="31"/>
  <c r="AG35" i="31"/>
  <c r="AG46" i="31" s="1"/>
  <c r="AG24" i="31"/>
  <c r="AG25" i="31" s="1"/>
  <c r="AG31" i="31"/>
  <c r="H76" i="31"/>
  <c r="H62" i="31"/>
  <c r="H52" i="31"/>
  <c r="H61" i="31"/>
  <c r="H58" i="31"/>
  <c r="H53" i="31"/>
  <c r="H60" i="31"/>
  <c r="H75" i="31"/>
  <c r="G21" i="31"/>
  <c r="H55" i="31"/>
  <c r="H54" i="31"/>
  <c r="I53" i="31"/>
  <c r="I61" i="31"/>
  <c r="I76" i="31"/>
  <c r="I54" i="31"/>
  <c r="I55" i="31"/>
  <c r="I58" i="31"/>
  <c r="I62" i="31"/>
  <c r="I52" i="31"/>
  <c r="I75" i="31"/>
  <c r="I60" i="31"/>
  <c r="X74" i="40"/>
  <c r="Y73" i="40"/>
  <c r="AZ35" i="31"/>
  <c r="AZ46" i="31" s="1"/>
  <c r="AZ29" i="31"/>
  <c r="AZ24" i="31"/>
  <c r="AZ25" i="31" s="1"/>
  <c r="AZ28" i="31"/>
  <c r="AZ31" i="31"/>
  <c r="AD28" i="31"/>
  <c r="AD35" i="31"/>
  <c r="AD46" i="31" s="1"/>
  <c r="AD29" i="31"/>
  <c r="AD24" i="31"/>
  <c r="AD25" i="31" s="1"/>
  <c r="AD31" i="31"/>
  <c r="AC28" i="31"/>
  <c r="AC29" i="31"/>
  <c r="AC35" i="31"/>
  <c r="AC46" i="31" s="1"/>
  <c r="AC24" i="31"/>
  <c r="AC25" i="31" s="1"/>
  <c r="AC31" i="31"/>
  <c r="P9" i="41"/>
  <c r="S24" i="31"/>
  <c r="S25" i="31" s="1"/>
  <c r="AV35" i="31"/>
  <c r="AV46" i="31" s="1"/>
  <c r="AV29" i="31"/>
  <c r="AV28" i="31"/>
  <c r="AV24" i="31"/>
  <c r="AV25" i="31" s="1"/>
  <c r="AV31" i="31"/>
  <c r="AB29" i="31"/>
  <c r="AB28" i="31"/>
  <c r="AB35" i="31"/>
  <c r="AB46" i="31" s="1"/>
  <c r="AB24" i="31"/>
  <c r="AB25" i="31" s="1"/>
  <c r="AB31" i="31"/>
  <c r="AW29" i="31"/>
  <c r="AW35" i="31"/>
  <c r="AW46" i="31" s="1"/>
  <c r="AW28" i="31"/>
  <c r="AW24" i="31"/>
  <c r="AW25" i="31" s="1"/>
  <c r="AW31" i="31"/>
  <c r="O28" i="31"/>
  <c r="O65" i="40"/>
  <c r="O67" i="40" s="1"/>
  <c r="P54" i="40"/>
  <c r="AU7" i="31"/>
  <c r="AU56" i="31" s="1"/>
  <c r="V7" i="31"/>
  <c r="R35" i="31"/>
  <c r="R46" i="31" s="1"/>
  <c r="R87" i="31" s="1"/>
  <c r="C115" i="28" s="1"/>
  <c r="O179" i="40"/>
  <c r="P168" i="40"/>
  <c r="S35" i="31"/>
  <c r="S46" i="31" s="1"/>
  <c r="S87" i="31" s="1"/>
  <c r="C120" i="28" s="1"/>
  <c r="J31" i="32"/>
  <c r="AF29" i="31"/>
  <c r="AF28" i="31"/>
  <c r="AF35" i="31"/>
  <c r="AF46" i="31" s="1"/>
  <c r="AF24" i="31"/>
  <c r="AF25" i="31" s="1"/>
  <c r="AF31" i="31"/>
  <c r="AA35" i="31"/>
  <c r="AA46" i="31" s="1"/>
  <c r="AA28" i="31"/>
  <c r="AA29" i="31"/>
  <c r="AA24" i="31"/>
  <c r="AA25" i="31" s="1"/>
  <c r="AA31" i="31"/>
  <c r="Y95" i="40"/>
  <c r="Z94" i="40"/>
  <c r="Z95" i="40" s="1"/>
  <c r="M29" i="31"/>
  <c r="O86" i="40"/>
  <c r="P75" i="40"/>
  <c r="N31" i="31"/>
  <c r="AY29" i="31"/>
  <c r="AY35" i="31"/>
  <c r="AY46" i="31" s="1"/>
  <c r="AY28" i="31"/>
  <c r="AY24" i="31"/>
  <c r="AY25" i="31" s="1"/>
  <c r="AY31" i="31"/>
  <c r="P35" i="31"/>
  <c r="P46" i="31" s="1"/>
  <c r="R28" i="31"/>
  <c r="Q31" i="31"/>
  <c r="N8" i="40"/>
  <c r="S28" i="31"/>
  <c r="P96" i="40"/>
  <c r="O107" i="40"/>
  <c r="O109" i="40" s="1"/>
  <c r="F44" i="31"/>
  <c r="U44" i="31"/>
  <c r="G57" i="31"/>
  <c r="H57" i="31" s="1"/>
  <c r="L31" i="40"/>
  <c r="AE28" i="31"/>
  <c r="AE35" i="31"/>
  <c r="AE46" i="31" s="1"/>
  <c r="AE29" i="31"/>
  <c r="AE24" i="31"/>
  <c r="AE25" i="31" s="1"/>
  <c r="AE31" i="31"/>
  <c r="N28" i="31"/>
  <c r="Q3" i="41"/>
  <c r="Q2" i="41"/>
  <c r="Q6" i="41"/>
  <c r="R7" i="41"/>
  <c r="Q8" i="41"/>
  <c r="O35" i="31"/>
  <c r="O46" i="31" s="1"/>
  <c r="M31" i="31"/>
  <c r="N24" i="31"/>
  <c r="N25" i="31" s="1"/>
  <c r="G45" i="31"/>
  <c r="H46" i="31"/>
  <c r="H31" i="32" s="1"/>
  <c r="O66" i="41"/>
  <c r="O68" i="41" s="1"/>
  <c r="P55" i="41"/>
  <c r="AX35" i="31"/>
  <c r="AX46" i="31" s="1"/>
  <c r="AX29" i="31"/>
  <c r="AX28" i="31"/>
  <c r="AX24" i="31"/>
  <c r="AX25" i="31" s="1"/>
  <c r="AX31" i="31"/>
  <c r="P29" i="31"/>
  <c r="R29" i="31"/>
  <c r="S29" i="31"/>
  <c r="P244" i="41" l="1"/>
  <c r="R337" i="38"/>
  <c r="P204" i="41"/>
  <c r="U45" i="31"/>
  <c r="U46" i="31" s="1"/>
  <c r="P199" i="41"/>
  <c r="S263" i="40"/>
  <c r="Q198" i="41"/>
  <c r="Q243" i="41" s="1"/>
  <c r="W226" i="40"/>
  <c r="V250" i="40"/>
  <c r="V261" i="40"/>
  <c r="V256" i="40"/>
  <c r="Q23" i="52"/>
  <c r="Q28" i="52"/>
  <c r="Q30" i="52" s="1"/>
  <c r="Q240" i="40"/>
  <c r="P68" i="52"/>
  <c r="R57" i="52"/>
  <c r="S50" i="52"/>
  <c r="S332" i="38"/>
  <c r="S335" i="38"/>
  <c r="S336" i="38"/>
  <c r="S331" i="38"/>
  <c r="R12" i="52"/>
  <c r="R226" i="41"/>
  <c r="Q233" i="41"/>
  <c r="O223" i="41"/>
  <c r="S225" i="41"/>
  <c r="S214" i="41"/>
  <c r="S220" i="41"/>
  <c r="R234" i="40"/>
  <c r="S22" i="52" s="1"/>
  <c r="S67" i="52" s="1"/>
  <c r="Q235" i="40"/>
  <c r="P70" i="38"/>
  <c r="P63" i="38"/>
  <c r="R55" i="38"/>
  <c r="Q66" i="38"/>
  <c r="Q68" i="38" s="1"/>
  <c r="O71" i="38"/>
  <c r="O72" i="38"/>
  <c r="O138" i="38"/>
  <c r="R209" i="40"/>
  <c r="R241" i="40"/>
  <c r="P157" i="41"/>
  <c r="P159" i="41" s="1"/>
  <c r="O159" i="41"/>
  <c r="R257" i="40"/>
  <c r="P79" i="48"/>
  <c r="G31" i="32"/>
  <c r="H41" i="32"/>
  <c r="J41" i="32"/>
  <c r="T79" i="48"/>
  <c r="Q258" i="40"/>
  <c r="Q259" i="40" s="1"/>
  <c r="X136" i="38"/>
  <c r="X135" i="38"/>
  <c r="Z131" i="38"/>
  <c r="Z132" i="38" s="1"/>
  <c r="Z134" i="38" s="1"/>
  <c r="Y132" i="38"/>
  <c r="Y134" i="38" s="1"/>
  <c r="P173" i="41"/>
  <c r="R188" i="41"/>
  <c r="S183" i="41"/>
  <c r="S228" i="41" s="1"/>
  <c r="T180" i="41"/>
  <c r="S186" i="41"/>
  <c r="S231" i="41" s="1"/>
  <c r="S184" i="41"/>
  <c r="S229" i="41" s="1"/>
  <c r="S185" i="41"/>
  <c r="S230" i="41" s="1"/>
  <c r="S187" i="41"/>
  <c r="S232" i="41" s="1"/>
  <c r="S182" i="41"/>
  <c r="S227" i="41" s="1"/>
  <c r="S181" i="41"/>
  <c r="O176" i="38"/>
  <c r="O177" i="38" s="1"/>
  <c r="O186" i="38" s="1"/>
  <c r="R294" i="38"/>
  <c r="Q329" i="38"/>
  <c r="Q318" i="38"/>
  <c r="Q324" i="38"/>
  <c r="T223" i="40"/>
  <c r="T268" i="40" s="1"/>
  <c r="U216" i="40"/>
  <c r="T221" i="40"/>
  <c r="T219" i="40"/>
  <c r="T264" i="40" s="1"/>
  <c r="T220" i="40"/>
  <c r="T265" i="40" s="1"/>
  <c r="T217" i="40"/>
  <c r="T222" i="40"/>
  <c r="T267" i="40" s="1"/>
  <c r="T218" i="40"/>
  <c r="J97" i="40"/>
  <c r="J102" i="40" s="1"/>
  <c r="J103" i="40" s="1"/>
  <c r="S262" i="40"/>
  <c r="S269" i="40" s="1"/>
  <c r="S224" i="40"/>
  <c r="S271" i="40"/>
  <c r="R228" i="38"/>
  <c r="P167" i="41"/>
  <c r="P222" i="41" s="1"/>
  <c r="R203" i="40"/>
  <c r="P171" i="38"/>
  <c r="P173" i="38" s="1"/>
  <c r="P239" i="38"/>
  <c r="P175" i="38"/>
  <c r="T140" i="38"/>
  <c r="S156" i="38"/>
  <c r="S142" i="38"/>
  <c r="S150" i="38" s="1"/>
  <c r="S272" i="38"/>
  <c r="S158" i="38"/>
  <c r="S225" i="38"/>
  <c r="S226" i="38" s="1"/>
  <c r="S227" i="38"/>
  <c r="S212" i="38"/>
  <c r="S220" i="38" s="1"/>
  <c r="S352" i="38"/>
  <c r="S275" i="38"/>
  <c r="S270" i="38"/>
  <c r="S257" i="38"/>
  <c r="S265" i="38" s="1"/>
  <c r="S155" i="38"/>
  <c r="S157" i="38" s="1"/>
  <c r="S230" i="38"/>
  <c r="S320" i="38" s="1"/>
  <c r="S162" i="38"/>
  <c r="N97" i="40"/>
  <c r="N102" i="40" s="1"/>
  <c r="N103" i="40" s="1"/>
  <c r="R156" i="40"/>
  <c r="O169" i="41"/>
  <c r="K97" i="40"/>
  <c r="K102" i="40" s="1"/>
  <c r="K103" i="40" s="1"/>
  <c r="Q142" i="41"/>
  <c r="Q150" i="41" s="1"/>
  <c r="Q156" i="41"/>
  <c r="R140" i="41"/>
  <c r="Q155" i="41"/>
  <c r="Q162" i="41"/>
  <c r="Q171" i="41"/>
  <c r="Q158" i="41"/>
  <c r="Q168" i="41" s="1"/>
  <c r="Q166" i="41"/>
  <c r="Q221" i="41" s="1"/>
  <c r="R159" i="38"/>
  <c r="R75" i="41"/>
  <c r="R76" i="41" s="1"/>
  <c r="R87" i="41" s="1"/>
  <c r="S74" i="41"/>
  <c r="Q273" i="38"/>
  <c r="Q326" i="38"/>
  <c r="Q46" i="52" s="1"/>
  <c r="R277" i="38"/>
  <c r="R309" i="38" s="1"/>
  <c r="R29" i="52" s="1"/>
  <c r="S204" i="40"/>
  <c r="S202" i="40"/>
  <c r="S155" i="40"/>
  <c r="S284" i="40"/>
  <c r="T139" i="40"/>
  <c r="S161" i="40"/>
  <c r="S157" i="40"/>
  <c r="S189" i="40"/>
  <c r="S197" i="40" s="1"/>
  <c r="S154" i="40"/>
  <c r="S141" i="40"/>
  <c r="S149" i="40" s="1"/>
  <c r="S207" i="40"/>
  <c r="Q205" i="40"/>
  <c r="R325" i="38"/>
  <c r="R45" i="52" s="1"/>
  <c r="R271" i="38"/>
  <c r="R326" i="38" s="1"/>
  <c r="T190" i="41"/>
  <c r="U116" i="41"/>
  <c r="T117" i="41"/>
  <c r="R171" i="40"/>
  <c r="R78" i="40"/>
  <c r="R99" i="40"/>
  <c r="R57" i="40"/>
  <c r="L97" i="40"/>
  <c r="L102" i="40" s="1"/>
  <c r="L103" i="40" s="1"/>
  <c r="S53" i="41"/>
  <c r="R54" i="41"/>
  <c r="W29" i="40"/>
  <c r="V30" i="40"/>
  <c r="U166" i="38"/>
  <c r="T167" i="38"/>
  <c r="R168" i="38"/>
  <c r="R234" i="38"/>
  <c r="Q235" i="38"/>
  <c r="T286" i="38"/>
  <c r="T6" i="52" s="1"/>
  <c r="T51" i="52" s="1"/>
  <c r="T290" i="38"/>
  <c r="T10" i="52" s="1"/>
  <c r="T55" i="52" s="1"/>
  <c r="T333" i="38"/>
  <c r="T285" i="38"/>
  <c r="T5" i="52" s="1"/>
  <c r="T50" i="52" s="1"/>
  <c r="T291" i="38"/>
  <c r="T11" i="52" s="1"/>
  <c r="T56" i="52" s="1"/>
  <c r="T289" i="38"/>
  <c r="T9" i="52" s="1"/>
  <c r="T287" i="38"/>
  <c r="T7" i="52" s="1"/>
  <c r="T52" i="52" s="1"/>
  <c r="U284" i="38"/>
  <c r="U288" i="38" s="1"/>
  <c r="S292" i="38"/>
  <c r="S330" i="38"/>
  <c r="O97" i="40"/>
  <c r="O102" i="40" s="1"/>
  <c r="O103" i="40" s="1"/>
  <c r="P236" i="38"/>
  <c r="P244" i="38" s="1"/>
  <c r="T6" i="40"/>
  <c r="S2" i="40"/>
  <c r="S1" i="40"/>
  <c r="S5" i="40"/>
  <c r="S7" i="40"/>
  <c r="U116" i="40"/>
  <c r="V115" i="40"/>
  <c r="U166" i="40"/>
  <c r="T167" i="40"/>
  <c r="BC32" i="31"/>
  <c r="P32" i="31"/>
  <c r="T87" i="31"/>
  <c r="T89" i="31"/>
  <c r="U32" i="31"/>
  <c r="C113" i="28"/>
  <c r="T32" i="31"/>
  <c r="I77" i="31"/>
  <c r="I34" i="32" s="1"/>
  <c r="S32" i="31"/>
  <c r="BA32" i="31"/>
  <c r="M32" i="31"/>
  <c r="N32" i="31"/>
  <c r="AB32" i="31"/>
  <c r="Q55" i="41"/>
  <c r="P66" i="41"/>
  <c r="P68" i="41" s="1"/>
  <c r="R120" i="41"/>
  <c r="N87" i="31"/>
  <c r="N89" i="31"/>
  <c r="P4" i="47"/>
  <c r="Q3" i="47"/>
  <c r="P5" i="47"/>
  <c r="P6" i="47"/>
  <c r="X30" i="41"/>
  <c r="W31" i="41"/>
  <c r="O8" i="40"/>
  <c r="AW32" i="31"/>
  <c r="AC32" i="31"/>
  <c r="AD32" i="31"/>
  <c r="AN58" i="31"/>
  <c r="AE58" i="31"/>
  <c r="U58" i="31"/>
  <c r="AL58" i="31"/>
  <c r="AZ58" i="31"/>
  <c r="M58" i="31"/>
  <c r="AC58" i="31"/>
  <c r="BA58" i="31"/>
  <c r="AA58" i="31"/>
  <c r="AX58" i="31"/>
  <c r="AY58" i="31"/>
  <c r="Z58" i="31"/>
  <c r="AU58" i="31"/>
  <c r="AG58" i="31"/>
  <c r="O58" i="31"/>
  <c r="Q58" i="31"/>
  <c r="P58" i="31"/>
  <c r="BB58" i="31"/>
  <c r="AD58" i="31"/>
  <c r="S58" i="31"/>
  <c r="T58" i="31"/>
  <c r="AQ58" i="31"/>
  <c r="AJ58" i="31"/>
  <c r="BC58" i="31"/>
  <c r="AP58" i="31"/>
  <c r="N58" i="31"/>
  <c r="AK58" i="31"/>
  <c r="AO58" i="31"/>
  <c r="AF58" i="31"/>
  <c r="AB58" i="31"/>
  <c r="Y58" i="31"/>
  <c r="AV58" i="31"/>
  <c r="R58" i="31"/>
  <c r="AW58" i="31"/>
  <c r="AR58" i="31"/>
  <c r="AM58" i="31"/>
  <c r="Q32" i="31"/>
  <c r="R100" i="48"/>
  <c r="AZ53" i="31"/>
  <c r="AJ53" i="31"/>
  <c r="AG53" i="31"/>
  <c r="O53" i="31"/>
  <c r="BB53" i="31"/>
  <c r="AD53" i="31"/>
  <c r="AC53" i="31"/>
  <c r="AN53" i="31"/>
  <c r="AK53" i="31"/>
  <c r="Y53" i="31"/>
  <c r="AX53" i="31"/>
  <c r="AP53" i="31"/>
  <c r="AR53" i="31"/>
  <c r="AM53" i="31"/>
  <c r="AE53" i="31"/>
  <c r="M53" i="31"/>
  <c r="AW53" i="31"/>
  <c r="AY53" i="31"/>
  <c r="AO53" i="31"/>
  <c r="S53" i="31"/>
  <c r="Q53" i="31"/>
  <c r="AL53" i="31"/>
  <c r="AB53" i="31"/>
  <c r="AA53" i="31"/>
  <c r="AV53" i="31"/>
  <c r="AF53" i="31"/>
  <c r="AQ53" i="31"/>
  <c r="U53" i="31"/>
  <c r="Z53" i="31"/>
  <c r="T53" i="31"/>
  <c r="AU53" i="31"/>
  <c r="N53" i="31"/>
  <c r="R53" i="31"/>
  <c r="BC53" i="31"/>
  <c r="P53" i="31"/>
  <c r="BA53" i="31"/>
  <c r="F45" i="31"/>
  <c r="G46" i="31"/>
  <c r="G59" i="31" s="1"/>
  <c r="AA61" i="31"/>
  <c r="AB61" i="31"/>
  <c r="Y61" i="31"/>
  <c r="N61" i="31"/>
  <c r="AC61" i="31"/>
  <c r="T61" i="31"/>
  <c r="AX61" i="31"/>
  <c r="AK61" i="31"/>
  <c r="Q61" i="31"/>
  <c r="AQ61" i="31"/>
  <c r="S61" i="31"/>
  <c r="AN61" i="31"/>
  <c r="AM61" i="31"/>
  <c r="AY61" i="31"/>
  <c r="AJ61" i="31"/>
  <c r="BB61" i="31"/>
  <c r="AV61" i="31"/>
  <c r="AP61" i="31"/>
  <c r="R61" i="31"/>
  <c r="AF61" i="31"/>
  <c r="AE61" i="31"/>
  <c r="AL61" i="31"/>
  <c r="AD61" i="31"/>
  <c r="AG61" i="31"/>
  <c r="Z61" i="31"/>
  <c r="O61" i="31"/>
  <c r="BA61" i="31"/>
  <c r="M61" i="31"/>
  <c r="P61" i="31"/>
  <c r="U61" i="31"/>
  <c r="AR61" i="31"/>
  <c r="AZ61" i="31"/>
  <c r="AW61" i="31"/>
  <c r="BC61" i="31"/>
  <c r="AU61" i="31"/>
  <c r="AO61" i="31"/>
  <c r="U95" i="41"/>
  <c r="T96" i="41"/>
  <c r="AZ50" i="31"/>
  <c r="R50" i="31"/>
  <c r="AO50" i="31"/>
  <c r="AL50" i="31"/>
  <c r="AW50" i="31"/>
  <c r="AU50" i="31"/>
  <c r="U50" i="31"/>
  <c r="AJ50" i="31"/>
  <c r="AP50" i="31"/>
  <c r="Z50" i="31"/>
  <c r="Q50" i="31"/>
  <c r="M50" i="31"/>
  <c r="AK50" i="31"/>
  <c r="AQ50" i="31"/>
  <c r="AD50" i="31"/>
  <c r="BC50" i="31"/>
  <c r="AB50" i="31"/>
  <c r="BB50" i="31"/>
  <c r="AY50" i="31"/>
  <c r="Y50" i="31"/>
  <c r="AC50" i="31"/>
  <c r="AF50" i="31"/>
  <c r="N50" i="31"/>
  <c r="AA50" i="31"/>
  <c r="AR50" i="31"/>
  <c r="P50" i="31"/>
  <c r="S50" i="31"/>
  <c r="T50" i="31"/>
  <c r="AV50" i="31"/>
  <c r="AM50" i="31"/>
  <c r="AE50" i="31"/>
  <c r="O50" i="31"/>
  <c r="AG50" i="31"/>
  <c r="BA50" i="31"/>
  <c r="AN50" i="31"/>
  <c r="AX50" i="31"/>
  <c r="AX32" i="31"/>
  <c r="M31" i="40"/>
  <c r="AY32" i="31"/>
  <c r="AF32" i="31"/>
  <c r="P179" i="40"/>
  <c r="Q168" i="40"/>
  <c r="AU35" i="31"/>
  <c r="AU46" i="31" s="1"/>
  <c r="AT46" i="31" s="1"/>
  <c r="AU29" i="31"/>
  <c r="AU24" i="31"/>
  <c r="AU25" i="31" s="1"/>
  <c r="AU28" i="31"/>
  <c r="AU31" i="31"/>
  <c r="Q9" i="41"/>
  <c r="Y74" i="40"/>
  <c r="Z73" i="40"/>
  <c r="Z74" i="40" s="1"/>
  <c r="AO54" i="31"/>
  <c r="AA54" i="31"/>
  <c r="AL54" i="31"/>
  <c r="AM54" i="31"/>
  <c r="AG54" i="31"/>
  <c r="BB54" i="31"/>
  <c r="AV54" i="31"/>
  <c r="M54" i="31"/>
  <c r="AE54" i="31"/>
  <c r="AJ54" i="31"/>
  <c r="AC54" i="31"/>
  <c r="AR54" i="31"/>
  <c r="AZ54" i="31"/>
  <c r="R54" i="31"/>
  <c r="AY54" i="31"/>
  <c r="AB54" i="31"/>
  <c r="U54" i="31"/>
  <c r="S54" i="31"/>
  <c r="AN54" i="31"/>
  <c r="BC54" i="31"/>
  <c r="AW54" i="31"/>
  <c r="Q54" i="31"/>
  <c r="AF54" i="31"/>
  <c r="AK54" i="31"/>
  <c r="AD54" i="31"/>
  <c r="P54" i="31"/>
  <c r="Z54" i="31"/>
  <c r="AQ54" i="31"/>
  <c r="BA54" i="31"/>
  <c r="Y54" i="31"/>
  <c r="N54" i="31"/>
  <c r="AU54" i="31"/>
  <c r="O54" i="31"/>
  <c r="AP54" i="31"/>
  <c r="T54" i="31"/>
  <c r="AX54" i="31"/>
  <c r="AE52" i="31"/>
  <c r="AQ52" i="31"/>
  <c r="T52" i="31"/>
  <c r="AY52" i="31"/>
  <c r="AR52" i="31"/>
  <c r="AJ52" i="31"/>
  <c r="Q52" i="31"/>
  <c r="BB52" i="31"/>
  <c r="AF52" i="31"/>
  <c r="AG52" i="31"/>
  <c r="U52" i="31"/>
  <c r="AO52" i="31"/>
  <c r="AC52" i="31"/>
  <c r="BC52" i="31"/>
  <c r="Z52" i="31"/>
  <c r="AD52" i="31"/>
  <c r="BA52" i="31"/>
  <c r="AZ52" i="31"/>
  <c r="AL52" i="31"/>
  <c r="AM52" i="31"/>
  <c r="AA52" i="31"/>
  <c r="AX52" i="31"/>
  <c r="AV52" i="31"/>
  <c r="R52" i="31"/>
  <c r="M52" i="31"/>
  <c r="O52" i="31"/>
  <c r="AK52" i="31"/>
  <c r="AN52" i="31"/>
  <c r="Y52" i="31"/>
  <c r="AW52" i="31"/>
  <c r="S52" i="31"/>
  <c r="AU52" i="31"/>
  <c r="AB52" i="31"/>
  <c r="N52" i="31"/>
  <c r="P52" i="31"/>
  <c r="AP52" i="31"/>
  <c r="AG32" i="31"/>
  <c r="O119" i="40"/>
  <c r="O32" i="41"/>
  <c r="Z32" i="31"/>
  <c r="N60" i="31"/>
  <c r="T60" i="31"/>
  <c r="AP60" i="31"/>
  <c r="M60" i="31"/>
  <c r="AA60" i="31"/>
  <c r="AD60" i="31"/>
  <c r="BA60" i="31"/>
  <c r="AJ60" i="31"/>
  <c r="AL60" i="31"/>
  <c r="AB60" i="31"/>
  <c r="AR60" i="31"/>
  <c r="Y60" i="31"/>
  <c r="U60" i="31"/>
  <c r="AX60" i="31"/>
  <c r="Q60" i="31"/>
  <c r="AO60" i="31"/>
  <c r="O60" i="31"/>
  <c r="AN60" i="31"/>
  <c r="BC60" i="31"/>
  <c r="AF60" i="31"/>
  <c r="AG60" i="31"/>
  <c r="AQ60" i="31"/>
  <c r="P60" i="31"/>
  <c r="AV60" i="31"/>
  <c r="AM60" i="31"/>
  <c r="AC60" i="31"/>
  <c r="Z60" i="31"/>
  <c r="AZ60" i="31"/>
  <c r="AW60" i="31"/>
  <c r="AU60" i="31"/>
  <c r="S60" i="31"/>
  <c r="BB60" i="31"/>
  <c r="AE60" i="31"/>
  <c r="R60" i="31"/>
  <c r="AK60" i="31"/>
  <c r="AY60" i="31"/>
  <c r="R6" i="41"/>
  <c r="R8" i="41"/>
  <c r="S7" i="41"/>
  <c r="R3" i="41"/>
  <c r="R2" i="41"/>
  <c r="F57" i="31"/>
  <c r="J57" i="31"/>
  <c r="I57" i="31"/>
  <c r="AA32" i="31"/>
  <c r="P65" i="40"/>
  <c r="P67" i="40" s="1"/>
  <c r="Q54" i="40"/>
  <c r="AZ55" i="31"/>
  <c r="AJ55" i="31"/>
  <c r="AL55" i="31"/>
  <c r="O55" i="31"/>
  <c r="AA55" i="31"/>
  <c r="Z55" i="31"/>
  <c r="BA55" i="31"/>
  <c r="AN55" i="31"/>
  <c r="BB55" i="31"/>
  <c r="AU55" i="31"/>
  <c r="AM55" i="31"/>
  <c r="AY55" i="31"/>
  <c r="AX55" i="31"/>
  <c r="U55" i="31"/>
  <c r="R55" i="31"/>
  <c r="AQ55" i="31"/>
  <c r="S55" i="31"/>
  <c r="AR55" i="31"/>
  <c r="T55" i="31"/>
  <c r="Q55" i="31"/>
  <c r="P55" i="31"/>
  <c r="AK55" i="31"/>
  <c r="BC55" i="31"/>
  <c r="AB55" i="31"/>
  <c r="AW55" i="31"/>
  <c r="AG55" i="31"/>
  <c r="AV55" i="31"/>
  <c r="AD55" i="31"/>
  <c r="AO55" i="31"/>
  <c r="N55" i="31"/>
  <c r="AP55" i="31"/>
  <c r="AC55" i="31"/>
  <c r="M55" i="31"/>
  <c r="Y55" i="31"/>
  <c r="AF55" i="31"/>
  <c r="AE55" i="31"/>
  <c r="U62" i="31"/>
  <c r="AU62" i="31"/>
  <c r="AB62" i="31"/>
  <c r="M62" i="31"/>
  <c r="O62" i="31"/>
  <c r="AJ62" i="31"/>
  <c r="AO62" i="31"/>
  <c r="AY62" i="31"/>
  <c r="AR62" i="31"/>
  <c r="AM62" i="31"/>
  <c r="AK62" i="31"/>
  <c r="BC62" i="31"/>
  <c r="N62" i="31"/>
  <c r="P62" i="31"/>
  <c r="AL62" i="31"/>
  <c r="AD62" i="31"/>
  <c r="AW62" i="31"/>
  <c r="BA62" i="31"/>
  <c r="T62" i="31"/>
  <c r="Z62" i="31"/>
  <c r="AA62" i="31"/>
  <c r="AV62" i="31"/>
  <c r="Q62" i="31"/>
  <c r="R62" i="31"/>
  <c r="AG62" i="31"/>
  <c r="AP62" i="31"/>
  <c r="AN62" i="31"/>
  <c r="AQ62" i="31"/>
  <c r="AC62" i="31"/>
  <c r="Y62" i="31"/>
  <c r="AZ62" i="31"/>
  <c r="AE62" i="31"/>
  <c r="S62" i="31"/>
  <c r="AF62" i="31"/>
  <c r="BB62" i="31"/>
  <c r="AX62" i="31"/>
  <c r="G219" i="40"/>
  <c r="H219" i="40"/>
  <c r="W53" i="40"/>
  <c r="X52" i="40"/>
  <c r="O87" i="31"/>
  <c r="C116" i="28"/>
  <c r="J77" i="31"/>
  <c r="AE32" i="31"/>
  <c r="P89" i="31"/>
  <c r="P87" i="31"/>
  <c r="C117" i="28" s="1"/>
  <c r="F97" i="40"/>
  <c r="F102" i="40" s="1"/>
  <c r="I97" i="40"/>
  <c r="G97" i="40"/>
  <c r="G102" i="40" s="1"/>
  <c r="H97" i="40"/>
  <c r="H102" i="40" s="1"/>
  <c r="M97" i="40"/>
  <c r="M102" i="40" s="1"/>
  <c r="O32" i="31"/>
  <c r="AV32" i="31"/>
  <c r="AZ32" i="31"/>
  <c r="BB76" i="31"/>
  <c r="AD76" i="31"/>
  <c r="AX76" i="31"/>
  <c r="AZ76" i="31"/>
  <c r="U76" i="31"/>
  <c r="AV76" i="31"/>
  <c r="Z76" i="31"/>
  <c r="P76" i="31"/>
  <c r="AE76" i="31"/>
  <c r="AK76" i="31"/>
  <c r="AR76" i="31"/>
  <c r="AN76" i="31"/>
  <c r="AP76" i="31"/>
  <c r="AB76" i="31"/>
  <c r="R76" i="31"/>
  <c r="Q76" i="31"/>
  <c r="N76" i="31"/>
  <c r="AA76" i="31"/>
  <c r="AC76" i="31"/>
  <c r="AW76" i="31"/>
  <c r="AU76" i="31"/>
  <c r="M76" i="31"/>
  <c r="AQ76" i="31"/>
  <c r="AY76" i="31"/>
  <c r="BA76" i="31"/>
  <c r="Y76" i="31"/>
  <c r="AL76" i="31"/>
  <c r="AG76" i="31"/>
  <c r="S76" i="31"/>
  <c r="O76" i="31"/>
  <c r="AO76" i="31"/>
  <c r="AM76" i="31"/>
  <c r="T76" i="31"/>
  <c r="AF76" i="31"/>
  <c r="BC76" i="31"/>
  <c r="AJ76" i="31"/>
  <c r="X46" i="31"/>
  <c r="P86" i="40"/>
  <c r="Q75" i="40"/>
  <c r="T31" i="32"/>
  <c r="AK53" i="32"/>
  <c r="Q100" i="41"/>
  <c r="Q58" i="41"/>
  <c r="Q79" i="41"/>
  <c r="P97" i="40"/>
  <c r="P102" i="40" s="1"/>
  <c r="Q96" i="40"/>
  <c r="P107" i="40"/>
  <c r="P109" i="40" s="1"/>
  <c r="R32" i="31"/>
  <c r="Q75" i="31"/>
  <c r="H77" i="31"/>
  <c r="AJ75" i="31"/>
  <c r="AR75" i="31"/>
  <c r="N75" i="31"/>
  <c r="T75" i="31"/>
  <c r="AK75" i="31"/>
  <c r="AB75" i="31"/>
  <c r="AG75" i="31"/>
  <c r="AL75" i="31"/>
  <c r="AX75" i="31"/>
  <c r="Z75" i="31"/>
  <c r="AE75" i="31"/>
  <c r="AN75" i="31"/>
  <c r="AD75" i="31"/>
  <c r="AM75" i="31"/>
  <c r="AZ75" i="31"/>
  <c r="AF75" i="31"/>
  <c r="BA75" i="31"/>
  <c r="P75" i="31"/>
  <c r="U75" i="31"/>
  <c r="AW75" i="31"/>
  <c r="BC75" i="31"/>
  <c r="O75" i="31"/>
  <c r="AA75" i="31"/>
  <c r="R75" i="31"/>
  <c r="Y75" i="31"/>
  <c r="AV75" i="31"/>
  <c r="M75" i="31"/>
  <c r="AP75" i="31"/>
  <c r="AC75" i="31"/>
  <c r="BB75" i="31"/>
  <c r="AO75" i="31"/>
  <c r="AQ75" i="31"/>
  <c r="AY75" i="31"/>
  <c r="S75" i="31"/>
  <c r="AU75" i="31"/>
  <c r="R339" i="38"/>
  <c r="BB32" i="31"/>
  <c r="P47" i="42"/>
  <c r="P1" i="42"/>
  <c r="Q2" i="42"/>
  <c r="BC63" i="31"/>
  <c r="AD63" i="31"/>
  <c r="AV63" i="31"/>
  <c r="AX63" i="31"/>
  <c r="Z63" i="31"/>
  <c r="T63" i="31"/>
  <c r="AZ63" i="31"/>
  <c r="AU63" i="31"/>
  <c r="AE63" i="31"/>
  <c r="P63" i="31"/>
  <c r="AQ63" i="31"/>
  <c r="BB63" i="31"/>
  <c r="AF63" i="31"/>
  <c r="BA63" i="31"/>
  <c r="U63" i="31"/>
  <c r="S63" i="31"/>
  <c r="Y63" i="31"/>
  <c r="AW63" i="31"/>
  <c r="AY63" i="31"/>
  <c r="R63" i="31"/>
  <c r="AJ63" i="31"/>
  <c r="AK63" i="31"/>
  <c r="M63" i="31"/>
  <c r="AR63" i="31"/>
  <c r="AA63" i="31"/>
  <c r="AP63" i="31"/>
  <c r="AB63" i="31"/>
  <c r="AL63" i="31"/>
  <c r="Q63" i="31"/>
  <c r="AM63" i="31"/>
  <c r="N63" i="31"/>
  <c r="O63" i="31"/>
  <c r="AC63" i="31"/>
  <c r="AO63" i="31"/>
  <c r="AN63" i="31"/>
  <c r="AG63" i="31"/>
  <c r="Y32" i="31"/>
  <c r="Q199" i="41" l="1"/>
  <c r="U8" i="52"/>
  <c r="U53" i="52" s="1"/>
  <c r="Q204" i="41"/>
  <c r="J32" i="28"/>
  <c r="R46" i="52"/>
  <c r="R47" i="52" s="1"/>
  <c r="T263" i="40"/>
  <c r="I7" i="52"/>
  <c r="I52" i="52" s="1"/>
  <c r="R198" i="41"/>
  <c r="R243" i="41" s="1"/>
  <c r="X226" i="40"/>
  <c r="W250" i="40"/>
  <c r="W256" i="40"/>
  <c r="W261" i="40"/>
  <c r="R28" i="52"/>
  <c r="R30" i="52" s="1"/>
  <c r="R23" i="52"/>
  <c r="R240" i="40"/>
  <c r="Q71" i="52"/>
  <c r="Q68" i="52"/>
  <c r="S337" i="38"/>
  <c r="Q327" i="38"/>
  <c r="Q47" i="52"/>
  <c r="T335" i="38"/>
  <c r="T331" i="38"/>
  <c r="T332" i="38"/>
  <c r="S57" i="52"/>
  <c r="S12" i="52"/>
  <c r="T336" i="38"/>
  <c r="P223" i="41"/>
  <c r="R233" i="41"/>
  <c r="S226" i="41"/>
  <c r="T225" i="41"/>
  <c r="T214" i="41"/>
  <c r="T220" i="41"/>
  <c r="Q247" i="41"/>
  <c r="Q244" i="41"/>
  <c r="S234" i="40"/>
  <c r="T22" i="52" s="1"/>
  <c r="T67" i="52" s="1"/>
  <c r="R235" i="40"/>
  <c r="P169" i="41"/>
  <c r="Q63" i="38"/>
  <c r="Q70" i="38"/>
  <c r="S55" i="38"/>
  <c r="R66" i="38"/>
  <c r="R68" i="38" s="1"/>
  <c r="P71" i="38"/>
  <c r="P72" i="38"/>
  <c r="P138" i="38"/>
  <c r="S209" i="40"/>
  <c r="S241" i="40"/>
  <c r="Q173" i="41"/>
  <c r="G41" i="32"/>
  <c r="Y136" i="38"/>
  <c r="Y135" i="38"/>
  <c r="S257" i="40"/>
  <c r="Z136" i="38"/>
  <c r="Z135" i="38"/>
  <c r="I102" i="40"/>
  <c r="I103" i="40" s="1"/>
  <c r="I108" i="40"/>
  <c r="I109" i="40" s="1"/>
  <c r="R158" i="40"/>
  <c r="R258" i="40"/>
  <c r="R259" i="40" s="1"/>
  <c r="C118" i="28"/>
  <c r="T187" i="41"/>
  <c r="T232" i="41" s="1"/>
  <c r="T182" i="41"/>
  <c r="T227" i="41" s="1"/>
  <c r="U180" i="41"/>
  <c r="T185" i="41"/>
  <c r="T230" i="41" s="1"/>
  <c r="T183" i="41"/>
  <c r="T228" i="41" s="1"/>
  <c r="T186" i="41"/>
  <c r="T231" i="41" s="1"/>
  <c r="T184" i="41"/>
  <c r="T229" i="41" s="1"/>
  <c r="T181" i="41"/>
  <c r="S188" i="41"/>
  <c r="Q77" i="31"/>
  <c r="P176" i="38"/>
  <c r="P177" i="38" s="1"/>
  <c r="P186" i="38" s="1"/>
  <c r="R318" i="38"/>
  <c r="R324" i="38"/>
  <c r="R329" i="38"/>
  <c r="S294" i="38"/>
  <c r="Y77" i="31"/>
  <c r="R273" i="38"/>
  <c r="T262" i="40"/>
  <c r="T269" i="40" s="1"/>
  <c r="T224" i="40"/>
  <c r="V216" i="40"/>
  <c r="U219" i="40"/>
  <c r="U264" i="40" s="1"/>
  <c r="U220" i="40"/>
  <c r="U265" i="40" s="1"/>
  <c r="U222" i="40"/>
  <c r="U267" i="40" s="1"/>
  <c r="U223" i="40"/>
  <c r="U268" i="40" s="1"/>
  <c r="U218" i="40"/>
  <c r="U217" i="40"/>
  <c r="U221" i="40"/>
  <c r="S228" i="38"/>
  <c r="AR77" i="31"/>
  <c r="T271" i="40"/>
  <c r="R205" i="40"/>
  <c r="R156" i="41"/>
  <c r="R142" i="41"/>
  <c r="R150" i="41" s="1"/>
  <c r="R171" i="41"/>
  <c r="R155" i="41"/>
  <c r="S140" i="41"/>
  <c r="R166" i="41"/>
  <c r="R162" i="41"/>
  <c r="R158" i="41"/>
  <c r="R168" i="41" s="1"/>
  <c r="N76" i="40"/>
  <c r="N81" i="40" s="1"/>
  <c r="N82" i="40" s="1"/>
  <c r="R327" i="38"/>
  <c r="S156" i="40"/>
  <c r="T155" i="40"/>
  <c r="T204" i="40"/>
  <c r="T202" i="40"/>
  <c r="T154" i="40"/>
  <c r="T141" i="40"/>
  <c r="T149" i="40" s="1"/>
  <c r="T207" i="40"/>
  <c r="U139" i="40"/>
  <c r="T157" i="40"/>
  <c r="T284" i="40"/>
  <c r="T189" i="40"/>
  <c r="T197" i="40" s="1"/>
  <c r="T161" i="40"/>
  <c r="T158" i="38"/>
  <c r="T275" i="38"/>
  <c r="T156" i="38"/>
  <c r="T212" i="38"/>
  <c r="T220" i="38" s="1"/>
  <c r="T257" i="38"/>
  <c r="T265" i="38" s="1"/>
  <c r="U140" i="38"/>
  <c r="T155" i="38"/>
  <c r="T157" i="38" s="1"/>
  <c r="T227" i="38"/>
  <c r="T162" i="38"/>
  <c r="T352" i="38"/>
  <c r="T272" i="38"/>
  <c r="T270" i="38"/>
  <c r="T142" i="38"/>
  <c r="T150" i="38" s="1"/>
  <c r="T230" i="38"/>
  <c r="T320" i="38" s="1"/>
  <c r="T225" i="38"/>
  <c r="T226" i="38" s="1"/>
  <c r="S159" i="38"/>
  <c r="Q167" i="41"/>
  <c r="Q222" i="41" s="1"/>
  <c r="Q223" i="41" s="1"/>
  <c r="T74" i="41"/>
  <c r="S75" i="41"/>
  <c r="S76" i="41" s="1"/>
  <c r="S87" i="41" s="1"/>
  <c r="Q157" i="41"/>
  <c r="Q159" i="41" s="1"/>
  <c r="S325" i="38"/>
  <c r="S45" i="52" s="1"/>
  <c r="S271" i="38"/>
  <c r="S326" i="38" s="1"/>
  <c r="S203" i="40"/>
  <c r="Q239" i="38"/>
  <c r="Q171" i="38"/>
  <c r="Q173" i="38" s="1"/>
  <c r="Q175" i="38"/>
  <c r="S277" i="38"/>
  <c r="S309" i="38" s="1"/>
  <c r="S29" i="52" s="1"/>
  <c r="U287" i="38"/>
  <c r="U7" i="52" s="1"/>
  <c r="U52" i="52" s="1"/>
  <c r="U290" i="38"/>
  <c r="U10" i="52" s="1"/>
  <c r="U55" i="52" s="1"/>
  <c r="U285" i="38"/>
  <c r="U5" i="52" s="1"/>
  <c r="U291" i="38"/>
  <c r="U11" i="52" s="1"/>
  <c r="U56" i="52" s="1"/>
  <c r="V284" i="38"/>
  <c r="V288" i="38" s="1"/>
  <c r="U289" i="38"/>
  <c r="U9" i="52" s="1"/>
  <c r="U333" i="38"/>
  <c r="U286" i="38"/>
  <c r="U6" i="52" s="1"/>
  <c r="U51" i="52" s="1"/>
  <c r="S168" i="38"/>
  <c r="V166" i="40"/>
  <c r="U167" i="40"/>
  <c r="U190" i="41"/>
  <c r="V116" i="40"/>
  <c r="W115" i="40"/>
  <c r="S78" i="40"/>
  <c r="S171" i="40"/>
  <c r="S99" i="40"/>
  <c r="S57" i="40"/>
  <c r="P247" i="38"/>
  <c r="Q236" i="38"/>
  <c r="Q244" i="38" s="1"/>
  <c r="R235" i="38"/>
  <c r="S234" i="38"/>
  <c r="T1" i="40"/>
  <c r="T5" i="40"/>
  <c r="U6" i="40"/>
  <c r="T2" i="40"/>
  <c r="T7" i="40"/>
  <c r="T330" i="38"/>
  <c r="T292" i="38"/>
  <c r="X29" i="40"/>
  <c r="W30" i="40"/>
  <c r="V166" i="38"/>
  <c r="U167" i="38"/>
  <c r="U117" i="41"/>
  <c r="V116" i="41"/>
  <c r="T53" i="41"/>
  <c r="S54" i="41"/>
  <c r="BB77" i="31"/>
  <c r="BA77" i="31"/>
  <c r="AE77" i="31"/>
  <c r="N77" i="31"/>
  <c r="Z77" i="31"/>
  <c r="AQ77" i="31"/>
  <c r="R77" i="31"/>
  <c r="AX77" i="31"/>
  <c r="AO77" i="31"/>
  <c r="AD77" i="31"/>
  <c r="AK77" i="31"/>
  <c r="T77" i="31"/>
  <c r="S77" i="31"/>
  <c r="AL77" i="31"/>
  <c r="AA77" i="31"/>
  <c r="O77" i="31"/>
  <c r="AM77" i="31"/>
  <c r="AB77" i="31"/>
  <c r="AV77" i="31"/>
  <c r="P77" i="31"/>
  <c r="M77" i="31"/>
  <c r="AY77" i="31"/>
  <c r="AJ77" i="31"/>
  <c r="AF77" i="31"/>
  <c r="AU32" i="31"/>
  <c r="AT32" i="31" s="1"/>
  <c r="N31" i="40"/>
  <c r="V95" i="41"/>
  <c r="U96" i="41"/>
  <c r="P8" i="40"/>
  <c r="R55" i="41"/>
  <c r="Q66" i="41"/>
  <c r="Q68" i="41" s="1"/>
  <c r="Q107" i="40"/>
  <c r="Q109" i="40" s="1"/>
  <c r="Q97" i="40"/>
  <c r="Q102" i="40" s="1"/>
  <c r="R96" i="40"/>
  <c r="H34" i="32"/>
  <c r="G264" i="40"/>
  <c r="P119" i="40"/>
  <c r="S120" i="41"/>
  <c r="S3" i="41"/>
  <c r="T7" i="41"/>
  <c r="S6" i="41"/>
  <c r="S8" i="41"/>
  <c r="S2" i="41"/>
  <c r="I44" i="32"/>
  <c r="AJ56" i="32"/>
  <c r="R82" i="48"/>
  <c r="S34" i="32"/>
  <c r="R103" i="48" s="1"/>
  <c r="G51" i="31"/>
  <c r="F46" i="31"/>
  <c r="G103" i="40"/>
  <c r="H264" i="40"/>
  <c r="R58" i="41"/>
  <c r="R79" i="41"/>
  <c r="R100" i="41"/>
  <c r="P103" i="40"/>
  <c r="AG77" i="31"/>
  <c r="G183" i="41"/>
  <c r="H183" i="41"/>
  <c r="P76" i="40"/>
  <c r="P81" i="40" s="1"/>
  <c r="Y52" i="40"/>
  <c r="X53" i="40"/>
  <c r="F103" i="40"/>
  <c r="X32" i="31"/>
  <c r="S339" i="38"/>
  <c r="AC77" i="31"/>
  <c r="BC77" i="31"/>
  <c r="T100" i="48"/>
  <c r="Q86" i="40"/>
  <c r="R75" i="40"/>
  <c r="Q76" i="40"/>
  <c r="Q81" i="40" s="1"/>
  <c r="Q65" i="40"/>
  <c r="Q67" i="40" s="1"/>
  <c r="R54" i="40"/>
  <c r="R9" i="41"/>
  <c r="O76" i="40"/>
  <c r="O81" i="40" s="1"/>
  <c r="L76" i="40"/>
  <c r="L81" i="40" s="1"/>
  <c r="K76" i="40"/>
  <c r="K81" i="40" s="1"/>
  <c r="J76" i="40"/>
  <c r="J81" i="40" s="1"/>
  <c r="M76" i="40"/>
  <c r="M81" i="40" s="1"/>
  <c r="J34" i="32"/>
  <c r="AZ77" i="31"/>
  <c r="AP77" i="31"/>
  <c r="AW77" i="31"/>
  <c r="AN77" i="31"/>
  <c r="M103" i="40"/>
  <c r="AU57" i="31"/>
  <c r="AL57" i="31"/>
  <c r="AR57" i="31"/>
  <c r="AJ57" i="31"/>
  <c r="U57" i="31"/>
  <c r="AZ57" i="31"/>
  <c r="AA57" i="31"/>
  <c r="AC57" i="31"/>
  <c r="AO57" i="31"/>
  <c r="AV57" i="31"/>
  <c r="Y57" i="31"/>
  <c r="O57" i="31"/>
  <c r="P57" i="31"/>
  <c r="AF57" i="31"/>
  <c r="AE57" i="31"/>
  <c r="T57" i="31"/>
  <c r="AB57" i="31"/>
  <c r="AX57" i="31"/>
  <c r="BB57" i="31"/>
  <c r="R57" i="31"/>
  <c r="Q57" i="31"/>
  <c r="AG57" i="31"/>
  <c r="AP57" i="31"/>
  <c r="Z57" i="31"/>
  <c r="AM57" i="31"/>
  <c r="S57" i="31"/>
  <c r="M57" i="31"/>
  <c r="BC57" i="31"/>
  <c r="AQ57" i="31"/>
  <c r="AW57" i="31"/>
  <c r="AY57" i="31"/>
  <c r="BA57" i="31"/>
  <c r="AN57" i="31"/>
  <c r="N57" i="31"/>
  <c r="AD57" i="31"/>
  <c r="AK57" i="31"/>
  <c r="R168" i="40"/>
  <c r="Q179" i="40"/>
  <c r="R3" i="47"/>
  <c r="Q5" i="47"/>
  <c r="Q4" i="47"/>
  <c r="Q6" i="47"/>
  <c r="Q47" i="42"/>
  <c r="R2" i="42"/>
  <c r="Q1" i="42"/>
  <c r="AU77" i="31"/>
  <c r="U77" i="31"/>
  <c r="H103" i="40"/>
  <c r="P32" i="41"/>
  <c r="F76" i="40"/>
  <c r="F81" i="40" s="1"/>
  <c r="H76" i="40"/>
  <c r="H81" i="40" s="1"/>
  <c r="G76" i="40"/>
  <c r="G81" i="40" s="1"/>
  <c r="I76" i="40"/>
  <c r="I81" i="40" s="1"/>
  <c r="R31" i="32"/>
  <c r="AI53" i="32"/>
  <c r="Y30" i="41"/>
  <c r="X31" i="41"/>
  <c r="C110" i="28"/>
  <c r="V8" i="52" l="1"/>
  <c r="V53" i="52" s="1"/>
  <c r="S46" i="52"/>
  <c r="S47" i="52" s="1"/>
  <c r="R199" i="41"/>
  <c r="R204" i="41"/>
  <c r="U263" i="40"/>
  <c r="G228" i="41"/>
  <c r="J7" i="52"/>
  <c r="J52" i="52" s="1"/>
  <c r="H228" i="41"/>
  <c r="K7" i="52"/>
  <c r="K52" i="52" s="1"/>
  <c r="S198" i="41"/>
  <c r="S243" i="41" s="1"/>
  <c r="X261" i="40"/>
  <c r="Y226" i="40"/>
  <c r="X256" i="40"/>
  <c r="X250" i="40"/>
  <c r="S28" i="52"/>
  <c r="S30" i="52" s="1"/>
  <c r="S23" i="52"/>
  <c r="S240" i="40"/>
  <c r="R71" i="52"/>
  <c r="R68" i="52"/>
  <c r="T57" i="52"/>
  <c r="U50" i="52"/>
  <c r="T12" i="52"/>
  <c r="U335" i="38"/>
  <c r="U332" i="38"/>
  <c r="U336" i="38"/>
  <c r="T337" i="38"/>
  <c r="U331" i="38"/>
  <c r="S233" i="41"/>
  <c r="U214" i="41"/>
  <c r="U220" i="41"/>
  <c r="U225" i="41"/>
  <c r="T226" i="41"/>
  <c r="R247" i="41"/>
  <c r="R244" i="41"/>
  <c r="T234" i="40"/>
  <c r="U22" i="52" s="1"/>
  <c r="U67" i="52" s="1"/>
  <c r="S235" i="40"/>
  <c r="Q169" i="41"/>
  <c r="R70" i="38"/>
  <c r="R63" i="38"/>
  <c r="T55" i="38"/>
  <c r="S66" i="38"/>
  <c r="S68" i="38" s="1"/>
  <c r="Q71" i="38"/>
  <c r="Q72" i="38"/>
  <c r="Q138" i="38"/>
  <c r="T241" i="40"/>
  <c r="T209" i="40"/>
  <c r="R157" i="41"/>
  <c r="R159" i="41" s="1"/>
  <c r="R173" i="41"/>
  <c r="T228" i="38"/>
  <c r="T257" i="40"/>
  <c r="S158" i="40"/>
  <c r="S258" i="40"/>
  <c r="S259" i="40" s="1"/>
  <c r="T188" i="41"/>
  <c r="V180" i="41"/>
  <c r="U184" i="41"/>
  <c r="U229" i="41" s="1"/>
  <c r="U186" i="41"/>
  <c r="U231" i="41" s="1"/>
  <c r="U181" i="41"/>
  <c r="U182" i="41"/>
  <c r="U227" i="41" s="1"/>
  <c r="U185" i="41"/>
  <c r="U230" i="41" s="1"/>
  <c r="U187" i="41"/>
  <c r="U232" i="41" s="1"/>
  <c r="U183" i="41"/>
  <c r="U228" i="41" s="1"/>
  <c r="S318" i="38"/>
  <c r="T294" i="38"/>
  <c r="S324" i="38"/>
  <c r="S329" i="38"/>
  <c r="S273" i="38"/>
  <c r="V220" i="40"/>
  <c r="V265" i="40" s="1"/>
  <c r="V223" i="40"/>
  <c r="V268" i="40" s="1"/>
  <c r="V222" i="40"/>
  <c r="V267" i="40" s="1"/>
  <c r="V221" i="40"/>
  <c r="W216" i="40"/>
  <c r="V218" i="40"/>
  <c r="V219" i="40"/>
  <c r="V264" i="40" s="1"/>
  <c r="V217" i="40"/>
  <c r="U262" i="40"/>
  <c r="U224" i="40"/>
  <c r="Q176" i="38"/>
  <c r="Q177" i="38" s="1"/>
  <c r="Q186" i="38" s="1"/>
  <c r="U271" i="40"/>
  <c r="S205" i="40"/>
  <c r="U74" i="41"/>
  <c r="T75" i="41"/>
  <c r="T76" i="41" s="1"/>
  <c r="T87" i="41" s="1"/>
  <c r="T159" i="38"/>
  <c r="T277" i="38"/>
  <c r="T309" i="38" s="1"/>
  <c r="T29" i="52" s="1"/>
  <c r="R175" i="38"/>
  <c r="R171" i="38"/>
  <c r="R173" i="38" s="1"/>
  <c r="R239" i="38"/>
  <c r="T325" i="38"/>
  <c r="T45" i="52" s="1"/>
  <c r="T271" i="38"/>
  <c r="T326" i="38" s="1"/>
  <c r="U154" i="40"/>
  <c r="U284" i="40"/>
  <c r="U204" i="40"/>
  <c r="V139" i="40"/>
  <c r="U155" i="40"/>
  <c r="U161" i="40"/>
  <c r="U189" i="40"/>
  <c r="U197" i="40" s="1"/>
  <c r="U141" i="40"/>
  <c r="U149" i="40" s="1"/>
  <c r="U202" i="40"/>
  <c r="U207" i="40"/>
  <c r="U157" i="40"/>
  <c r="S327" i="38"/>
  <c r="U257" i="38"/>
  <c r="U265" i="38" s="1"/>
  <c r="U225" i="38"/>
  <c r="U226" i="38" s="1"/>
  <c r="U156" i="38"/>
  <c r="U352" i="38"/>
  <c r="U227" i="38"/>
  <c r="U272" i="38"/>
  <c r="U155" i="38"/>
  <c r="U157" i="38" s="1"/>
  <c r="U158" i="38"/>
  <c r="U230" i="38"/>
  <c r="U320" i="38" s="1"/>
  <c r="U275" i="38"/>
  <c r="U270" i="38"/>
  <c r="U212" i="38"/>
  <c r="U220" i="38" s="1"/>
  <c r="U162" i="38"/>
  <c r="U142" i="38"/>
  <c r="U150" i="38" s="1"/>
  <c r="V140" i="38"/>
  <c r="R167" i="41"/>
  <c r="T156" i="40"/>
  <c r="S156" i="41"/>
  <c r="S171" i="41"/>
  <c r="S158" i="41"/>
  <c r="S166" i="41"/>
  <c r="S155" i="41"/>
  <c r="T140" i="41"/>
  <c r="S168" i="41"/>
  <c r="S162" i="41"/>
  <c r="S142" i="41"/>
  <c r="S150" i="41" s="1"/>
  <c r="T203" i="40"/>
  <c r="V167" i="38"/>
  <c r="W166" i="38"/>
  <c r="T57" i="40"/>
  <c r="T99" i="40"/>
  <c r="T78" i="40"/>
  <c r="T171" i="40"/>
  <c r="V290" i="38"/>
  <c r="V10" i="52" s="1"/>
  <c r="V55" i="52" s="1"/>
  <c r="V289" i="38"/>
  <c r="V9" i="52" s="1"/>
  <c r="V287" i="38"/>
  <c r="V7" i="52" s="1"/>
  <c r="V52" i="52" s="1"/>
  <c r="W284" i="38"/>
  <c r="W288" i="38" s="1"/>
  <c r="W8" i="52" s="1"/>
  <c r="W53" i="52" s="1"/>
  <c r="V286" i="38"/>
  <c r="V6" i="52" s="1"/>
  <c r="V51" i="52" s="1"/>
  <c r="V333" i="38"/>
  <c r="V285" i="38"/>
  <c r="V5" i="52" s="1"/>
  <c r="V50" i="52" s="1"/>
  <c r="V291" i="38"/>
  <c r="V11" i="52" s="1"/>
  <c r="V56" i="52" s="1"/>
  <c r="T54" i="41"/>
  <c r="U53" i="41"/>
  <c r="V190" i="41"/>
  <c r="U330" i="38"/>
  <c r="U292" i="38"/>
  <c r="Q247" i="38"/>
  <c r="R236" i="38"/>
  <c r="R244" i="38" s="1"/>
  <c r="T168" i="38"/>
  <c r="V117" i="41"/>
  <c r="W116" i="41"/>
  <c r="S235" i="38"/>
  <c r="T234" i="38"/>
  <c r="Y29" i="40"/>
  <c r="X30" i="40"/>
  <c r="U5" i="40"/>
  <c r="U7" i="40"/>
  <c r="U2" i="40"/>
  <c r="V6" i="40"/>
  <c r="U1" i="40"/>
  <c r="X115" i="40"/>
  <c r="W116" i="40"/>
  <c r="V167" i="40"/>
  <c r="W166" i="40"/>
  <c r="X77" i="31"/>
  <c r="AT77" i="31"/>
  <c r="AI77" i="31"/>
  <c r="W95" i="41"/>
  <c r="V96" i="41"/>
  <c r="K82" i="40"/>
  <c r="AI56" i="32"/>
  <c r="G34" i="32"/>
  <c r="R34" i="32"/>
  <c r="P82" i="48"/>
  <c r="H44" i="32"/>
  <c r="H82" i="40"/>
  <c r="J82" i="40"/>
  <c r="L82" i="40"/>
  <c r="G287" i="38"/>
  <c r="G7" i="52" s="1"/>
  <c r="G52" i="52" s="1"/>
  <c r="H287" i="38"/>
  <c r="H7" i="52" s="1"/>
  <c r="H52" i="52" s="1"/>
  <c r="O82" i="40"/>
  <c r="S9" i="41"/>
  <c r="T6" i="41"/>
  <c r="T2" i="41"/>
  <c r="U7" i="41"/>
  <c r="T3" i="41"/>
  <c r="T8" i="41"/>
  <c r="Y53" i="40"/>
  <c r="Z52" i="40"/>
  <c r="Z53" i="40" s="1"/>
  <c r="F82" i="40"/>
  <c r="T339" i="38"/>
  <c r="Q103" i="40"/>
  <c r="Q31" i="32"/>
  <c r="P100" i="48"/>
  <c r="R179" i="40"/>
  <c r="S168" i="40"/>
  <c r="T120" i="41"/>
  <c r="S55" i="41"/>
  <c r="R66" i="41"/>
  <c r="R68" i="41" s="1"/>
  <c r="T82" i="48"/>
  <c r="J44" i="32"/>
  <c r="H186" i="41" s="1"/>
  <c r="T34" i="32"/>
  <c r="T103" i="48" s="1"/>
  <c r="AK56" i="32"/>
  <c r="Z30" i="41"/>
  <c r="Z31" i="41" s="1"/>
  <c r="Y31" i="41"/>
  <c r="R6" i="47"/>
  <c r="R5" i="47"/>
  <c r="R4" i="47"/>
  <c r="S3" i="47"/>
  <c r="Q82" i="40"/>
  <c r="Q119" i="40"/>
  <c r="S79" i="41"/>
  <c r="S58" i="41"/>
  <c r="S100" i="41"/>
  <c r="S96" i="40"/>
  <c r="R107" i="40"/>
  <c r="R109" i="40" s="1"/>
  <c r="R97" i="40"/>
  <c r="R102" i="40" s="1"/>
  <c r="F31" i="32"/>
  <c r="AH53" i="32"/>
  <c r="Q32" i="41"/>
  <c r="I82" i="40"/>
  <c r="R47" i="42"/>
  <c r="S2" i="42"/>
  <c r="R1" i="42"/>
  <c r="R65" i="40"/>
  <c r="R67" i="40" s="1"/>
  <c r="S54" i="40"/>
  <c r="R86" i="40"/>
  <c r="S75" i="40"/>
  <c r="R76" i="40"/>
  <c r="R81" i="40" s="1"/>
  <c r="F51" i="31"/>
  <c r="J51" i="31"/>
  <c r="I51" i="31"/>
  <c r="H51" i="31"/>
  <c r="G82" i="40"/>
  <c r="M82" i="40"/>
  <c r="P82" i="40"/>
  <c r="H222" i="40"/>
  <c r="I10" i="52" s="1"/>
  <c r="I55" i="52" s="1"/>
  <c r="G222" i="40"/>
  <c r="Q8" i="40"/>
  <c r="O31" i="40"/>
  <c r="U269" i="40" l="1"/>
  <c r="S204" i="41"/>
  <c r="S199" i="41"/>
  <c r="T46" i="52"/>
  <c r="T47" i="52" s="1"/>
  <c r="V263" i="40"/>
  <c r="H231" i="41"/>
  <c r="K10" i="52"/>
  <c r="K55" i="52" s="1"/>
  <c r="T198" i="41"/>
  <c r="T243" i="41" s="1"/>
  <c r="T247" i="41" s="1"/>
  <c r="Y256" i="40"/>
  <c r="Z226" i="40"/>
  <c r="Y250" i="40"/>
  <c r="Y261" i="40"/>
  <c r="T240" i="40"/>
  <c r="T235" i="40"/>
  <c r="T23" i="52"/>
  <c r="T28" i="52"/>
  <c r="T30" i="52" s="1"/>
  <c r="S68" i="52"/>
  <c r="S71" i="52"/>
  <c r="U337" i="38"/>
  <c r="V332" i="38"/>
  <c r="V335" i="38"/>
  <c r="V331" i="38"/>
  <c r="U57" i="52"/>
  <c r="U12" i="52"/>
  <c r="V336" i="38"/>
  <c r="T233" i="41"/>
  <c r="S247" i="41"/>
  <c r="S244" i="41"/>
  <c r="V214" i="41"/>
  <c r="V220" i="41"/>
  <c r="V225" i="41"/>
  <c r="U226" i="41"/>
  <c r="H267" i="40"/>
  <c r="D18" i="52"/>
  <c r="U234" i="40"/>
  <c r="S63" i="38"/>
  <c r="S70" i="38"/>
  <c r="U55" i="38"/>
  <c r="T66" i="38"/>
  <c r="T68" i="38" s="1"/>
  <c r="R71" i="38"/>
  <c r="R72" i="38"/>
  <c r="R138" i="38"/>
  <c r="U209" i="40"/>
  <c r="U241" i="40"/>
  <c r="U257" i="40"/>
  <c r="S173" i="41"/>
  <c r="I55" i="40"/>
  <c r="T158" i="40"/>
  <c r="T258" i="40"/>
  <c r="T259" i="40" s="1"/>
  <c r="U188" i="41"/>
  <c r="V181" i="41"/>
  <c r="V182" i="41"/>
  <c r="V227" i="41" s="1"/>
  <c r="V183" i="41"/>
  <c r="V228" i="41" s="1"/>
  <c r="V187" i="41"/>
  <c r="V232" i="41" s="1"/>
  <c r="V185" i="41"/>
  <c r="V230" i="41" s="1"/>
  <c r="W180" i="41"/>
  <c r="V184" i="41"/>
  <c r="V229" i="41" s="1"/>
  <c r="V186" i="41"/>
  <c r="V231" i="41" s="1"/>
  <c r="T324" i="38"/>
  <c r="T329" i="38"/>
  <c r="U294" i="38"/>
  <c r="T318" i="38"/>
  <c r="R55" i="40"/>
  <c r="R60" i="40" s="1"/>
  <c r="R61" i="40" s="1"/>
  <c r="V224" i="40"/>
  <c r="V262" i="40"/>
  <c r="X216" i="40"/>
  <c r="W220" i="40"/>
  <c r="W265" i="40" s="1"/>
  <c r="W219" i="40"/>
  <c r="W264" i="40" s="1"/>
  <c r="W222" i="40"/>
  <c r="W267" i="40" s="1"/>
  <c r="W221" i="40"/>
  <c r="W217" i="40"/>
  <c r="W218" i="40"/>
  <c r="W223" i="40"/>
  <c r="W268" i="40" s="1"/>
  <c r="U228" i="38"/>
  <c r="T273" i="38"/>
  <c r="V271" i="40"/>
  <c r="U277" i="38"/>
  <c r="U309" i="38" s="1"/>
  <c r="U29" i="52" s="1"/>
  <c r="S175" i="38"/>
  <c r="S171" i="38"/>
  <c r="S173" i="38" s="1"/>
  <c r="S239" i="38"/>
  <c r="U156" i="40"/>
  <c r="L35" i="41"/>
  <c r="L34" i="41" s="1"/>
  <c r="T205" i="40"/>
  <c r="V230" i="38"/>
  <c r="V320" i="38" s="1"/>
  <c r="V225" i="38"/>
  <c r="V226" i="38" s="1"/>
  <c r="V272" i="38"/>
  <c r="V270" i="38"/>
  <c r="V275" i="38"/>
  <c r="V156" i="38"/>
  <c r="V162" i="38"/>
  <c r="V155" i="38"/>
  <c r="V157" i="38" s="1"/>
  <c r="V212" i="38"/>
  <c r="V220" i="38" s="1"/>
  <c r="V257" i="38"/>
  <c r="V265" i="38" s="1"/>
  <c r="W140" i="38"/>
  <c r="V142" i="38"/>
  <c r="V150" i="38" s="1"/>
  <c r="V158" i="38"/>
  <c r="V352" i="38"/>
  <c r="V227" i="38"/>
  <c r="U203" i="40"/>
  <c r="R176" i="38"/>
  <c r="R177" i="38" s="1"/>
  <c r="R186" i="38" s="1"/>
  <c r="T156" i="41"/>
  <c r="T166" i="41"/>
  <c r="U140" i="41"/>
  <c r="T155" i="41"/>
  <c r="T168" i="41"/>
  <c r="T162" i="41"/>
  <c r="T158" i="41"/>
  <c r="T142" i="41"/>
  <c r="T150" i="41" s="1"/>
  <c r="T171" i="41"/>
  <c r="U159" i="38"/>
  <c r="R169" i="41"/>
  <c r="V284" i="40"/>
  <c r="V141" i="40"/>
  <c r="V149" i="40" s="1"/>
  <c r="V155" i="40"/>
  <c r="W139" i="40"/>
  <c r="V204" i="40"/>
  <c r="V157" i="40"/>
  <c r="V207" i="40"/>
  <c r="V161" i="40"/>
  <c r="V154" i="40"/>
  <c r="V189" i="40"/>
  <c r="V197" i="40" s="1"/>
  <c r="V202" i="40"/>
  <c r="U75" i="41"/>
  <c r="U76" i="41" s="1"/>
  <c r="U87" i="41" s="1"/>
  <c r="V74" i="41"/>
  <c r="S157" i="41"/>
  <c r="S159" i="41" s="1"/>
  <c r="T327" i="38"/>
  <c r="Q55" i="40"/>
  <c r="Q60" i="40" s="1"/>
  <c r="Q61" i="40" s="1"/>
  <c r="S167" i="41"/>
  <c r="U325" i="38"/>
  <c r="U45" i="52" s="1"/>
  <c r="U271" i="38"/>
  <c r="U326" i="38" s="1"/>
  <c r="P35" i="41"/>
  <c r="P40" i="41" s="1"/>
  <c r="T235" i="38"/>
  <c r="U234" i="38"/>
  <c r="V330" i="38"/>
  <c r="V292" i="38"/>
  <c r="W117" i="41"/>
  <c r="X116" i="41"/>
  <c r="U171" i="40"/>
  <c r="U57" i="40"/>
  <c r="U78" i="40"/>
  <c r="U99" i="40"/>
  <c r="V53" i="41"/>
  <c r="U54" i="41"/>
  <c r="X166" i="40"/>
  <c r="W167" i="40"/>
  <c r="V5" i="40"/>
  <c r="V1" i="40"/>
  <c r="W6" i="40"/>
  <c r="V2" i="40"/>
  <c r="V7" i="40"/>
  <c r="W190" i="41"/>
  <c r="W287" i="38"/>
  <c r="W7" i="52" s="1"/>
  <c r="W52" i="52" s="1"/>
  <c r="W291" i="38"/>
  <c r="W11" i="52" s="1"/>
  <c r="W56" i="52" s="1"/>
  <c r="W333" i="38"/>
  <c r="X284" i="38"/>
  <c r="X288" i="38" s="1"/>
  <c r="X8" i="52" s="1"/>
  <c r="X53" i="52" s="1"/>
  <c r="W285" i="38"/>
  <c r="W5" i="52" s="1"/>
  <c r="W50" i="52" s="1"/>
  <c r="W286" i="38"/>
  <c r="W6" i="52" s="1"/>
  <c r="W51" i="52" s="1"/>
  <c r="W289" i="38"/>
  <c r="W9" i="52" s="1"/>
  <c r="W290" i="38"/>
  <c r="W10" i="52" s="1"/>
  <c r="W55" i="52" s="1"/>
  <c r="N35" i="41"/>
  <c r="N34" i="41" s="1"/>
  <c r="U168" i="38"/>
  <c r="Z29" i="40"/>
  <c r="Z30" i="40" s="1"/>
  <c r="Y30" i="40"/>
  <c r="M35" i="41"/>
  <c r="M34" i="41" s="1"/>
  <c r="Y115" i="40"/>
  <c r="X116" i="40"/>
  <c r="X166" i="38"/>
  <c r="W167" i="38"/>
  <c r="R247" i="38"/>
  <c r="S236" i="38"/>
  <c r="S244" i="38" s="1"/>
  <c r="F41" i="32"/>
  <c r="P103" i="48"/>
  <c r="Q34" i="32"/>
  <c r="P34" i="32" s="1"/>
  <c r="T75" i="40"/>
  <c r="S86" i="40"/>
  <c r="S76" i="40"/>
  <c r="S81" i="40" s="1"/>
  <c r="R103" i="40"/>
  <c r="T3" i="47"/>
  <c r="S6" i="47"/>
  <c r="S4" i="47"/>
  <c r="S5" i="47"/>
  <c r="F34" i="32"/>
  <c r="AH56" i="32"/>
  <c r="G332" i="38"/>
  <c r="R82" i="40"/>
  <c r="P31" i="32"/>
  <c r="T2" i="42"/>
  <c r="S47" i="42"/>
  <c r="S1" i="42"/>
  <c r="T96" i="40"/>
  <c r="S97" i="40"/>
  <c r="S102" i="40" s="1"/>
  <c r="S107" i="40"/>
  <c r="S109" i="40" s="1"/>
  <c r="U339" i="38"/>
  <c r="T9" i="41"/>
  <c r="S66" i="41"/>
  <c r="S68" i="41" s="1"/>
  <c r="T55" i="41"/>
  <c r="G186" i="41"/>
  <c r="G267" i="40"/>
  <c r="T54" i="40"/>
  <c r="S65" i="40"/>
  <c r="S67" i="40" s="1"/>
  <c r="S55" i="40"/>
  <c r="S60" i="40" s="1"/>
  <c r="J35" i="41"/>
  <c r="I35" i="41"/>
  <c r="K35" i="41"/>
  <c r="F55" i="40"/>
  <c r="F60" i="40" s="1"/>
  <c r="G55" i="40"/>
  <c r="G60" i="40" s="1"/>
  <c r="H55" i="40"/>
  <c r="H60" i="40" s="1"/>
  <c r="M55" i="40"/>
  <c r="M60" i="40" s="1"/>
  <c r="J55" i="40"/>
  <c r="J60" i="40" s="1"/>
  <c r="L55" i="40"/>
  <c r="L60" i="40" s="1"/>
  <c r="P55" i="40"/>
  <c r="P60" i="40" s="1"/>
  <c r="P31" i="40"/>
  <c r="H35" i="41"/>
  <c r="F35" i="41"/>
  <c r="G35" i="41"/>
  <c r="K55" i="40"/>
  <c r="K60" i="40" s="1"/>
  <c r="O55" i="40"/>
  <c r="O60" i="40" s="1"/>
  <c r="U3" i="41"/>
  <c r="U6" i="41"/>
  <c r="V7" i="41"/>
  <c r="U8" i="41"/>
  <c r="U2" i="41"/>
  <c r="N55" i="40"/>
  <c r="N60" i="40" s="1"/>
  <c r="X95" i="41"/>
  <c r="W96" i="41"/>
  <c r="U120" i="41"/>
  <c r="T168" i="40"/>
  <c r="S179" i="40"/>
  <c r="R8" i="40"/>
  <c r="AX51" i="31"/>
  <c r="AP51" i="31"/>
  <c r="AD51" i="31"/>
  <c r="R51" i="31"/>
  <c r="U51" i="31"/>
  <c r="BB51" i="31"/>
  <c r="AN51" i="31"/>
  <c r="Y51" i="31"/>
  <c r="AL51" i="31"/>
  <c r="AO51" i="31"/>
  <c r="AV51" i="31"/>
  <c r="AC51" i="31"/>
  <c r="O51" i="31"/>
  <c r="AM51" i="31"/>
  <c r="AK51" i="31"/>
  <c r="S51" i="31"/>
  <c r="Q51" i="31"/>
  <c r="AY51" i="31"/>
  <c r="AE51" i="31"/>
  <c r="AR51" i="31"/>
  <c r="Z51" i="31"/>
  <c r="BA51" i="31"/>
  <c r="AU51" i="31"/>
  <c r="AB51" i="31"/>
  <c r="P51" i="31"/>
  <c r="T51" i="31"/>
  <c r="AW51" i="31"/>
  <c r="AJ51" i="31"/>
  <c r="AZ51" i="31"/>
  <c r="AA51" i="31"/>
  <c r="AG51" i="31"/>
  <c r="AQ51" i="31"/>
  <c r="BC51" i="31"/>
  <c r="AF51" i="31"/>
  <c r="M51" i="31"/>
  <c r="N51" i="31"/>
  <c r="Q35" i="41"/>
  <c r="R32" i="41"/>
  <c r="R119" i="40"/>
  <c r="T79" i="41"/>
  <c r="T100" i="41"/>
  <c r="T58" i="41"/>
  <c r="H332" i="38"/>
  <c r="H290" i="38"/>
  <c r="H10" i="52" s="1"/>
  <c r="H55" i="52" s="1"/>
  <c r="G44" i="32"/>
  <c r="F44" i="32" s="1"/>
  <c r="G290" i="38"/>
  <c r="G10" i="52" s="1"/>
  <c r="G55" i="52" s="1"/>
  <c r="O35" i="41"/>
  <c r="T204" i="41" l="1"/>
  <c r="V269" i="40"/>
  <c r="U46" i="52"/>
  <c r="U47" i="52" s="1"/>
  <c r="T199" i="41"/>
  <c r="T244" i="41"/>
  <c r="W263" i="40"/>
  <c r="U235" i="40"/>
  <c r="V22" i="52"/>
  <c r="V67" i="52" s="1"/>
  <c r="G231" i="41"/>
  <c r="J10" i="52"/>
  <c r="J55" i="52" s="1"/>
  <c r="U198" i="41"/>
  <c r="U233" i="41"/>
  <c r="Z256" i="40"/>
  <c r="Z261" i="40"/>
  <c r="Z250" i="40"/>
  <c r="U240" i="40"/>
  <c r="T68" i="52"/>
  <c r="T71" i="52"/>
  <c r="U28" i="52"/>
  <c r="U30" i="52" s="1"/>
  <c r="U23" i="52"/>
  <c r="V57" i="52"/>
  <c r="V337" i="38"/>
  <c r="W336" i="38"/>
  <c r="W332" i="38"/>
  <c r="W335" i="38"/>
  <c r="V12" i="52"/>
  <c r="W214" i="41"/>
  <c r="W220" i="41"/>
  <c r="W225" i="41"/>
  <c r="V226" i="41"/>
  <c r="D63" i="52"/>
  <c r="H335" i="38"/>
  <c r="V234" i="40"/>
  <c r="W22" i="52" s="1"/>
  <c r="W67" i="52" s="1"/>
  <c r="T70" i="38"/>
  <c r="T63" i="38"/>
  <c r="V55" i="38"/>
  <c r="U66" i="38"/>
  <c r="U68" i="38" s="1"/>
  <c r="S71" i="38"/>
  <c r="S72" i="38"/>
  <c r="S138" i="38"/>
  <c r="V209" i="40"/>
  <c r="V241" i="40"/>
  <c r="T157" i="41"/>
  <c r="T159" i="41" s="1"/>
  <c r="V257" i="40"/>
  <c r="T173" i="41"/>
  <c r="I60" i="40"/>
  <c r="I61" i="40" s="1"/>
  <c r="I66" i="40"/>
  <c r="I67" i="40" s="1"/>
  <c r="I62" i="40" s="1"/>
  <c r="I40" i="41"/>
  <c r="I46" i="41"/>
  <c r="U158" i="40"/>
  <c r="U258" i="40"/>
  <c r="U259" i="40" s="1"/>
  <c r="M40" i="41"/>
  <c r="M41" i="41" s="1"/>
  <c r="L40" i="41"/>
  <c r="L41" i="41" s="1"/>
  <c r="W184" i="41"/>
  <c r="W229" i="41" s="1"/>
  <c r="X180" i="41"/>
  <c r="W183" i="41"/>
  <c r="W228" i="41" s="1"/>
  <c r="W182" i="41"/>
  <c r="W227" i="41" s="1"/>
  <c r="W186" i="41"/>
  <c r="W231" i="41" s="1"/>
  <c r="W185" i="41"/>
  <c r="W230" i="41" s="1"/>
  <c r="W181" i="41"/>
  <c r="W187" i="41"/>
  <c r="W232" i="41" s="1"/>
  <c r="V188" i="41"/>
  <c r="N40" i="41"/>
  <c r="N41" i="41" s="1"/>
  <c r="U329" i="38"/>
  <c r="U324" i="38"/>
  <c r="U318" i="38"/>
  <c r="V294" i="38"/>
  <c r="O34" i="40"/>
  <c r="O39" i="40" s="1"/>
  <c r="P34" i="41"/>
  <c r="P42" i="41" s="1"/>
  <c r="S176" i="38"/>
  <c r="S177" i="38" s="1"/>
  <c r="S186" i="38" s="1"/>
  <c r="U327" i="38"/>
  <c r="W224" i="40"/>
  <c r="W262" i="40"/>
  <c r="X217" i="40"/>
  <c r="Y216" i="40"/>
  <c r="X222" i="40"/>
  <c r="X267" i="40" s="1"/>
  <c r="X221" i="40"/>
  <c r="X220" i="40"/>
  <c r="X265" i="40" s="1"/>
  <c r="X218" i="40"/>
  <c r="X219" i="40"/>
  <c r="X264" i="40" s="1"/>
  <c r="X223" i="40"/>
  <c r="X268" i="40" s="1"/>
  <c r="V159" i="38"/>
  <c r="M34" i="40"/>
  <c r="M39" i="40" s="1"/>
  <c r="M40" i="40" s="1"/>
  <c r="W271" i="40"/>
  <c r="V156" i="40"/>
  <c r="U162" i="41"/>
  <c r="U166" i="41"/>
  <c r="U168" i="41"/>
  <c r="U142" i="41"/>
  <c r="U150" i="41" s="1"/>
  <c r="V140" i="41"/>
  <c r="U156" i="41"/>
  <c r="U155" i="41"/>
  <c r="U171" i="41"/>
  <c r="U158" i="41"/>
  <c r="W155" i="38"/>
  <c r="W156" i="38"/>
  <c r="W275" i="38"/>
  <c r="W158" i="38"/>
  <c r="W270" i="38"/>
  <c r="W272" i="38"/>
  <c r="W352" i="38"/>
  <c r="W225" i="38"/>
  <c r="W226" i="38" s="1"/>
  <c r="W212" i="38"/>
  <c r="W220" i="38" s="1"/>
  <c r="W162" i="38"/>
  <c r="X140" i="38"/>
  <c r="W227" i="38"/>
  <c r="W230" i="38"/>
  <c r="W320" i="38" s="1"/>
  <c r="W142" i="38"/>
  <c r="W150" i="38" s="1"/>
  <c r="W257" i="38"/>
  <c r="W265" i="38" s="1"/>
  <c r="V271" i="38"/>
  <c r="V326" i="38" s="1"/>
  <c r="V325" i="38"/>
  <c r="V45" i="52" s="1"/>
  <c r="W154" i="40"/>
  <c r="W157" i="40"/>
  <c r="W204" i="40"/>
  <c r="W207" i="40"/>
  <c r="W155" i="40"/>
  <c r="W141" i="40"/>
  <c r="W149" i="40" s="1"/>
  <c r="X139" i="40"/>
  <c r="W161" i="40"/>
  <c r="W202" i="40"/>
  <c r="W284" i="40"/>
  <c r="W189" i="40"/>
  <c r="W197" i="40" s="1"/>
  <c r="T167" i="41"/>
  <c r="T169" i="41" s="1"/>
  <c r="S169" i="41"/>
  <c r="T239" i="38"/>
  <c r="T175" i="38"/>
  <c r="T171" i="38"/>
  <c r="T173" i="38" s="1"/>
  <c r="U205" i="40"/>
  <c r="V75" i="41"/>
  <c r="V76" i="41" s="1"/>
  <c r="V87" i="41" s="1"/>
  <c r="W74" i="41"/>
  <c r="V228" i="38"/>
  <c r="I34" i="40"/>
  <c r="V203" i="40"/>
  <c r="U273" i="38"/>
  <c r="V277" i="38"/>
  <c r="V309" i="38" s="1"/>
  <c r="V29" i="52" s="1"/>
  <c r="V168" i="38"/>
  <c r="W1" i="40"/>
  <c r="W2" i="40"/>
  <c r="X6" i="40"/>
  <c r="W7" i="40"/>
  <c r="W5" i="40"/>
  <c r="L34" i="40"/>
  <c r="V99" i="40"/>
  <c r="V57" i="40"/>
  <c r="V78" i="40"/>
  <c r="V171" i="40"/>
  <c r="X117" i="41"/>
  <c r="Y116" i="41"/>
  <c r="Y116" i="40"/>
  <c r="Z115" i="40"/>
  <c r="Z116" i="40" s="1"/>
  <c r="F34" i="40"/>
  <c r="N34" i="40"/>
  <c r="J34" i="40"/>
  <c r="H34" i="40"/>
  <c r="K34" i="40"/>
  <c r="G34" i="40"/>
  <c r="W331" i="38"/>
  <c r="Y166" i="40"/>
  <c r="X167" i="40"/>
  <c r="W53" i="41"/>
  <c r="V54" i="41"/>
  <c r="U235" i="38"/>
  <c r="V234" i="38"/>
  <c r="W292" i="38"/>
  <c r="W330" i="38"/>
  <c r="X190" i="41"/>
  <c r="T236" i="38"/>
  <c r="T244" i="38" s="1"/>
  <c r="S247" i="38"/>
  <c r="X167" i="38"/>
  <c r="Y166" i="38"/>
  <c r="X291" i="38"/>
  <c r="X11" i="52" s="1"/>
  <c r="X56" i="52" s="1"/>
  <c r="X290" i="38"/>
  <c r="X10" i="52" s="1"/>
  <c r="X55" i="52" s="1"/>
  <c r="X287" i="38"/>
  <c r="X7" i="52" s="1"/>
  <c r="X52" i="52" s="1"/>
  <c r="X333" i="38"/>
  <c r="X286" i="38"/>
  <c r="X6" i="52" s="1"/>
  <c r="X51" i="52" s="1"/>
  <c r="X285" i="38"/>
  <c r="X5" i="52" s="1"/>
  <c r="X50" i="52" s="1"/>
  <c r="Y284" i="38"/>
  <c r="Y288" i="38" s="1"/>
  <c r="X289" i="38"/>
  <c r="X9" i="52" s="1"/>
  <c r="F40" i="41"/>
  <c r="F34" i="41"/>
  <c r="U96" i="40"/>
  <c r="T107" i="40"/>
  <c r="T109" i="40" s="1"/>
  <c r="T97" i="40"/>
  <c r="T102" i="40" s="1"/>
  <c r="H40" i="41"/>
  <c r="H34" i="41"/>
  <c r="U54" i="40"/>
  <c r="T65" i="40"/>
  <c r="T67" i="40" s="1"/>
  <c r="T55" i="40"/>
  <c r="T60" i="40" s="1"/>
  <c r="S82" i="40"/>
  <c r="K61" i="40"/>
  <c r="J61" i="40"/>
  <c r="O34" i="41"/>
  <c r="O40" i="41"/>
  <c r="G335" i="38"/>
  <c r="U58" i="41"/>
  <c r="U79" i="41"/>
  <c r="U100" i="41"/>
  <c r="M61" i="40"/>
  <c r="U9" i="41"/>
  <c r="V339" i="38"/>
  <c r="L42" i="41"/>
  <c r="L45" i="41"/>
  <c r="L47" i="41" s="1"/>
  <c r="N61" i="40"/>
  <c r="R35" i="41"/>
  <c r="S32" i="41"/>
  <c r="H61" i="40"/>
  <c r="K34" i="41"/>
  <c r="L33" i="41" s="1"/>
  <c r="K40" i="41"/>
  <c r="T4" i="47"/>
  <c r="U3" i="47"/>
  <c r="T6" i="47"/>
  <c r="T5" i="47"/>
  <c r="T76" i="40"/>
  <c r="T81" i="40" s="1"/>
  <c r="T86" i="40"/>
  <c r="U75" i="40"/>
  <c r="L61" i="40"/>
  <c r="V120" i="41"/>
  <c r="Q40" i="41"/>
  <c r="Q34" i="41"/>
  <c r="S8" i="40"/>
  <c r="V6" i="41"/>
  <c r="V8" i="41"/>
  <c r="V3" i="41"/>
  <c r="W7" i="41"/>
  <c r="V2" i="41"/>
  <c r="P41" i="41"/>
  <c r="Q31" i="40"/>
  <c r="P34" i="40"/>
  <c r="N42" i="41"/>
  <c r="N45" i="41"/>
  <c r="N47" i="41" s="1"/>
  <c r="N33" i="41"/>
  <c r="G61" i="40"/>
  <c r="I34" i="41"/>
  <c r="T66" i="41"/>
  <c r="T68" i="41" s="1"/>
  <c r="U55" i="41"/>
  <c r="T179" i="40"/>
  <c r="U168" i="40"/>
  <c r="S61" i="40"/>
  <c r="M33" i="41"/>
  <c r="M45" i="41"/>
  <c r="M47" i="41" s="1"/>
  <c r="M42" i="41"/>
  <c r="Y95" i="41"/>
  <c r="X96" i="41"/>
  <c r="F61" i="40"/>
  <c r="J34" i="41"/>
  <c r="J40" i="41"/>
  <c r="S119" i="40"/>
  <c r="O61" i="40"/>
  <c r="G34" i="41"/>
  <c r="G40" i="41"/>
  <c r="P61" i="40"/>
  <c r="S103" i="40"/>
  <c r="T47" i="42"/>
  <c r="U2" i="42"/>
  <c r="T1" i="42"/>
  <c r="W269" i="40" l="1"/>
  <c r="Y8" i="52"/>
  <c r="Y53" i="52" s="1"/>
  <c r="V46" i="52"/>
  <c r="V47" i="52" s="1"/>
  <c r="X263" i="40"/>
  <c r="U243" i="41"/>
  <c r="U247" i="41" s="1"/>
  <c r="U244" i="41"/>
  <c r="U199" i="41"/>
  <c r="U204" i="41"/>
  <c r="V198" i="41"/>
  <c r="V199" i="41" s="1"/>
  <c r="V233" i="41"/>
  <c r="V240" i="40"/>
  <c r="V235" i="40"/>
  <c r="U71" i="52"/>
  <c r="U68" i="52"/>
  <c r="V28" i="52"/>
  <c r="V30" i="52" s="1"/>
  <c r="V23" i="52"/>
  <c r="W57" i="52"/>
  <c r="X332" i="38"/>
  <c r="W12" i="52"/>
  <c r="X331" i="38"/>
  <c r="X336" i="38"/>
  <c r="W226" i="41"/>
  <c r="X214" i="41"/>
  <c r="X220" i="41"/>
  <c r="X225" i="41"/>
  <c r="W234" i="40"/>
  <c r="X22" i="52" s="1"/>
  <c r="X67" i="52" s="1"/>
  <c r="I63" i="40"/>
  <c r="X335" i="38"/>
  <c r="U70" i="38"/>
  <c r="U63" i="38"/>
  <c r="W55" i="38"/>
  <c r="V66" i="38"/>
  <c r="V68" i="38" s="1"/>
  <c r="T71" i="38"/>
  <c r="T72" i="38"/>
  <c r="T138" i="38"/>
  <c r="W241" i="40"/>
  <c r="W209" i="40"/>
  <c r="W257" i="40"/>
  <c r="M33" i="40"/>
  <c r="M44" i="40" s="1"/>
  <c r="M46" i="40" s="1"/>
  <c r="U173" i="41"/>
  <c r="I39" i="40"/>
  <c r="I40" i="40" s="1"/>
  <c r="I45" i="40"/>
  <c r="V158" i="40"/>
  <c r="V258" i="40"/>
  <c r="V259" i="40" s="1"/>
  <c r="P45" i="41"/>
  <c r="P47" i="41" s="1"/>
  <c r="P33" i="41"/>
  <c r="I33" i="40"/>
  <c r="I44" i="40" s="1"/>
  <c r="L120" i="40"/>
  <c r="L118" i="40" s="1"/>
  <c r="O33" i="40"/>
  <c r="O41" i="40" s="1"/>
  <c r="W188" i="41"/>
  <c r="R120" i="40"/>
  <c r="R118" i="40" s="1"/>
  <c r="V273" i="38"/>
  <c r="X182" i="41"/>
  <c r="X227" i="41" s="1"/>
  <c r="Y180" i="41"/>
  <c r="X187" i="41"/>
  <c r="X232" i="41" s="1"/>
  <c r="X181" i="41"/>
  <c r="X226" i="41" s="1"/>
  <c r="X186" i="41"/>
  <c r="X231" i="41" s="1"/>
  <c r="X184" i="41"/>
  <c r="X229" i="41" s="1"/>
  <c r="X185" i="41"/>
  <c r="X230" i="41" s="1"/>
  <c r="X183" i="41"/>
  <c r="X228" i="41" s="1"/>
  <c r="V324" i="38"/>
  <c r="W294" i="38"/>
  <c r="V329" i="38"/>
  <c r="V318" i="38"/>
  <c r="L43" i="41"/>
  <c r="L49" i="41" s="1"/>
  <c r="T176" i="38"/>
  <c r="T177" i="38" s="1"/>
  <c r="T186" i="38" s="1"/>
  <c r="Y222" i="40"/>
  <c r="Y220" i="40"/>
  <c r="Y265" i="40" s="1"/>
  <c r="Y217" i="40"/>
  <c r="Y221" i="40"/>
  <c r="Z216" i="40"/>
  <c r="F4" i="42" s="1"/>
  <c r="Y219" i="40"/>
  <c r="Y223" i="40"/>
  <c r="Y268" i="40" s="1"/>
  <c r="Y218" i="40"/>
  <c r="X224" i="40"/>
  <c r="X262" i="40"/>
  <c r="X271" i="40"/>
  <c r="J120" i="40"/>
  <c r="J125" i="40" s="1"/>
  <c r="M43" i="41"/>
  <c r="M49" i="41" s="1"/>
  <c r="V205" i="40"/>
  <c r="W157" i="38"/>
  <c r="W159" i="38" s="1"/>
  <c r="U157" i="41"/>
  <c r="U159" i="41" s="1"/>
  <c r="W203" i="40"/>
  <c r="X230" i="38"/>
  <c r="X320" i="38" s="1"/>
  <c r="Y140" i="38"/>
  <c r="X275" i="38"/>
  <c r="X142" i="38"/>
  <c r="X150" i="38" s="1"/>
  <c r="X352" i="38"/>
  <c r="X270" i="38"/>
  <c r="X155" i="38"/>
  <c r="X157" i="38" s="1"/>
  <c r="X225" i="38"/>
  <c r="X226" i="38" s="1"/>
  <c r="X227" i="38"/>
  <c r="X162" i="38"/>
  <c r="X156" i="38"/>
  <c r="X257" i="38"/>
  <c r="X265" i="38" s="1"/>
  <c r="X158" i="38"/>
  <c r="X212" i="38"/>
  <c r="X220" i="38" s="1"/>
  <c r="X272" i="38"/>
  <c r="W325" i="38"/>
  <c r="W45" i="52" s="1"/>
  <c r="W271" i="38"/>
  <c r="W273" i="38" s="1"/>
  <c r="W75" i="41"/>
  <c r="W76" i="41" s="1"/>
  <c r="W87" i="41" s="1"/>
  <c r="X74" i="41"/>
  <c r="X141" i="40"/>
  <c r="X149" i="40" s="1"/>
  <c r="Y139" i="40"/>
  <c r="X154" i="40"/>
  <c r="X204" i="40"/>
  <c r="X155" i="40"/>
  <c r="X284" i="40"/>
  <c r="X161" i="40"/>
  <c r="X189" i="40"/>
  <c r="X197" i="40" s="1"/>
  <c r="X202" i="40"/>
  <c r="X207" i="40"/>
  <c r="X157" i="40"/>
  <c r="V327" i="38"/>
  <c r="V158" i="41"/>
  <c r="V168" i="41"/>
  <c r="V142" i="41"/>
  <c r="V150" i="41" s="1"/>
  <c r="W140" i="41"/>
  <c r="V171" i="41"/>
  <c r="V155" i="41"/>
  <c r="V166" i="41"/>
  <c r="V162" i="41"/>
  <c r="V156" i="41"/>
  <c r="P43" i="41"/>
  <c r="W277" i="38"/>
  <c r="W309" i="38" s="1"/>
  <c r="W29" i="52" s="1"/>
  <c r="W156" i="40"/>
  <c r="W228" i="38"/>
  <c r="U239" i="38"/>
  <c r="U175" i="38"/>
  <c r="U171" i="38"/>
  <c r="U173" i="38" s="1"/>
  <c r="U167" i="41"/>
  <c r="N43" i="41"/>
  <c r="N49" i="41" s="1"/>
  <c r="J33" i="40"/>
  <c r="J39" i="40"/>
  <c r="J40" i="40" s="1"/>
  <c r="L39" i="40"/>
  <c r="L40" i="40" s="1"/>
  <c r="L33" i="40"/>
  <c r="W337" i="38"/>
  <c r="N39" i="40"/>
  <c r="N40" i="40" s="1"/>
  <c r="N33" i="40"/>
  <c r="Y117" i="41"/>
  <c r="Z116" i="41"/>
  <c r="Z117" i="41" s="1"/>
  <c r="Y6" i="40"/>
  <c r="X5" i="40"/>
  <c r="X7" i="40"/>
  <c r="X1" i="40"/>
  <c r="X2" i="40"/>
  <c r="Y286" i="38"/>
  <c r="Y6" i="52" s="1"/>
  <c r="Y51" i="52" s="1"/>
  <c r="Y287" i="38"/>
  <c r="Y7" i="52" s="1"/>
  <c r="Y52" i="52" s="1"/>
  <c r="Y291" i="38"/>
  <c r="Y11" i="52" s="1"/>
  <c r="Y56" i="52" s="1"/>
  <c r="Y289" i="38"/>
  <c r="Y9" i="52" s="1"/>
  <c r="Y285" i="38"/>
  <c r="Y5" i="52" s="1"/>
  <c r="Y50" i="52" s="1"/>
  <c r="Y333" i="38"/>
  <c r="Z284" i="38"/>
  <c r="Z288" i="38" s="1"/>
  <c r="Z8" i="52" s="1"/>
  <c r="Z53" i="52" s="1"/>
  <c r="Y290" i="38"/>
  <c r="Y10" i="52" s="1"/>
  <c r="Y55" i="52" s="1"/>
  <c r="F39" i="40"/>
  <c r="F40" i="40" s="1"/>
  <c r="F33" i="40"/>
  <c r="X330" i="38"/>
  <c r="X337" i="38" s="1"/>
  <c r="X292" i="38"/>
  <c r="H120" i="40"/>
  <c r="F120" i="40"/>
  <c r="G120" i="40"/>
  <c r="K120" i="40"/>
  <c r="I120" i="40"/>
  <c r="I130" i="40" s="1"/>
  <c r="N120" i="40"/>
  <c r="W99" i="40"/>
  <c r="W171" i="40"/>
  <c r="W57" i="40"/>
  <c r="W78" i="40"/>
  <c r="U236" i="38"/>
  <c r="U244" i="38" s="1"/>
  <c r="T247" i="38"/>
  <c r="Y190" i="41"/>
  <c r="O120" i="40"/>
  <c r="M120" i="40"/>
  <c r="Q120" i="40"/>
  <c r="P120" i="40"/>
  <c r="W54" i="41"/>
  <c r="X53" i="41"/>
  <c r="G39" i="40"/>
  <c r="G40" i="40" s="1"/>
  <c r="G33" i="40"/>
  <c r="W168" i="38"/>
  <c r="K39" i="40"/>
  <c r="K40" i="40" s="1"/>
  <c r="K33" i="40"/>
  <c r="Z166" i="38"/>
  <c r="Z167" i="38" s="1"/>
  <c r="Y167" i="38"/>
  <c r="V235" i="38"/>
  <c r="W234" i="38"/>
  <c r="Z166" i="40"/>
  <c r="Z167" i="40" s="1"/>
  <c r="Y167" i="40"/>
  <c r="H39" i="40"/>
  <c r="H33" i="40"/>
  <c r="H41" i="41"/>
  <c r="V96" i="40"/>
  <c r="U107" i="40"/>
  <c r="U109" i="40" s="1"/>
  <c r="U97" i="40"/>
  <c r="U102" i="40" s="1"/>
  <c r="G41" i="41"/>
  <c r="P33" i="40"/>
  <c r="P39" i="40"/>
  <c r="T82" i="40"/>
  <c r="G42" i="41"/>
  <c r="G45" i="41"/>
  <c r="G33" i="41"/>
  <c r="R31" i="40"/>
  <c r="Q34" i="40"/>
  <c r="V100" i="41"/>
  <c r="V58" i="41"/>
  <c r="V79" i="41"/>
  <c r="Q42" i="41"/>
  <c r="Q45" i="41"/>
  <c r="Q47" i="41" s="1"/>
  <c r="Q33" i="41"/>
  <c r="K41" i="41"/>
  <c r="U65" i="40"/>
  <c r="U67" i="40" s="1"/>
  <c r="V54" i="40"/>
  <c r="U55" i="40"/>
  <c r="U60" i="40" s="1"/>
  <c r="T61" i="40"/>
  <c r="Z95" i="41"/>
  <c r="Z96" i="41" s="1"/>
  <c r="Y96" i="41"/>
  <c r="X7" i="41"/>
  <c r="W3" i="41"/>
  <c r="W6" i="41"/>
  <c r="W8" i="41"/>
  <c r="W2" i="41"/>
  <c r="T8" i="40"/>
  <c r="Q41" i="41"/>
  <c r="K42" i="41"/>
  <c r="K33" i="41"/>
  <c r="K45" i="41"/>
  <c r="K47" i="41" s="1"/>
  <c r="S35" i="41"/>
  <c r="T32" i="41"/>
  <c r="O41" i="41"/>
  <c r="V9" i="41"/>
  <c r="R40" i="41"/>
  <c r="R34" i="41"/>
  <c r="O33" i="41"/>
  <c r="O42" i="41"/>
  <c r="O45" i="41"/>
  <c r="O47" i="41" s="1"/>
  <c r="U66" i="41"/>
  <c r="U68" i="41" s="1"/>
  <c r="V55" i="41"/>
  <c r="U4" i="47"/>
  <c r="U6" i="47"/>
  <c r="U5" i="47"/>
  <c r="V3" i="47"/>
  <c r="W120" i="41"/>
  <c r="O40" i="40"/>
  <c r="F42" i="41"/>
  <c r="F45" i="41"/>
  <c r="F33" i="41"/>
  <c r="S120" i="40"/>
  <c r="T119" i="40"/>
  <c r="I41" i="41"/>
  <c r="U76" i="40"/>
  <c r="U81" i="40" s="1"/>
  <c r="U86" i="40"/>
  <c r="V75" i="40"/>
  <c r="W339" i="38"/>
  <c r="I42" i="41"/>
  <c r="I33" i="41"/>
  <c r="I45" i="41"/>
  <c r="I47" i="41" s="1"/>
  <c r="V2" i="42"/>
  <c r="U47" i="42"/>
  <c r="U1" i="42"/>
  <c r="J41" i="41"/>
  <c r="V168" i="40"/>
  <c r="U179" i="40"/>
  <c r="J33" i="41"/>
  <c r="J42" i="41"/>
  <c r="J45" i="41"/>
  <c r="J47" i="41" s="1"/>
  <c r="H45" i="41"/>
  <c r="H42" i="41"/>
  <c r="H33" i="41"/>
  <c r="T103" i="40"/>
  <c r="F41" i="41"/>
  <c r="X269" i="40" l="1"/>
  <c r="V204" i="41"/>
  <c r="V243" i="41"/>
  <c r="W198" i="41"/>
  <c r="W243" i="41" s="1"/>
  <c r="W240" i="40"/>
  <c r="W235" i="40"/>
  <c r="V68" i="52"/>
  <c r="V71" i="52"/>
  <c r="R125" i="40"/>
  <c r="R126" i="40" s="1"/>
  <c r="R127" i="40" s="1"/>
  <c r="W28" i="52"/>
  <c r="W30" i="52" s="1"/>
  <c r="W23" i="52"/>
  <c r="X57" i="52"/>
  <c r="Y336" i="38"/>
  <c r="Y332" i="38"/>
  <c r="Y331" i="38"/>
  <c r="X12" i="52"/>
  <c r="W233" i="41"/>
  <c r="Y214" i="41"/>
  <c r="Y220" i="41"/>
  <c r="Y225" i="41"/>
  <c r="X234" i="40"/>
  <c r="Y22" i="52" s="1"/>
  <c r="Y67" i="52" s="1"/>
  <c r="V173" i="41"/>
  <c r="M41" i="40"/>
  <c r="M42" i="40" s="1"/>
  <c r="M48" i="40" s="1"/>
  <c r="M32" i="40"/>
  <c r="V70" i="38"/>
  <c r="V63" i="38"/>
  <c r="X55" i="38"/>
  <c r="W66" i="38"/>
  <c r="W68" i="38" s="1"/>
  <c r="U71" i="38"/>
  <c r="U72" i="38"/>
  <c r="U138" i="38"/>
  <c r="X209" i="40"/>
  <c r="X241" i="40"/>
  <c r="F13" i="42"/>
  <c r="X257" i="40"/>
  <c r="Q43" i="41"/>
  <c r="Q49" i="41" s="1"/>
  <c r="F22" i="42"/>
  <c r="J130" i="40"/>
  <c r="P49" i="41"/>
  <c r="P51" i="41" s="1"/>
  <c r="N51" i="41"/>
  <c r="N50" i="41"/>
  <c r="L50" i="41"/>
  <c r="L51" i="41"/>
  <c r="M50" i="41"/>
  <c r="M51" i="41"/>
  <c r="I46" i="40"/>
  <c r="W158" i="40"/>
  <c r="W258" i="40"/>
  <c r="W259" i="40" s="1"/>
  <c r="O44" i="40"/>
  <c r="O46" i="40" s="1"/>
  <c r="V121" i="41"/>
  <c r="V126" i="41" s="1"/>
  <c r="I32" i="40"/>
  <c r="J118" i="40"/>
  <c r="J129" i="40" s="1"/>
  <c r="L125" i="40"/>
  <c r="L126" i="40" s="1"/>
  <c r="L127" i="40" s="1"/>
  <c r="I41" i="40"/>
  <c r="I42" i="40" s="1"/>
  <c r="O32" i="40"/>
  <c r="R121" i="41"/>
  <c r="R126" i="41" s="1"/>
  <c r="Y186" i="41"/>
  <c r="Y231" i="41" s="1"/>
  <c r="Y184" i="41"/>
  <c r="Y229" i="41" s="1"/>
  <c r="Y182" i="41"/>
  <c r="Y227" i="41" s="1"/>
  <c r="Z180" i="41"/>
  <c r="H14" i="42" s="1"/>
  <c r="Y181" i="41"/>
  <c r="Y226" i="41" s="1"/>
  <c r="Y185" i="41"/>
  <c r="Y230" i="41" s="1"/>
  <c r="Y183" i="41"/>
  <c r="Y228" i="41" s="1"/>
  <c r="Y187" i="41"/>
  <c r="Y232" i="41" s="1"/>
  <c r="X188" i="41"/>
  <c r="X294" i="38"/>
  <c r="W329" i="38"/>
  <c r="W324" i="38"/>
  <c r="W318" i="38"/>
  <c r="Y264" i="40"/>
  <c r="Z223" i="40"/>
  <c r="Z268" i="40" s="1"/>
  <c r="Z222" i="40"/>
  <c r="Z267" i="40" s="1"/>
  <c r="Z221" i="40"/>
  <c r="Z218" i="40"/>
  <c r="Z263" i="40" s="1"/>
  <c r="Z219" i="40"/>
  <c r="Z264" i="40" s="1"/>
  <c r="Z217" i="40"/>
  <c r="Z220" i="40"/>
  <c r="Z265" i="40" s="1"/>
  <c r="F41" i="42"/>
  <c r="F42" i="42"/>
  <c r="N169" i="40"/>
  <c r="N174" i="40" s="1"/>
  <c r="N175" i="40" s="1"/>
  <c r="V169" i="38"/>
  <c r="V182" i="38" s="1"/>
  <c r="V199" i="38" s="1"/>
  <c r="Y262" i="40"/>
  <c r="Y224" i="40"/>
  <c r="F31" i="42"/>
  <c r="Y267" i="40"/>
  <c r="Y263" i="40"/>
  <c r="O121" i="41"/>
  <c r="O126" i="41" s="1"/>
  <c r="O127" i="41" s="1"/>
  <c r="O128" i="41" s="1"/>
  <c r="J43" i="41"/>
  <c r="J49" i="41" s="1"/>
  <c r="R103" i="41"/>
  <c r="R104" i="41" s="1"/>
  <c r="P121" i="41"/>
  <c r="P119" i="41" s="1"/>
  <c r="T121" i="41"/>
  <c r="T119" i="41" s="1"/>
  <c r="Y271" i="40"/>
  <c r="X277" i="38"/>
  <c r="X309" i="38" s="1"/>
  <c r="X29" i="52" s="1"/>
  <c r="R169" i="40"/>
  <c r="R174" i="40" s="1"/>
  <c r="R175" i="40" s="1"/>
  <c r="V167" i="41"/>
  <c r="W171" i="41"/>
  <c r="W155" i="41"/>
  <c r="W157" i="41" s="1"/>
  <c r="X140" i="41"/>
  <c r="X248" i="41" s="1"/>
  <c r="W166" i="41"/>
  <c r="W162" i="41"/>
  <c r="W142" i="41"/>
  <c r="W150" i="41" s="1"/>
  <c r="W168" i="41"/>
  <c r="W156" i="41"/>
  <c r="W158" i="41"/>
  <c r="X156" i="40"/>
  <c r="V157" i="41"/>
  <c r="V159" i="41" s="1"/>
  <c r="Y74" i="41"/>
  <c r="X75" i="41"/>
  <c r="X76" i="41" s="1"/>
  <c r="X87" i="41" s="1"/>
  <c r="X228" i="38"/>
  <c r="Y275" i="38"/>
  <c r="Z140" i="38"/>
  <c r="Y162" i="38"/>
  <c r="Y352" i="38"/>
  <c r="Y270" i="38"/>
  <c r="Y156" i="38"/>
  <c r="Y155" i="38"/>
  <c r="Y157" i="38" s="1"/>
  <c r="Y272" i="38"/>
  <c r="Y212" i="38"/>
  <c r="Y220" i="38" s="1"/>
  <c r="Y225" i="38"/>
  <c r="Y226" i="38" s="1"/>
  <c r="Y227" i="38"/>
  <c r="Y230" i="38"/>
  <c r="Y320" i="38" s="1"/>
  <c r="Y142" i="38"/>
  <c r="Y150" i="38" s="1"/>
  <c r="Y257" i="38"/>
  <c r="Y265" i="38" s="1"/>
  <c r="Y158" i="38"/>
  <c r="W205" i="40"/>
  <c r="O43" i="41"/>
  <c r="O49" i="41" s="1"/>
  <c r="X159" i="38"/>
  <c r="Q121" i="41"/>
  <c r="Q126" i="41" s="1"/>
  <c r="Y202" i="40"/>
  <c r="Y284" i="40"/>
  <c r="Y141" i="40"/>
  <c r="Y149" i="40" s="1"/>
  <c r="Y154" i="40"/>
  <c r="Y207" i="40"/>
  <c r="Y161" i="40"/>
  <c r="Y204" i="40"/>
  <c r="Z139" i="40"/>
  <c r="Y189" i="40"/>
  <c r="Y197" i="40" s="1"/>
  <c r="Y155" i="40"/>
  <c r="Y157" i="40"/>
  <c r="V175" i="38"/>
  <c r="V239" i="38"/>
  <c r="V171" i="38"/>
  <c r="V173" i="38" s="1"/>
  <c r="X325" i="38"/>
  <c r="X45" i="52" s="1"/>
  <c r="X271" i="38"/>
  <c r="U103" i="41"/>
  <c r="U104" i="41" s="1"/>
  <c r="U169" i="41"/>
  <c r="M169" i="40"/>
  <c r="M174" i="40" s="1"/>
  <c r="M175" i="40" s="1"/>
  <c r="U176" i="38"/>
  <c r="U177" i="38" s="1"/>
  <c r="U186" i="38" s="1"/>
  <c r="X203" i="40"/>
  <c r="W326" i="38"/>
  <c r="W46" i="52" s="1"/>
  <c r="T169" i="40"/>
  <c r="T174" i="40" s="1"/>
  <c r="T175" i="40" s="1"/>
  <c r="O125" i="40"/>
  <c r="O126" i="40" s="1"/>
  <c r="O127" i="40" s="1"/>
  <c r="O118" i="40"/>
  <c r="Y2" i="40"/>
  <c r="Y7" i="40"/>
  <c r="Y5" i="40"/>
  <c r="Y1" i="40"/>
  <c r="Z6" i="40"/>
  <c r="G169" i="40"/>
  <c r="G174" i="40" s="1"/>
  <c r="G175" i="40" s="1"/>
  <c r="F169" i="40"/>
  <c r="F174" i="40" s="1"/>
  <c r="F175" i="40" s="1"/>
  <c r="L169" i="40"/>
  <c r="L174" i="40" s="1"/>
  <c r="L175" i="40" s="1"/>
  <c r="H169" i="40"/>
  <c r="H174" i="40" s="1"/>
  <c r="H175" i="40" s="1"/>
  <c r="J169" i="40"/>
  <c r="J174" i="40" s="1"/>
  <c r="J175" i="40" s="1"/>
  <c r="I169" i="40"/>
  <c r="I174" i="40" s="1"/>
  <c r="I175" i="40" s="1"/>
  <c r="O169" i="40"/>
  <c r="O174" i="40" s="1"/>
  <c r="O175" i="40" s="1"/>
  <c r="K169" i="40"/>
  <c r="K174" i="40" s="1"/>
  <c r="K175" i="40" s="1"/>
  <c r="P169" i="40"/>
  <c r="P174" i="40" s="1"/>
  <c r="P175" i="40" s="1"/>
  <c r="V236" i="38"/>
  <c r="V244" i="38" s="1"/>
  <c r="U247" i="38"/>
  <c r="I118" i="40"/>
  <c r="I125" i="40"/>
  <c r="X234" i="38"/>
  <c r="W235" i="38"/>
  <c r="W169" i="38"/>
  <c r="X168" i="38"/>
  <c r="G44" i="40"/>
  <c r="G32" i="40"/>
  <c r="G41" i="40"/>
  <c r="G42" i="40" s="1"/>
  <c r="P125" i="40"/>
  <c r="P118" i="40"/>
  <c r="N118" i="40"/>
  <c r="N125" i="40"/>
  <c r="K125" i="40"/>
  <c r="K118" i="40"/>
  <c r="L117" i="40" s="1"/>
  <c r="H43" i="41"/>
  <c r="U169" i="38"/>
  <c r="S169" i="38"/>
  <c r="R169" i="38"/>
  <c r="T169" i="38"/>
  <c r="K44" i="40"/>
  <c r="K46" i="40" s="1"/>
  <c r="K41" i="40"/>
  <c r="K42" i="40" s="1"/>
  <c r="K32" i="40"/>
  <c r="Z190" i="41"/>
  <c r="G125" i="40"/>
  <c r="G118" i="40"/>
  <c r="Y335" i="38"/>
  <c r="O42" i="40"/>
  <c r="F43" i="41"/>
  <c r="U169" i="40"/>
  <c r="U174" i="40" s="1"/>
  <c r="U175" i="40" s="1"/>
  <c r="G169" i="38"/>
  <c r="F169" i="38"/>
  <c r="H169" i="38"/>
  <c r="I169" i="38"/>
  <c r="K169" i="38"/>
  <c r="J169" i="38"/>
  <c r="L169" i="38"/>
  <c r="M169" i="38"/>
  <c r="O169" i="38"/>
  <c r="N169" i="38"/>
  <c r="Q169" i="38"/>
  <c r="P169" i="38"/>
  <c r="Y53" i="41"/>
  <c r="X54" i="41"/>
  <c r="F118" i="40"/>
  <c r="F125" i="40"/>
  <c r="Z290" i="38"/>
  <c r="Z285" i="38"/>
  <c r="Z5" i="52" s="1"/>
  <c r="Z286" i="38"/>
  <c r="Z6" i="52" s="1"/>
  <c r="Z51" i="52" s="1"/>
  <c r="Z289" i="38"/>
  <c r="Z9" i="52" s="1"/>
  <c r="Z287" i="38"/>
  <c r="Z7" i="52" s="1"/>
  <c r="Z52" i="52" s="1"/>
  <c r="Z333" i="38"/>
  <c r="Z291" i="38"/>
  <c r="Z11" i="52" s="1"/>
  <c r="Z56" i="52" s="1"/>
  <c r="H125" i="40"/>
  <c r="H118" i="40"/>
  <c r="X99" i="40"/>
  <c r="X78" i="40"/>
  <c r="X57" i="40"/>
  <c r="X171" i="40"/>
  <c r="N32" i="40"/>
  <c r="N44" i="40"/>
  <c r="N46" i="40" s="1"/>
  <c r="N41" i="40"/>
  <c r="N42" i="40" s="1"/>
  <c r="J41" i="40"/>
  <c r="J42" i="40" s="1"/>
  <c r="J32" i="40"/>
  <c r="J44" i="40"/>
  <c r="J46" i="40" s="1"/>
  <c r="H44" i="40"/>
  <c r="H41" i="40"/>
  <c r="H32" i="40"/>
  <c r="Q169" i="40"/>
  <c r="Q174" i="40" s="1"/>
  <c r="Q175" i="40" s="1"/>
  <c r="Q118" i="40"/>
  <c r="R117" i="40" s="1"/>
  <c r="Q125" i="40"/>
  <c r="F41" i="40"/>
  <c r="F42" i="40" s="1"/>
  <c r="F32" i="40"/>
  <c r="F44" i="40"/>
  <c r="Y292" i="38"/>
  <c r="Y330" i="38"/>
  <c r="H121" i="41"/>
  <c r="G121" i="41"/>
  <c r="F121" i="41"/>
  <c r="I121" i="41"/>
  <c r="I131" i="41" s="1"/>
  <c r="J121" i="41"/>
  <c r="L121" i="41"/>
  <c r="K121" i="41"/>
  <c r="M121" i="41"/>
  <c r="N121" i="41"/>
  <c r="L44" i="40"/>
  <c r="L46" i="40" s="1"/>
  <c r="L41" i="40"/>
  <c r="L42" i="40" s="1"/>
  <c r="L32" i="40"/>
  <c r="L129" i="40"/>
  <c r="G43" i="41"/>
  <c r="H40" i="40"/>
  <c r="S169" i="40"/>
  <c r="S174" i="40" s="1"/>
  <c r="S175" i="40" s="1"/>
  <c r="J126" i="40"/>
  <c r="J127" i="40" s="1"/>
  <c r="M118" i="40"/>
  <c r="M125" i="40"/>
  <c r="U121" i="41"/>
  <c r="S121" i="41"/>
  <c r="K43" i="41"/>
  <c r="K49" i="41" s="1"/>
  <c r="I43" i="41"/>
  <c r="I49" i="41" s="1"/>
  <c r="W75" i="40"/>
  <c r="V86" i="40"/>
  <c r="V76" i="40"/>
  <c r="V81" i="40" s="1"/>
  <c r="R41" i="41"/>
  <c r="U8" i="40"/>
  <c r="V55" i="40"/>
  <c r="V60" i="40" s="1"/>
  <c r="V65" i="40"/>
  <c r="V67" i="40" s="1"/>
  <c r="W54" i="40"/>
  <c r="U82" i="40"/>
  <c r="U119" i="40"/>
  <c r="T120" i="40"/>
  <c r="V103" i="41"/>
  <c r="W9" i="41"/>
  <c r="W79" i="41"/>
  <c r="W58" i="41"/>
  <c r="W100" i="41"/>
  <c r="S103" i="41"/>
  <c r="T103" i="41"/>
  <c r="V47" i="42"/>
  <c r="V1" i="42"/>
  <c r="W2" i="42"/>
  <c r="V5" i="47"/>
  <c r="W3" i="47"/>
  <c r="V4" i="47"/>
  <c r="V6" i="47"/>
  <c r="J103" i="41"/>
  <c r="N103" i="41"/>
  <c r="K103" i="41"/>
  <c r="M103" i="41"/>
  <c r="P103" i="41"/>
  <c r="L103" i="41"/>
  <c r="O103" i="41"/>
  <c r="U103" i="40"/>
  <c r="V66" i="41"/>
  <c r="V68" i="41" s="1"/>
  <c r="W55" i="41"/>
  <c r="S40" i="41"/>
  <c r="S34" i="41"/>
  <c r="P44" i="40"/>
  <c r="P46" i="40" s="1"/>
  <c r="P32" i="40"/>
  <c r="P41" i="40"/>
  <c r="X339" i="38"/>
  <c r="Q33" i="40"/>
  <c r="Q39" i="40"/>
  <c r="U61" i="40"/>
  <c r="V179" i="40"/>
  <c r="W168" i="40"/>
  <c r="V169" i="40"/>
  <c r="V174" i="40" s="1"/>
  <c r="S118" i="40"/>
  <c r="S125" i="40"/>
  <c r="R129" i="40"/>
  <c r="X120" i="41"/>
  <c r="W121" i="41"/>
  <c r="S31" i="40"/>
  <c r="R34" i="40"/>
  <c r="V107" i="40"/>
  <c r="V109" i="40" s="1"/>
  <c r="V97" i="40"/>
  <c r="V102" i="40" s="1"/>
  <c r="W96" i="40"/>
  <c r="X8" i="41"/>
  <c r="X3" i="41"/>
  <c r="Y7" i="41"/>
  <c r="X6" i="41"/>
  <c r="X2" i="41"/>
  <c r="R42" i="41"/>
  <c r="R33" i="41"/>
  <c r="R45" i="41"/>
  <c r="R47" i="41" s="1"/>
  <c r="T35" i="41"/>
  <c r="U32" i="41"/>
  <c r="Q103" i="41"/>
  <c r="P40" i="40"/>
  <c r="Z10" i="52" l="1"/>
  <c r="Z55" i="52" s="1"/>
  <c r="D55" i="52" s="1"/>
  <c r="V247" i="41"/>
  <c r="V244" i="41"/>
  <c r="W204" i="41"/>
  <c r="W199" i="41"/>
  <c r="X198" i="41"/>
  <c r="X243" i="41" s="1"/>
  <c r="X247" i="41" s="1"/>
  <c r="X249" i="41" s="1"/>
  <c r="X233" i="41"/>
  <c r="V119" i="41"/>
  <c r="V130" i="41" s="1"/>
  <c r="W71" i="52"/>
  <c r="W68" i="52"/>
  <c r="X240" i="40"/>
  <c r="X235" i="40"/>
  <c r="X28" i="52"/>
  <c r="X30" i="52" s="1"/>
  <c r="X23" i="52"/>
  <c r="Z50" i="52"/>
  <c r="D50" i="52" s="1"/>
  <c r="Z331" i="38"/>
  <c r="D331" i="38" s="1"/>
  <c r="Y12" i="52"/>
  <c r="D52" i="52"/>
  <c r="D7" i="52"/>
  <c r="D10" i="52"/>
  <c r="Z336" i="38"/>
  <c r="W327" i="38"/>
  <c r="W47" i="52"/>
  <c r="D5" i="52"/>
  <c r="W247" i="41"/>
  <c r="W244" i="41"/>
  <c r="Z214" i="41"/>
  <c r="Z220" i="41"/>
  <c r="Z225" i="41"/>
  <c r="Y234" i="40"/>
  <c r="G5" i="42"/>
  <c r="G43" i="42" s="1"/>
  <c r="Z335" i="38"/>
  <c r="D290" i="38"/>
  <c r="V179" i="38"/>
  <c r="W70" i="38"/>
  <c r="W63" i="38"/>
  <c r="Y55" i="38"/>
  <c r="X66" i="38"/>
  <c r="X68" i="38" s="1"/>
  <c r="V71" i="38"/>
  <c r="V72" i="38"/>
  <c r="V138" i="38"/>
  <c r="J117" i="40"/>
  <c r="Y241" i="40"/>
  <c r="Y209" i="40"/>
  <c r="K48" i="40"/>
  <c r="K50" i="40" s="1"/>
  <c r="W173" i="41"/>
  <c r="J131" i="40"/>
  <c r="J133" i="40" s="1"/>
  <c r="K130" i="40"/>
  <c r="F32" i="42"/>
  <c r="O48" i="40"/>
  <c r="O50" i="40" s="1"/>
  <c r="P50" i="41"/>
  <c r="I48" i="40"/>
  <c r="I50" i="40" s="1"/>
  <c r="Y257" i="40"/>
  <c r="J131" i="41"/>
  <c r="K131" i="41" s="1"/>
  <c r="L131" i="41" s="1"/>
  <c r="M131" i="41" s="1"/>
  <c r="N131" i="41" s="1"/>
  <c r="O131" i="41" s="1"/>
  <c r="P131" i="41" s="1"/>
  <c r="Q131" i="41" s="1"/>
  <c r="R131" i="41" s="1"/>
  <c r="S131" i="41" s="1"/>
  <c r="T131" i="41" s="1"/>
  <c r="U131" i="41" s="1"/>
  <c r="V131" i="41" s="1"/>
  <c r="W131" i="41" s="1"/>
  <c r="X131" i="41" s="1"/>
  <c r="Y131" i="41" s="1"/>
  <c r="Z131" i="41" s="1"/>
  <c r="K51" i="41"/>
  <c r="K50" i="41"/>
  <c r="O51" i="41"/>
  <c r="O50" i="41"/>
  <c r="J50" i="41"/>
  <c r="J51" i="41"/>
  <c r="M50" i="40"/>
  <c r="M49" i="40"/>
  <c r="Q51" i="41"/>
  <c r="Q50" i="41"/>
  <c r="L48" i="40"/>
  <c r="J48" i="40"/>
  <c r="N48" i="40"/>
  <c r="I50" i="41"/>
  <c r="I51" i="41"/>
  <c r="X158" i="40"/>
  <c r="X258" i="40"/>
  <c r="X259" i="40" s="1"/>
  <c r="H5" i="42"/>
  <c r="H44" i="42" s="1"/>
  <c r="D264" i="40"/>
  <c r="R119" i="41"/>
  <c r="R130" i="41" s="1"/>
  <c r="T126" i="41"/>
  <c r="T127" i="41" s="1"/>
  <c r="T128" i="41" s="1"/>
  <c r="H23" i="42"/>
  <c r="G23" i="42"/>
  <c r="P126" i="41"/>
  <c r="P127" i="41" s="1"/>
  <c r="P128" i="41" s="1"/>
  <c r="F14" i="42"/>
  <c r="R43" i="41"/>
  <c r="R49" i="41" s="1"/>
  <c r="D218" i="40"/>
  <c r="Y188" i="41"/>
  <c r="F5" i="42"/>
  <c r="Z181" i="41"/>
  <c r="Z226" i="41" s="1"/>
  <c r="Z186" i="41"/>
  <c r="Z231" i="41" s="1"/>
  <c r="D231" i="41" s="1"/>
  <c r="Z185" i="41"/>
  <c r="Z230" i="41" s="1"/>
  <c r="F23" i="42"/>
  <c r="Z187" i="41"/>
  <c r="Z232" i="41" s="1"/>
  <c r="Z182" i="41"/>
  <c r="Z227" i="41" s="1"/>
  <c r="D227" i="41" s="1"/>
  <c r="H32" i="42"/>
  <c r="Z184" i="41"/>
  <c r="Z229" i="41" s="1"/>
  <c r="Z183" i="41"/>
  <c r="Z228" i="41" s="1"/>
  <c r="D228" i="41" s="1"/>
  <c r="G32" i="42"/>
  <c r="G14" i="42"/>
  <c r="X329" i="38"/>
  <c r="Y294" i="38"/>
  <c r="X318" i="38"/>
  <c r="X324" i="38"/>
  <c r="O119" i="41"/>
  <c r="P118" i="41" s="1"/>
  <c r="V176" i="38"/>
  <c r="V177" i="38" s="1"/>
  <c r="V186" i="38" s="1"/>
  <c r="Q119" i="41"/>
  <c r="Q130" i="41" s="1"/>
  <c r="V18" i="47"/>
  <c r="V19" i="47" s="1"/>
  <c r="V8" i="47" s="1"/>
  <c r="Y228" i="38"/>
  <c r="K18" i="47"/>
  <c r="K19" i="47" s="1"/>
  <c r="K8" i="47" s="1"/>
  <c r="R18" i="47"/>
  <c r="R19" i="47" s="1"/>
  <c r="R8" i="47" s="1"/>
  <c r="F49" i="42"/>
  <c r="D263" i="40"/>
  <c r="L18" i="47"/>
  <c r="L19" i="47" s="1"/>
  <c r="L8" i="47" s="1"/>
  <c r="J18" i="47"/>
  <c r="J19" i="47" s="1"/>
  <c r="J8" i="47" s="1"/>
  <c r="Y269" i="40"/>
  <c r="N18" i="47"/>
  <c r="N19" i="47" s="1"/>
  <c r="N8" i="47" s="1"/>
  <c r="G18" i="47"/>
  <c r="G19" i="47" s="1"/>
  <c r="G8" i="47" s="1"/>
  <c r="D222" i="40"/>
  <c r="P18" i="47"/>
  <c r="P19" i="47" s="1"/>
  <c r="P8" i="47" s="1"/>
  <c r="T18" i="47"/>
  <c r="T19" i="47" s="1"/>
  <c r="T8" i="47" s="1"/>
  <c r="D267" i="40"/>
  <c r="U18" i="47"/>
  <c r="U19" i="47" s="1"/>
  <c r="U8" i="47" s="1"/>
  <c r="Q18" i="47"/>
  <c r="Q19" i="47" s="1"/>
  <c r="Q8" i="47" s="1"/>
  <c r="D219" i="40"/>
  <c r="I18" i="47"/>
  <c r="I19" i="47" s="1"/>
  <c r="I8" i="47" s="1"/>
  <c r="O18" i="47"/>
  <c r="O19" i="47" s="1"/>
  <c r="O8" i="47" s="1"/>
  <c r="M18" i="47"/>
  <c r="M19" i="47" s="1"/>
  <c r="M8" i="47" s="1"/>
  <c r="Z262" i="40"/>
  <c r="Z269" i="40" s="1"/>
  <c r="Z224" i="40"/>
  <c r="P42" i="40"/>
  <c r="P48" i="40" s="1"/>
  <c r="S18" i="47"/>
  <c r="S19" i="47" s="1"/>
  <c r="S8" i="47" s="1"/>
  <c r="H18" i="47"/>
  <c r="H19" i="47" s="1"/>
  <c r="H8" i="47" s="1"/>
  <c r="D217" i="40"/>
  <c r="Z271" i="40"/>
  <c r="Z189" i="40"/>
  <c r="Z197" i="40" s="1"/>
  <c r="Z154" i="40"/>
  <c r="Z141" i="40"/>
  <c r="Z149" i="40" s="1"/>
  <c r="Z207" i="40"/>
  <c r="Z284" i="40"/>
  <c r="Z157" i="40"/>
  <c r="Z155" i="40"/>
  <c r="Z161" i="40"/>
  <c r="Z204" i="40"/>
  <c r="Z202" i="40"/>
  <c r="Y159" i="38"/>
  <c r="Z74" i="41"/>
  <c r="Y75" i="41"/>
  <c r="H42" i="40"/>
  <c r="Y325" i="38"/>
  <c r="Y45" i="52" s="1"/>
  <c r="Y271" i="38"/>
  <c r="X162" i="41"/>
  <c r="X158" i="41"/>
  <c r="X168" i="41"/>
  <c r="Y140" i="41"/>
  <c r="Y248" i="41" s="1"/>
  <c r="X155" i="41"/>
  <c r="X157" i="41" s="1"/>
  <c r="X166" i="41"/>
  <c r="X156" i="41"/>
  <c r="X171" i="41"/>
  <c r="X142" i="41"/>
  <c r="X150" i="41" s="1"/>
  <c r="W159" i="41"/>
  <c r="X205" i="40"/>
  <c r="X273" i="38"/>
  <c r="X326" i="38"/>
  <c r="X46" i="52" s="1"/>
  <c r="W167" i="41"/>
  <c r="W171" i="38"/>
  <c r="W173" i="38" s="1"/>
  <c r="W175" i="38"/>
  <c r="W239" i="38"/>
  <c r="Z142" i="38"/>
  <c r="Z150" i="38" s="1"/>
  <c r="Z257" i="38"/>
  <c r="Z265" i="38" s="1"/>
  <c r="Z270" i="38"/>
  <c r="Z158" i="38"/>
  <c r="Z230" i="38"/>
  <c r="Z320" i="38" s="1"/>
  <c r="Z162" i="38"/>
  <c r="Z227" i="38"/>
  <c r="Z275" i="38"/>
  <c r="Z212" i="38"/>
  <c r="Z220" i="38" s="1"/>
  <c r="Z352" i="38"/>
  <c r="Z272" i="38"/>
  <c r="Z155" i="38"/>
  <c r="Z157" i="38" s="1"/>
  <c r="Z225" i="38"/>
  <c r="Z226" i="38" s="1"/>
  <c r="Z156" i="38"/>
  <c r="Y203" i="40"/>
  <c r="Y277" i="38"/>
  <c r="Y309" i="38" s="1"/>
  <c r="Y29" i="52" s="1"/>
  <c r="Y156" i="40"/>
  <c r="V169" i="41"/>
  <c r="S126" i="41"/>
  <c r="S127" i="41" s="1"/>
  <c r="S128" i="41" s="1"/>
  <c r="S119" i="41"/>
  <c r="T118" i="41" s="1"/>
  <c r="M126" i="40"/>
  <c r="M127" i="40" s="1"/>
  <c r="J119" i="41"/>
  <c r="J126" i="41"/>
  <c r="P182" i="38"/>
  <c r="P199" i="38" s="1"/>
  <c r="P179" i="38"/>
  <c r="I182" i="38"/>
  <c r="I199" i="38" s="1"/>
  <c r="I179" i="38"/>
  <c r="K117" i="40"/>
  <c r="K129" i="40"/>
  <c r="Y234" i="38"/>
  <c r="X235" i="38"/>
  <c r="M117" i="40"/>
  <c r="M129" i="40"/>
  <c r="I119" i="41"/>
  <c r="I126" i="41"/>
  <c r="I127" i="41" s="1"/>
  <c r="I128" i="41" s="1"/>
  <c r="H117" i="40"/>
  <c r="H129" i="40"/>
  <c r="Q182" i="38"/>
  <c r="Q199" i="38" s="1"/>
  <c r="Q179" i="38"/>
  <c r="H182" i="38"/>
  <c r="H199" i="38" s="1"/>
  <c r="H179" i="38"/>
  <c r="K126" i="40"/>
  <c r="K127" i="40" s="1"/>
  <c r="X169" i="38"/>
  <c r="Y168" i="38"/>
  <c r="O117" i="40"/>
  <c r="O129" i="40"/>
  <c r="F119" i="41"/>
  <c r="F126" i="41"/>
  <c r="H126" i="40"/>
  <c r="H127" i="40" s="1"/>
  <c r="Z292" i="38"/>
  <c r="Z330" i="38"/>
  <c r="D330" i="38" s="1"/>
  <c r="F126" i="40"/>
  <c r="F127" i="40" s="1"/>
  <c r="N182" i="38"/>
  <c r="N199" i="38" s="1"/>
  <c r="N179" i="38"/>
  <c r="F182" i="38"/>
  <c r="F199" i="38" s="1"/>
  <c r="F179" i="38"/>
  <c r="T182" i="38"/>
  <c r="T199" i="38" s="1"/>
  <c r="T179" i="38"/>
  <c r="N126" i="40"/>
  <c r="N127" i="40" s="1"/>
  <c r="W182" i="38"/>
  <c r="W199" i="38" s="1"/>
  <c r="W179" i="38"/>
  <c r="W187" i="38" s="1"/>
  <c r="V187" i="38"/>
  <c r="G126" i="41"/>
  <c r="G119" i="41"/>
  <c r="F129" i="40"/>
  <c r="F117" i="40"/>
  <c r="O182" i="38"/>
  <c r="O199" i="38" s="1"/>
  <c r="O179" i="38"/>
  <c r="G182" i="38"/>
  <c r="G199" i="38" s="1"/>
  <c r="G179" i="38"/>
  <c r="R182" i="38"/>
  <c r="R199" i="38" s="1"/>
  <c r="R179" i="38"/>
  <c r="T130" i="41"/>
  <c r="N117" i="40"/>
  <c r="N129" i="40"/>
  <c r="P130" i="41"/>
  <c r="N126" i="41"/>
  <c r="N119" i="41"/>
  <c r="H119" i="41"/>
  <c r="H126" i="41"/>
  <c r="M182" i="38"/>
  <c r="M199" i="38" s="1"/>
  <c r="M179" i="38"/>
  <c r="S182" i="38"/>
  <c r="S199" i="38" s="1"/>
  <c r="S179" i="38"/>
  <c r="P129" i="40"/>
  <c r="P117" i="40"/>
  <c r="I126" i="40"/>
  <c r="I127" i="40" s="1"/>
  <c r="Z1" i="40"/>
  <c r="Z5" i="40"/>
  <c r="Z7" i="40"/>
  <c r="S11" i="40" s="1"/>
  <c r="Z2" i="40"/>
  <c r="Q127" i="41"/>
  <c r="Q128" i="41" s="1"/>
  <c r="M126" i="41"/>
  <c r="M127" i="41" s="1"/>
  <c r="M128" i="41" s="1"/>
  <c r="M119" i="41"/>
  <c r="Y337" i="38"/>
  <c r="Z53" i="41"/>
  <c r="Z54" i="41" s="1"/>
  <c r="Y54" i="41"/>
  <c r="L182" i="38"/>
  <c r="L199" i="38" s="1"/>
  <c r="L179" i="38"/>
  <c r="U182" i="38"/>
  <c r="U199" i="38" s="1"/>
  <c r="U179" i="38"/>
  <c r="P126" i="40"/>
  <c r="P127" i="40" s="1"/>
  <c r="I129" i="40"/>
  <c r="I131" i="40" s="1"/>
  <c r="I117" i="40"/>
  <c r="Y57" i="40"/>
  <c r="Y171" i="40"/>
  <c r="Y78" i="40"/>
  <c r="Y99" i="40"/>
  <c r="K119" i="41"/>
  <c r="K126" i="41"/>
  <c r="K127" i="41" s="1"/>
  <c r="K128" i="41" s="1"/>
  <c r="Q126" i="40"/>
  <c r="Q127" i="40" s="1"/>
  <c r="R127" i="41"/>
  <c r="R128" i="41" s="1"/>
  <c r="J182" i="38"/>
  <c r="J199" i="38" s="1"/>
  <c r="J179" i="38"/>
  <c r="G129" i="40"/>
  <c r="G117" i="40"/>
  <c r="U119" i="41"/>
  <c r="U126" i="41"/>
  <c r="U127" i="41" s="1"/>
  <c r="U128" i="41" s="1"/>
  <c r="D286" i="38"/>
  <c r="L126" i="41"/>
  <c r="L119" i="41"/>
  <c r="Q129" i="40"/>
  <c r="Q117" i="40"/>
  <c r="Z332" i="38"/>
  <c r="D332" i="38" s="1"/>
  <c r="D287" i="38"/>
  <c r="K182" i="38"/>
  <c r="K199" i="38" s="1"/>
  <c r="K179" i="38"/>
  <c r="G126" i="40"/>
  <c r="G127" i="40" s="1"/>
  <c r="W236" i="38"/>
  <c r="W244" i="38" s="1"/>
  <c r="V247" i="38"/>
  <c r="Q40" i="40"/>
  <c r="S33" i="41"/>
  <c r="S45" i="41"/>
  <c r="S47" i="41" s="1"/>
  <c r="S42" i="41"/>
  <c r="V82" i="40"/>
  <c r="Q104" i="41"/>
  <c r="X58" i="41"/>
  <c r="X79" i="41"/>
  <c r="X100" i="41"/>
  <c r="Q44" i="40"/>
  <c r="Q46" i="40" s="1"/>
  <c r="Q41" i="40"/>
  <c r="Q32" i="40"/>
  <c r="S41" i="41"/>
  <c r="N104" i="41"/>
  <c r="W47" i="42"/>
  <c r="X2" i="42"/>
  <c r="W1" i="42"/>
  <c r="X9" i="41"/>
  <c r="V61" i="40"/>
  <c r="X96" i="40"/>
  <c r="W97" i="40"/>
  <c r="W102" i="40" s="1"/>
  <c r="W107" i="40"/>
  <c r="W109" i="40" s="1"/>
  <c r="J104" i="41"/>
  <c r="T104" i="41"/>
  <c r="V8" i="40"/>
  <c r="W76" i="40"/>
  <c r="W81" i="40" s="1"/>
  <c r="X75" i="40"/>
  <c r="W86" i="40"/>
  <c r="Z7" i="41"/>
  <c r="Y3" i="41"/>
  <c r="Y8" i="41"/>
  <c r="Y6" i="41"/>
  <c r="Y2" i="41"/>
  <c r="V103" i="40"/>
  <c r="R39" i="40"/>
  <c r="R33" i="40"/>
  <c r="V175" i="40"/>
  <c r="V127" i="41"/>
  <c r="V128" i="41" s="1"/>
  <c r="H104" i="41"/>
  <c r="V104" i="41"/>
  <c r="K104" i="41"/>
  <c r="T31" i="40"/>
  <c r="S34" i="40"/>
  <c r="W179" i="40"/>
  <c r="X168" i="40"/>
  <c r="W169" i="40"/>
  <c r="W174" i="40" s="1"/>
  <c r="X55" i="41"/>
  <c r="W66" i="41"/>
  <c r="W68" i="41" s="1"/>
  <c r="O104" i="41"/>
  <c r="S126" i="40"/>
  <c r="S127" i="40" s="1"/>
  <c r="L104" i="41"/>
  <c r="G104" i="41"/>
  <c r="S104" i="41"/>
  <c r="W103" i="41"/>
  <c r="W126" i="41"/>
  <c r="W119" i="41"/>
  <c r="S129" i="40"/>
  <c r="S117" i="40"/>
  <c r="Y339" i="38"/>
  <c r="P104" i="41"/>
  <c r="F104" i="41"/>
  <c r="X3" i="47"/>
  <c r="W5" i="47"/>
  <c r="W4" i="47"/>
  <c r="W6" i="47"/>
  <c r="T125" i="40"/>
  <c r="T118" i="40"/>
  <c r="U35" i="41"/>
  <c r="V32" i="41"/>
  <c r="T40" i="41"/>
  <c r="T34" i="41"/>
  <c r="Y120" i="41"/>
  <c r="X121" i="41"/>
  <c r="M104" i="41"/>
  <c r="U120" i="40"/>
  <c r="V119" i="40"/>
  <c r="W65" i="40"/>
  <c r="W67" i="40" s="1"/>
  <c r="W55" i="40"/>
  <c r="W60" i="40" s="1"/>
  <c r="X54" i="40"/>
  <c r="X244" i="41" l="1"/>
  <c r="X199" i="41"/>
  <c r="X204" i="41"/>
  <c r="Y235" i="40"/>
  <c r="Z22" i="52"/>
  <c r="Z67" i="52" s="1"/>
  <c r="Y198" i="41"/>
  <c r="Y243" i="41" s="1"/>
  <c r="Y247" i="41" s="1"/>
  <c r="Y249" i="41" s="1"/>
  <c r="Y233" i="41"/>
  <c r="Y240" i="40"/>
  <c r="X68" i="52"/>
  <c r="X71" i="52"/>
  <c r="Y28" i="52"/>
  <c r="Y30" i="52" s="1"/>
  <c r="Y23" i="52"/>
  <c r="Y57" i="52"/>
  <c r="D6" i="52"/>
  <c r="X327" i="38"/>
  <c r="X47" i="52"/>
  <c r="Z12" i="52"/>
  <c r="D226" i="41"/>
  <c r="Z234" i="40"/>
  <c r="Z240" i="40" s="1"/>
  <c r="G44" i="42"/>
  <c r="R132" i="41"/>
  <c r="R134" i="41" s="1"/>
  <c r="V132" i="41"/>
  <c r="V134" i="41" s="1"/>
  <c r="P132" i="41"/>
  <c r="P134" i="41" s="1"/>
  <c r="P136" i="41" s="1"/>
  <c r="T132" i="41"/>
  <c r="T134" i="41" s="1"/>
  <c r="T136" i="41" s="1"/>
  <c r="Q132" i="41"/>
  <c r="Q134" i="41" s="1"/>
  <c r="X70" i="38"/>
  <c r="X63" i="38"/>
  <c r="Z55" i="38"/>
  <c r="Z66" i="38" s="1"/>
  <c r="Z68" i="38" s="1"/>
  <c r="Y66" i="38"/>
  <c r="Y68" i="38" s="1"/>
  <c r="W71" i="38"/>
  <c r="W72" i="38"/>
  <c r="W138" i="38"/>
  <c r="R118" i="41"/>
  <c r="K49" i="40"/>
  <c r="Z209" i="40"/>
  <c r="Z241" i="40"/>
  <c r="Z257" i="40"/>
  <c r="I133" i="40"/>
  <c r="I135" i="40" s="1"/>
  <c r="I49" i="40"/>
  <c r="O49" i="40"/>
  <c r="J134" i="40"/>
  <c r="J135" i="40"/>
  <c r="K131" i="40"/>
  <c r="K133" i="40" s="1"/>
  <c r="L130" i="40"/>
  <c r="X173" i="41"/>
  <c r="H43" i="42"/>
  <c r="R50" i="41"/>
  <c r="R51" i="41"/>
  <c r="P50" i="40"/>
  <c r="P49" i="40"/>
  <c r="L50" i="40"/>
  <c r="L49" i="40"/>
  <c r="N49" i="40"/>
  <c r="N50" i="40"/>
  <c r="J49" i="40"/>
  <c r="J50" i="40"/>
  <c r="Y158" i="40"/>
  <c r="Y258" i="40"/>
  <c r="Y259" i="40" s="1"/>
  <c r="D183" i="41"/>
  <c r="O130" i="41"/>
  <c r="O132" i="41" s="1"/>
  <c r="O134" i="41" s="1"/>
  <c r="O118" i="41"/>
  <c r="V180" i="38"/>
  <c r="V205" i="38" s="1"/>
  <c r="Q118" i="41"/>
  <c r="D186" i="41"/>
  <c r="Z188" i="41"/>
  <c r="D181" i="41"/>
  <c r="D182" i="41"/>
  <c r="F43" i="42"/>
  <c r="F44" i="42"/>
  <c r="W18" i="47"/>
  <c r="W19" i="47" s="1"/>
  <c r="W8" i="47" s="1"/>
  <c r="Y324" i="38"/>
  <c r="Y329" i="38"/>
  <c r="Y318" i="38"/>
  <c r="Z294" i="38"/>
  <c r="L11" i="40"/>
  <c r="L10" i="40" s="1"/>
  <c r="M11" i="40"/>
  <c r="M10" i="40" s="1"/>
  <c r="W56" i="41"/>
  <c r="W61" i="41" s="1"/>
  <c r="W62" i="41" s="1"/>
  <c r="D262" i="40"/>
  <c r="X159" i="41"/>
  <c r="U11" i="40"/>
  <c r="U16" i="40" s="1"/>
  <c r="Q56" i="41"/>
  <c r="Q61" i="41" s="1"/>
  <c r="Q62" i="41" s="1"/>
  <c r="S43" i="41"/>
  <c r="S49" i="41" s="1"/>
  <c r="G11" i="40"/>
  <c r="G16" i="40" s="1"/>
  <c r="Z277" i="38"/>
  <c r="Z309" i="38" s="1"/>
  <c r="Z29" i="52" s="1"/>
  <c r="Z325" i="38"/>
  <c r="Z45" i="52" s="1"/>
  <c r="Z271" i="38"/>
  <c r="W169" i="41"/>
  <c r="X167" i="41"/>
  <c r="Z203" i="40"/>
  <c r="Z228" i="38"/>
  <c r="X171" i="38"/>
  <c r="X173" i="38" s="1"/>
  <c r="X239" i="38"/>
  <c r="X175" i="38"/>
  <c r="Z159" i="38"/>
  <c r="Y171" i="41"/>
  <c r="Y162" i="41"/>
  <c r="Z140" i="41"/>
  <c r="Z248" i="41" s="1"/>
  <c r="Y156" i="41"/>
  <c r="Y155" i="41"/>
  <c r="Y166" i="41"/>
  <c r="Y168" i="41"/>
  <c r="Y142" i="41"/>
  <c r="Y150" i="41" s="1"/>
  <c r="Y158" i="41"/>
  <c r="Z156" i="40"/>
  <c r="W176" i="38"/>
  <c r="W177" i="38" s="1"/>
  <c r="W186" i="38" s="1"/>
  <c r="Y205" i="40"/>
  <c r="Y273" i="38"/>
  <c r="Y326" i="38"/>
  <c r="Y46" i="52" s="1"/>
  <c r="Y76" i="41"/>
  <c r="Z75" i="41"/>
  <c r="G14" i="47"/>
  <c r="H14" i="47"/>
  <c r="I14" i="47"/>
  <c r="S16" i="40"/>
  <c r="S17" i="40" s="1"/>
  <c r="S10" i="40"/>
  <c r="I11" i="40"/>
  <c r="L187" i="38"/>
  <c r="L180" i="38"/>
  <c r="M130" i="41"/>
  <c r="M132" i="41" s="1"/>
  <c r="M134" i="41" s="1"/>
  <c r="M118" i="41"/>
  <c r="S187" i="38"/>
  <c r="S180" i="38"/>
  <c r="H118" i="41"/>
  <c r="H130" i="41"/>
  <c r="H132" i="41" s="1"/>
  <c r="I187" i="38"/>
  <c r="I180" i="38"/>
  <c r="J130" i="41"/>
  <c r="J132" i="41" s="1"/>
  <c r="J118" i="41"/>
  <c r="U118" i="41"/>
  <c r="U130" i="41"/>
  <c r="U132" i="41" s="1"/>
  <c r="U134" i="41" s="1"/>
  <c r="O11" i="40"/>
  <c r="F11" i="40"/>
  <c r="J11" i="40"/>
  <c r="T11" i="40"/>
  <c r="N118" i="41"/>
  <c r="N130" i="41"/>
  <c r="N132" i="41" s="1"/>
  <c r="N187" i="38"/>
  <c r="N180" i="38"/>
  <c r="Q187" i="38"/>
  <c r="Q180" i="38"/>
  <c r="Q42" i="40"/>
  <c r="Q48" i="40" s="1"/>
  <c r="P11" i="40"/>
  <c r="J187" i="38"/>
  <c r="J180" i="38"/>
  <c r="K130" i="41"/>
  <c r="K132" i="41" s="1"/>
  <c r="K134" i="41" s="1"/>
  <c r="K118" i="41"/>
  <c r="R56" i="41"/>
  <c r="R61" i="41" s="1"/>
  <c r="R62" i="41" s="1"/>
  <c r="U56" i="41"/>
  <c r="U61" i="41" s="1"/>
  <c r="U62" i="41" s="1"/>
  <c r="T56" i="41"/>
  <c r="T61" i="41" s="1"/>
  <c r="T62" i="41" s="1"/>
  <c r="V56" i="41"/>
  <c r="V61" i="41" s="1"/>
  <c r="V62" i="41" s="1"/>
  <c r="N127" i="41"/>
  <c r="N128" i="41" s="1"/>
  <c r="P187" i="38"/>
  <c r="P180" i="38"/>
  <c r="Q11" i="40"/>
  <c r="F56" i="41"/>
  <c r="F61" i="41" s="1"/>
  <c r="F62" i="41" s="1"/>
  <c r="G56" i="41"/>
  <c r="G61" i="41" s="1"/>
  <c r="G62" i="41" s="1"/>
  <c r="H56" i="41"/>
  <c r="H61" i="41" s="1"/>
  <c r="H62" i="41" s="1"/>
  <c r="J56" i="41"/>
  <c r="J61" i="41" s="1"/>
  <c r="J62" i="41" s="1"/>
  <c r="I56" i="41"/>
  <c r="N56" i="41"/>
  <c r="N61" i="41" s="1"/>
  <c r="N62" i="41" s="1"/>
  <c r="K56" i="41"/>
  <c r="K61" i="41" s="1"/>
  <c r="L56" i="41"/>
  <c r="L61" i="41" s="1"/>
  <c r="L62" i="41" s="1"/>
  <c r="P56" i="41"/>
  <c r="P61" i="41" s="1"/>
  <c r="P62" i="41" s="1"/>
  <c r="O56" i="41"/>
  <c r="O61" i="41" s="1"/>
  <c r="O62" i="41" s="1"/>
  <c r="M56" i="41"/>
  <c r="M61" i="41" s="1"/>
  <c r="M62" i="41" s="1"/>
  <c r="Z171" i="40"/>
  <c r="Z78" i="40"/>
  <c r="Z99" i="40"/>
  <c r="Z57" i="40"/>
  <c r="M187" i="38"/>
  <c r="M180" i="38"/>
  <c r="G118" i="41"/>
  <c r="G130" i="41"/>
  <c r="Z168" i="38"/>
  <c r="Z169" i="38" s="1"/>
  <c r="Y169" i="38"/>
  <c r="H11" i="40"/>
  <c r="W247" i="38"/>
  <c r="X236" i="38"/>
  <c r="X244" i="38" s="1"/>
  <c r="G187" i="38"/>
  <c r="G180" i="38"/>
  <c r="G127" i="41"/>
  <c r="G128" i="41" s="1"/>
  <c r="X179" i="38"/>
  <c r="X187" i="38" s="1"/>
  <c r="X182" i="38"/>
  <c r="X199" i="38" s="1"/>
  <c r="Y235" i="38"/>
  <c r="Z234" i="38"/>
  <c r="Z235" i="38" s="1"/>
  <c r="S118" i="41"/>
  <c r="S130" i="41"/>
  <c r="S132" i="41" s="1"/>
  <c r="S134" i="41" s="1"/>
  <c r="L118" i="41"/>
  <c r="L130" i="41"/>
  <c r="L132" i="41" s="1"/>
  <c r="T187" i="38"/>
  <c r="T180" i="38"/>
  <c r="K11" i="40"/>
  <c r="R11" i="40"/>
  <c r="K187" i="38"/>
  <c r="K180" i="38"/>
  <c r="L127" i="41"/>
  <c r="L128" i="41" s="1"/>
  <c r="U187" i="38"/>
  <c r="U180" i="38"/>
  <c r="O187" i="38"/>
  <c r="O180" i="38"/>
  <c r="V197" i="38"/>
  <c r="F127" i="41"/>
  <c r="F128" i="41" s="1"/>
  <c r="I130" i="41"/>
  <c r="I132" i="41" s="1"/>
  <c r="I134" i="41" s="1"/>
  <c r="I118" i="41"/>
  <c r="S56" i="41"/>
  <c r="S61" i="41" s="1"/>
  <c r="S62" i="41" s="1"/>
  <c r="V118" i="41"/>
  <c r="N11" i="40"/>
  <c r="A7" i="40"/>
  <c r="H127" i="41"/>
  <c r="H128" i="41" s="1"/>
  <c r="R187" i="38"/>
  <c r="R180" i="38"/>
  <c r="F180" i="38"/>
  <c r="F187" i="38"/>
  <c r="Z337" i="38"/>
  <c r="F130" i="41"/>
  <c r="F118" i="41"/>
  <c r="H187" i="38"/>
  <c r="H180" i="38"/>
  <c r="J127" i="41"/>
  <c r="J128" i="41" s="1"/>
  <c r="W32" i="41"/>
  <c r="V35" i="41"/>
  <c r="X4" i="47"/>
  <c r="Y3" i="47"/>
  <c r="X5" i="47"/>
  <c r="X6" i="47"/>
  <c r="X103" i="41"/>
  <c r="W119" i="40"/>
  <c r="V120" i="40"/>
  <c r="W104" i="41"/>
  <c r="U118" i="40"/>
  <c r="U125" i="40"/>
  <c r="X65" i="40"/>
  <c r="X67" i="40" s="1"/>
  <c r="Y54" i="40"/>
  <c r="X55" i="40"/>
  <c r="X60" i="40" s="1"/>
  <c r="U40" i="41"/>
  <c r="U34" i="41"/>
  <c r="R32" i="40"/>
  <c r="R44" i="40"/>
  <c r="R46" i="40" s="1"/>
  <c r="R41" i="40"/>
  <c r="W8" i="40"/>
  <c r="V11" i="40"/>
  <c r="Y9" i="41"/>
  <c r="W61" i="40"/>
  <c r="X119" i="41"/>
  <c r="X126" i="41"/>
  <c r="T129" i="40"/>
  <c r="T117" i="40"/>
  <c r="S33" i="40"/>
  <c r="S39" i="40"/>
  <c r="R40" i="40"/>
  <c r="Z2" i="41"/>
  <c r="Z3" i="41"/>
  <c r="Z6" i="41"/>
  <c r="E27" i="28" s="1"/>
  <c r="E57" i="28" s="1"/>
  <c r="Z8" i="41"/>
  <c r="W12" i="41" s="1"/>
  <c r="Y2" i="42"/>
  <c r="X47" i="42"/>
  <c r="X1" i="42"/>
  <c r="U31" i="40"/>
  <c r="T34" i="40"/>
  <c r="W82" i="40"/>
  <c r="Z120" i="41"/>
  <c r="Z121" i="41" s="1"/>
  <c r="Y121" i="41"/>
  <c r="T126" i="40"/>
  <c r="T127" i="40" s="1"/>
  <c r="Z339" i="38"/>
  <c r="W118" i="41"/>
  <c r="W130" i="41"/>
  <c r="W132" i="41" s="1"/>
  <c r="W175" i="40"/>
  <c r="W103" i="40"/>
  <c r="X66" i="41"/>
  <c r="X68" i="41" s="1"/>
  <c r="X56" i="41"/>
  <c r="X61" i="41" s="1"/>
  <c r="Y55" i="41"/>
  <c r="T33" i="41"/>
  <c r="T45" i="41"/>
  <c r="T47" i="41" s="1"/>
  <c r="T42" i="41"/>
  <c r="T41" i="41"/>
  <c r="W127" i="41"/>
  <c r="W128" i="41" s="1"/>
  <c r="X169" i="40"/>
  <c r="X174" i="40" s="1"/>
  <c r="Y168" i="40"/>
  <c r="X179" i="40"/>
  <c r="Y58" i="41"/>
  <c r="Y100" i="41"/>
  <c r="Y79" i="41"/>
  <c r="X86" i="40"/>
  <c r="Y75" i="40"/>
  <c r="X76" i="40"/>
  <c r="X81" i="40" s="1"/>
  <c r="X107" i="40"/>
  <c r="X109" i="40" s="1"/>
  <c r="Y96" i="40"/>
  <c r="X97" i="40"/>
  <c r="X102" i="40" s="1"/>
  <c r="Y199" i="41" l="1"/>
  <c r="Y204" i="41"/>
  <c r="Y244" i="41"/>
  <c r="Z198" i="41"/>
  <c r="Z243" i="41" s="1"/>
  <c r="Z244" i="41" s="1"/>
  <c r="Z233" i="41"/>
  <c r="P135" i="41"/>
  <c r="Z235" i="40"/>
  <c r="Y71" i="52"/>
  <c r="Y68" i="52"/>
  <c r="Z28" i="52"/>
  <c r="Z30" i="52" s="1"/>
  <c r="Z23" i="52"/>
  <c r="V190" i="38"/>
  <c r="D51" i="52"/>
  <c r="Z57" i="52"/>
  <c r="Y327" i="38"/>
  <c r="Y47" i="52"/>
  <c r="I134" i="40"/>
  <c r="T135" i="41"/>
  <c r="Y63" i="38"/>
  <c r="Y70" i="38"/>
  <c r="Z70" i="38"/>
  <c r="Z63" i="38"/>
  <c r="X71" i="38"/>
  <c r="X72" i="38"/>
  <c r="X138" i="38"/>
  <c r="H134" i="41"/>
  <c r="H136" i="41" s="1"/>
  <c r="H92" i="28"/>
  <c r="G92" i="28"/>
  <c r="D9" i="28"/>
  <c r="F77" i="41"/>
  <c r="F82" i="41" s="1"/>
  <c r="M77" i="41"/>
  <c r="M82" i="41" s="1"/>
  <c r="W134" i="41"/>
  <c r="W135" i="41" s="1"/>
  <c r="E9" i="28"/>
  <c r="L134" i="41"/>
  <c r="L135" i="41" s="1"/>
  <c r="M130" i="40"/>
  <c r="L131" i="40"/>
  <c r="L133" i="40" s="1"/>
  <c r="Y173" i="41"/>
  <c r="K134" i="40"/>
  <c r="K135" i="40"/>
  <c r="S135" i="41"/>
  <c r="S136" i="41"/>
  <c r="Q135" i="41"/>
  <c r="Q136" i="41"/>
  <c r="I61" i="41"/>
  <c r="I62" i="41" s="1"/>
  <c r="I98" i="41"/>
  <c r="I103" i="41" s="1"/>
  <c r="I104" i="41" s="1"/>
  <c r="I67" i="41"/>
  <c r="I68" i="41" s="1"/>
  <c r="N134" i="41"/>
  <c r="O135" i="41"/>
  <c r="O136" i="41"/>
  <c r="R136" i="41"/>
  <c r="R135" i="41"/>
  <c r="V136" i="41"/>
  <c r="V135" i="41"/>
  <c r="J134" i="41"/>
  <c r="M135" i="41"/>
  <c r="M136" i="41"/>
  <c r="I136" i="41"/>
  <c r="I135" i="41"/>
  <c r="K62" i="41"/>
  <c r="K64" i="41" s="1"/>
  <c r="K70" i="41" s="1"/>
  <c r="K136" i="41"/>
  <c r="K135" i="41"/>
  <c r="U136" i="41"/>
  <c r="U135" i="41"/>
  <c r="S51" i="41"/>
  <c r="S50" i="41"/>
  <c r="Q50" i="40"/>
  <c r="Q49" i="40"/>
  <c r="Z158" i="40"/>
  <c r="Z258" i="40"/>
  <c r="Z259" i="40" s="1"/>
  <c r="V183" i="38"/>
  <c r="V189" i="38"/>
  <c r="V192" i="38"/>
  <c r="V194" i="38"/>
  <c r="V195" i="38"/>
  <c r="L16" i="40"/>
  <c r="L17" i="40" s="1"/>
  <c r="V193" i="38"/>
  <c r="V191" i="38"/>
  <c r="M16" i="40"/>
  <c r="M17" i="40" s="1"/>
  <c r="X18" i="47"/>
  <c r="X19" i="47" s="1"/>
  <c r="X8" i="47" s="1"/>
  <c r="F50" i="42"/>
  <c r="H50" i="42"/>
  <c r="G50" i="42"/>
  <c r="Z324" i="38"/>
  <c r="Z329" i="38"/>
  <c r="Z318" i="38"/>
  <c r="T43" i="41"/>
  <c r="T49" i="41" s="1"/>
  <c r="R42" i="40"/>
  <c r="R48" i="40" s="1"/>
  <c r="G10" i="40"/>
  <c r="G18" i="40" s="1"/>
  <c r="U10" i="40"/>
  <c r="U21" i="40" s="1"/>
  <c r="W180" i="38"/>
  <c r="W195" i="38" s="1"/>
  <c r="S237" i="38"/>
  <c r="S242" i="38" s="1"/>
  <c r="U237" i="38"/>
  <c r="U242" i="38" s="1"/>
  <c r="X176" i="38"/>
  <c r="X177" i="38" s="1"/>
  <c r="U77" i="41"/>
  <c r="U82" i="41" s="1"/>
  <c r="U83" i="41" s="1"/>
  <c r="J77" i="41"/>
  <c r="J82" i="41" s="1"/>
  <c r="Q77" i="41"/>
  <c r="Q82" i="41" s="1"/>
  <c r="O77" i="41"/>
  <c r="O82" i="41" s="1"/>
  <c r="H77" i="41"/>
  <c r="H82" i="41" s="1"/>
  <c r="N77" i="41"/>
  <c r="N82" i="41" s="1"/>
  <c r="I77" i="41"/>
  <c r="I82" i="41" s="1"/>
  <c r="T77" i="41"/>
  <c r="T82" i="41" s="1"/>
  <c r="T83" i="41" s="1"/>
  <c r="G77" i="41"/>
  <c r="G82" i="41" s="1"/>
  <c r="P77" i="41"/>
  <c r="P82" i="41" s="1"/>
  <c r="K77" i="41"/>
  <c r="K82" i="41" s="1"/>
  <c r="S77" i="41"/>
  <c r="S82" i="41" s="1"/>
  <c r="R77" i="41"/>
  <c r="R82" i="41" s="1"/>
  <c r="K37" i="28"/>
  <c r="X77" i="41"/>
  <c r="X82" i="41" s="1"/>
  <c r="X83" i="41" s="1"/>
  <c r="X169" i="41"/>
  <c r="Z76" i="41"/>
  <c r="Y77" i="41"/>
  <c r="Y82" i="41" s="1"/>
  <c r="Y83" i="41" s="1"/>
  <c r="Y87" i="41"/>
  <c r="Y157" i="41"/>
  <c r="Y159" i="41" s="1"/>
  <c r="W77" i="41"/>
  <c r="W82" i="41" s="1"/>
  <c r="W83" i="41" s="1"/>
  <c r="Z273" i="38"/>
  <c r="Z326" i="38"/>
  <c r="Z46" i="52" s="1"/>
  <c r="V77" i="41"/>
  <c r="V82" i="41" s="1"/>
  <c r="V83" i="41" s="1"/>
  <c r="Z171" i="41"/>
  <c r="Z158" i="41"/>
  <c r="Z166" i="41"/>
  <c r="Z168" i="41"/>
  <c r="Z142" i="41"/>
  <c r="Z150" i="41" s="1"/>
  <c r="Z155" i="41"/>
  <c r="Z156" i="41"/>
  <c r="Z162" i="41"/>
  <c r="Q237" i="38"/>
  <c r="Q242" i="38" s="1"/>
  <c r="Y167" i="41"/>
  <c r="Y171" i="38"/>
  <c r="Y173" i="38" s="1"/>
  <c r="Y175" i="38"/>
  <c r="Y239" i="38"/>
  <c r="Z205" i="40"/>
  <c r="P10" i="40"/>
  <c r="P16" i="40"/>
  <c r="J16" i="40"/>
  <c r="J17" i="40" s="1"/>
  <c r="J10" i="40"/>
  <c r="L191" i="38"/>
  <c r="L192" i="38"/>
  <c r="L193" i="38"/>
  <c r="L205" i="38"/>
  <c r="L194" i="38"/>
  <c r="L195" i="38"/>
  <c r="L183" i="38"/>
  <c r="L197" i="38"/>
  <c r="L189" i="38"/>
  <c r="L190" i="38"/>
  <c r="K193" i="38"/>
  <c r="K190" i="38"/>
  <c r="K183" i="38"/>
  <c r="K205" i="38"/>
  <c r="K197" i="38"/>
  <c r="K192" i="38"/>
  <c r="K194" i="38"/>
  <c r="K189" i="38"/>
  <c r="K195" i="38"/>
  <c r="K191" i="38"/>
  <c r="L21" i="40"/>
  <c r="L23" i="40" s="1"/>
  <c r="L18" i="40"/>
  <c r="H10" i="40"/>
  <c r="H16" i="40"/>
  <c r="H17" i="40" s="1"/>
  <c r="F10" i="40"/>
  <c r="F16" i="40"/>
  <c r="J195" i="38"/>
  <c r="J192" i="38"/>
  <c r="J190" i="38"/>
  <c r="J183" i="38"/>
  <c r="J189" i="38"/>
  <c r="J191" i="38"/>
  <c r="J197" i="38"/>
  <c r="J194" i="38"/>
  <c r="J193" i="38"/>
  <c r="J205" i="38"/>
  <c r="Q205" i="38"/>
  <c r="Q192" i="38"/>
  <c r="Q191" i="38"/>
  <c r="Q193" i="38"/>
  <c r="Q195" i="38"/>
  <c r="Q190" i="38"/>
  <c r="Q189" i="38"/>
  <c r="Q197" i="38"/>
  <c r="Q183" i="38"/>
  <c r="Q194" i="38"/>
  <c r="O10" i="40"/>
  <c r="O16" i="40"/>
  <c r="M18" i="40"/>
  <c r="M21" i="40"/>
  <c r="M23" i="40" s="1"/>
  <c r="M9" i="40"/>
  <c r="G17" i="40"/>
  <c r="S193" i="38"/>
  <c r="S191" i="38"/>
  <c r="S189" i="38"/>
  <c r="S195" i="38"/>
  <c r="S183" i="38"/>
  <c r="S205" i="38"/>
  <c r="S192" i="38"/>
  <c r="S194" i="38"/>
  <c r="S190" i="38"/>
  <c r="S197" i="38"/>
  <c r="I10" i="40"/>
  <c r="I16" i="40"/>
  <c r="I17" i="40" s="1"/>
  <c r="N16" i="40"/>
  <c r="N10" i="40"/>
  <c r="U192" i="38"/>
  <c r="U194" i="38"/>
  <c r="U191" i="38"/>
  <c r="U205" i="38"/>
  <c r="U189" i="38"/>
  <c r="U195" i="38"/>
  <c r="U193" i="38"/>
  <c r="U190" i="38"/>
  <c r="U183" i="38"/>
  <c r="U197" i="38"/>
  <c r="R16" i="40"/>
  <c r="R17" i="40" s="1"/>
  <c r="R10" i="40"/>
  <c r="S9" i="40" s="1"/>
  <c r="Q10" i="40"/>
  <c r="Q16" i="40"/>
  <c r="S18" i="40"/>
  <c r="S19" i="40" s="1"/>
  <c r="S21" i="40"/>
  <c r="F190" i="38"/>
  <c r="F191" i="38"/>
  <c r="F194" i="38"/>
  <c r="F192" i="38"/>
  <c r="F195" i="38"/>
  <c r="F197" i="38"/>
  <c r="F183" i="38"/>
  <c r="F205" i="38"/>
  <c r="F189" i="38"/>
  <c r="F193" i="38"/>
  <c r="K16" i="40"/>
  <c r="K17" i="40" s="1"/>
  <c r="K10" i="40"/>
  <c r="F237" i="38"/>
  <c r="F242" i="38" s="1"/>
  <c r="F243" i="38" s="1"/>
  <c r="I237" i="38"/>
  <c r="I248" i="38" s="1"/>
  <c r="I249" i="38" s="1"/>
  <c r="G237" i="38"/>
  <c r="G242" i="38" s="1"/>
  <c r="G243" i="38" s="1"/>
  <c r="H237" i="38"/>
  <c r="H242" i="38" s="1"/>
  <c r="H243" i="38" s="1"/>
  <c r="J237" i="38"/>
  <c r="L237" i="38"/>
  <c r="L242" i="38" s="1"/>
  <c r="K237" i="38"/>
  <c r="K242" i="38" s="1"/>
  <c r="K243" i="38" s="1"/>
  <c r="M237" i="38"/>
  <c r="M242" i="38" s="1"/>
  <c r="N237" i="38"/>
  <c r="N242" i="38" s="1"/>
  <c r="O237" i="38"/>
  <c r="O242" i="38" s="1"/>
  <c r="P237" i="38"/>
  <c r="P242" i="38" s="1"/>
  <c r="R237" i="38"/>
  <c r="R242" i="38" s="1"/>
  <c r="X247" i="38"/>
  <c r="X237" i="38"/>
  <c r="X242" i="38" s="1"/>
  <c r="Y236" i="38"/>
  <c r="Y244" i="38" s="1"/>
  <c r="Y182" i="38"/>
  <c r="Y199" i="38" s="1"/>
  <c r="Y179" i="38"/>
  <c r="M205" i="38"/>
  <c r="M189" i="38"/>
  <c r="M183" i="38"/>
  <c r="M191" i="38"/>
  <c r="M190" i="38"/>
  <c r="M193" i="38"/>
  <c r="M197" i="38"/>
  <c r="M195" i="38"/>
  <c r="M194" i="38"/>
  <c r="M192" i="38"/>
  <c r="P193" i="38"/>
  <c r="P183" i="38"/>
  <c r="P189" i="38"/>
  <c r="P197" i="38"/>
  <c r="P192" i="38"/>
  <c r="P195" i="38"/>
  <c r="P190" i="38"/>
  <c r="P191" i="38"/>
  <c r="P194" i="38"/>
  <c r="P205" i="38"/>
  <c r="N191" i="38"/>
  <c r="N205" i="38"/>
  <c r="N193" i="38"/>
  <c r="N190" i="38"/>
  <c r="N189" i="38"/>
  <c r="N195" i="38"/>
  <c r="N192" i="38"/>
  <c r="N183" i="38"/>
  <c r="N194" i="38"/>
  <c r="N197" i="38"/>
  <c r="H183" i="38"/>
  <c r="H192" i="38"/>
  <c r="H197" i="38"/>
  <c r="H194" i="38"/>
  <c r="H189" i="38"/>
  <c r="H190" i="38"/>
  <c r="H191" i="38"/>
  <c r="H195" i="38"/>
  <c r="H193" i="38"/>
  <c r="H205" i="38"/>
  <c r="R192" i="38"/>
  <c r="R197" i="38"/>
  <c r="R205" i="38"/>
  <c r="R193" i="38"/>
  <c r="R191" i="38"/>
  <c r="R189" i="38"/>
  <c r="R190" i="38"/>
  <c r="R194" i="38"/>
  <c r="R183" i="38"/>
  <c r="R195" i="38"/>
  <c r="O190" i="38"/>
  <c r="O192" i="38"/>
  <c r="O197" i="38"/>
  <c r="O195" i="38"/>
  <c r="O194" i="38"/>
  <c r="O183" i="38"/>
  <c r="O205" i="38"/>
  <c r="O189" i="38"/>
  <c r="O193" i="38"/>
  <c r="O191" i="38"/>
  <c r="T193" i="38"/>
  <c r="T205" i="38"/>
  <c r="T189" i="38"/>
  <c r="T197" i="38"/>
  <c r="T190" i="38"/>
  <c r="T194" i="38"/>
  <c r="T192" i="38"/>
  <c r="T191" i="38"/>
  <c r="T183" i="38"/>
  <c r="T195" i="38"/>
  <c r="T237" i="38"/>
  <c r="T242" i="38" s="1"/>
  <c r="V237" i="38"/>
  <c r="V242" i="38" s="1"/>
  <c r="G205" i="38"/>
  <c r="G192" i="38"/>
  <c r="G194" i="38"/>
  <c r="G190" i="38"/>
  <c r="G197" i="38"/>
  <c r="G191" i="38"/>
  <c r="G183" i="38"/>
  <c r="G193" i="38"/>
  <c r="G195" i="38"/>
  <c r="G189" i="38"/>
  <c r="W237" i="38"/>
  <c r="W242" i="38" s="1"/>
  <c r="Z182" i="38"/>
  <c r="Z199" i="38" s="1"/>
  <c r="Z179" i="38"/>
  <c r="Z187" i="38" s="1"/>
  <c r="T16" i="40"/>
  <c r="T17" i="40" s="1"/>
  <c r="T10" i="40"/>
  <c r="I194" i="38"/>
  <c r="I197" i="38"/>
  <c r="I191" i="38"/>
  <c r="I192" i="38"/>
  <c r="I183" i="38"/>
  <c r="I189" i="38"/>
  <c r="I193" i="38"/>
  <c r="I195" i="38"/>
  <c r="I205" i="38"/>
  <c r="I190" i="38"/>
  <c r="X175" i="40"/>
  <c r="Y66" i="41"/>
  <c r="Y68" i="41" s="1"/>
  <c r="Z55" i="41"/>
  <c r="Y56" i="41"/>
  <c r="Y61" i="41" s="1"/>
  <c r="S40" i="40"/>
  <c r="F32" i="28"/>
  <c r="U41" i="41"/>
  <c r="H40" i="28"/>
  <c r="Y126" i="41"/>
  <c r="Y119" i="41"/>
  <c r="U117" i="40"/>
  <c r="U129" i="40"/>
  <c r="X103" i="40"/>
  <c r="X62" i="41"/>
  <c r="F12" i="41"/>
  <c r="H12" i="41"/>
  <c r="I12" i="41"/>
  <c r="I17" i="41" s="1"/>
  <c r="G12" i="41"/>
  <c r="K12" i="41"/>
  <c r="J12" i="41"/>
  <c r="A8" i="41"/>
  <c r="N12" i="41"/>
  <c r="L12" i="41"/>
  <c r="M12" i="41"/>
  <c r="P12" i="41"/>
  <c r="O12" i="41"/>
  <c r="R12" i="41"/>
  <c r="Q12" i="41"/>
  <c r="T12" i="41"/>
  <c r="U12" i="41"/>
  <c r="S12" i="41"/>
  <c r="S32" i="40"/>
  <c r="S44" i="40"/>
  <c r="S46" i="40" s="1"/>
  <c r="S41" i="40"/>
  <c r="V125" i="40"/>
  <c r="V118" i="40"/>
  <c r="Y4" i="47"/>
  <c r="Z3" i="47"/>
  <c r="Y5" i="47"/>
  <c r="Y6" i="47"/>
  <c r="W11" i="41"/>
  <c r="W17" i="41"/>
  <c r="T39" i="40"/>
  <c r="T33" i="40"/>
  <c r="G78" i="28"/>
  <c r="D35" i="28"/>
  <c r="X61" i="40"/>
  <c r="X119" i="40"/>
  <c r="W120" i="40"/>
  <c r="U45" i="41"/>
  <c r="U47" i="41" s="1"/>
  <c r="U33" i="41"/>
  <c r="U42" i="41"/>
  <c r="Z96" i="40"/>
  <c r="Y97" i="40"/>
  <c r="Y102" i="40" s="1"/>
  <c r="Y107" i="40"/>
  <c r="Y109" i="40" s="1"/>
  <c r="V31" i="40"/>
  <c r="U34" i="40"/>
  <c r="H95" i="28"/>
  <c r="X127" i="41"/>
  <c r="X128" i="41" s="1"/>
  <c r="X12" i="41"/>
  <c r="J41" i="28"/>
  <c r="Y65" i="40"/>
  <c r="Y67" i="40" s="1"/>
  <c r="Y55" i="40"/>
  <c r="Y60" i="40" s="1"/>
  <c r="Z54" i="40"/>
  <c r="U17" i="40"/>
  <c r="X82" i="40"/>
  <c r="N39" i="28"/>
  <c r="Z79" i="41"/>
  <c r="Z100" i="41"/>
  <c r="Z58" i="41"/>
  <c r="X118" i="41"/>
  <c r="X130" i="41"/>
  <c r="X132" i="41" s="1"/>
  <c r="Z9" i="41"/>
  <c r="Z12" i="41" s="1"/>
  <c r="Y12" i="41"/>
  <c r="V16" i="40"/>
  <c r="V10" i="40"/>
  <c r="V12" i="41"/>
  <c r="X104" i="41"/>
  <c r="V34" i="41"/>
  <c r="V40" i="41"/>
  <c r="U126" i="40"/>
  <c r="U127" i="40" s="1"/>
  <c r="Z168" i="40"/>
  <c r="Y169" i="40"/>
  <c r="Y174" i="40" s="1"/>
  <c r="Y179" i="40"/>
  <c r="Z126" i="41"/>
  <c r="Z119" i="41"/>
  <c r="Y86" i="40"/>
  <c r="Z75" i="40"/>
  <c r="Y76" i="40"/>
  <c r="Y81" i="40" s="1"/>
  <c r="Z2" i="42"/>
  <c r="Y47" i="42"/>
  <c r="Y1" i="42"/>
  <c r="J35" i="28"/>
  <c r="G40" i="28"/>
  <c r="W11" i="40"/>
  <c r="X8" i="40"/>
  <c r="K88" i="28"/>
  <c r="K102" i="28" s="1"/>
  <c r="Y103" i="41"/>
  <c r="X32" i="41"/>
  <c r="W35" i="41"/>
  <c r="Z199" i="41" l="1"/>
  <c r="Z204" i="41"/>
  <c r="Z247" i="41"/>
  <c r="Z249" i="41" s="1"/>
  <c r="Z71" i="52"/>
  <c r="Z68" i="52"/>
  <c r="Z327" i="38"/>
  <c r="Z47" i="52"/>
  <c r="L19" i="40"/>
  <c r="L25" i="40" s="1"/>
  <c r="Z71" i="38"/>
  <c r="Z72" i="38"/>
  <c r="Z138" i="38"/>
  <c r="Y71" i="38"/>
  <c r="Y72" i="38"/>
  <c r="Y138" i="38"/>
  <c r="W136" i="41"/>
  <c r="L136" i="41"/>
  <c r="N130" i="40"/>
  <c r="M131" i="40"/>
  <c r="M133" i="40" s="1"/>
  <c r="M19" i="40"/>
  <c r="M25" i="40" s="1"/>
  <c r="M26" i="40" s="1"/>
  <c r="J242" i="38"/>
  <c r="J243" i="38" s="1"/>
  <c r="J248" i="38"/>
  <c r="Z173" i="41"/>
  <c r="L135" i="40"/>
  <c r="L134" i="40"/>
  <c r="N136" i="41"/>
  <c r="N135" i="41"/>
  <c r="J136" i="41"/>
  <c r="J135" i="41"/>
  <c r="X134" i="41"/>
  <c r="K72" i="41"/>
  <c r="K71" i="41"/>
  <c r="R50" i="40"/>
  <c r="R49" i="40"/>
  <c r="T50" i="41"/>
  <c r="T51" i="41"/>
  <c r="P243" i="38"/>
  <c r="P245" i="38" s="1"/>
  <c r="X243" i="38"/>
  <c r="X245" i="38" s="1"/>
  <c r="O243" i="38"/>
  <c r="O245" i="38" s="1"/>
  <c r="L243" i="38"/>
  <c r="L245" i="38" s="1"/>
  <c r="I242" i="38"/>
  <c r="I243" i="38" s="1"/>
  <c r="U243" i="38"/>
  <c r="U245" i="38" s="1"/>
  <c r="V243" i="38"/>
  <c r="V245" i="38" s="1"/>
  <c r="N243" i="38"/>
  <c r="N245" i="38" s="1"/>
  <c r="Q243" i="38"/>
  <c r="Q245" i="38" s="1"/>
  <c r="S243" i="38"/>
  <c r="S245" i="38" s="1"/>
  <c r="W243" i="38"/>
  <c r="W245" i="38" s="1"/>
  <c r="T243" i="38"/>
  <c r="T245" i="38" s="1"/>
  <c r="R243" i="38"/>
  <c r="R245" i="38" s="1"/>
  <c r="M243" i="38"/>
  <c r="M245" i="38" s="1"/>
  <c r="W194" i="38"/>
  <c r="W183" i="38"/>
  <c r="W193" i="38"/>
  <c r="W191" i="38"/>
  <c r="W189" i="38"/>
  <c r="W197" i="38"/>
  <c r="W190" i="38"/>
  <c r="W205" i="38"/>
  <c r="W192" i="38"/>
  <c r="Y18" i="47"/>
  <c r="Y19" i="47" s="1"/>
  <c r="Y8" i="47" s="1"/>
  <c r="U18" i="40"/>
  <c r="U9" i="40"/>
  <c r="G44" i="28"/>
  <c r="U43" i="41"/>
  <c r="U49" i="41" s="1"/>
  <c r="L47" i="28"/>
  <c r="E99" i="28"/>
  <c r="M35" i="28"/>
  <c r="L38" i="28"/>
  <c r="L88" i="28"/>
  <c r="L102" i="28" s="1"/>
  <c r="G21" i="40"/>
  <c r="G9" i="40"/>
  <c r="L95" i="28"/>
  <c r="E41" i="28"/>
  <c r="M42" i="28"/>
  <c r="I97" i="28"/>
  <c r="N88" i="28"/>
  <c r="N102" i="28" s="1"/>
  <c r="N51" i="28"/>
  <c r="N60" i="28" s="1"/>
  <c r="J38" i="28"/>
  <c r="J98" i="28"/>
  <c r="H98" i="28"/>
  <c r="H45" i="28"/>
  <c r="F87" i="28"/>
  <c r="F101" i="28" s="1"/>
  <c r="N38" i="28"/>
  <c r="I98" i="28"/>
  <c r="D56" i="28"/>
  <c r="M45" i="28"/>
  <c r="L44" i="28"/>
  <c r="H97" i="28"/>
  <c r="F78" i="28"/>
  <c r="I78" i="28"/>
  <c r="I99" i="28"/>
  <c r="I35" i="28"/>
  <c r="L40" i="28"/>
  <c r="D37" i="28"/>
  <c r="F35" i="28"/>
  <c r="J99" i="28"/>
  <c r="G38" i="28"/>
  <c r="D46" i="28"/>
  <c r="J46" i="28"/>
  <c r="E92" i="28"/>
  <c r="K46" i="28"/>
  <c r="L87" i="28"/>
  <c r="L101" i="28" s="1"/>
  <c r="H37" i="28"/>
  <c r="G98" i="28"/>
  <c r="I42" i="28"/>
  <c r="I95" i="28"/>
  <c r="G87" i="28"/>
  <c r="G101" i="28" s="1"/>
  <c r="N45" i="28"/>
  <c r="G95" i="28"/>
  <c r="J45" i="28"/>
  <c r="H41" i="28"/>
  <c r="N47" i="28"/>
  <c r="D32" i="28"/>
  <c r="M47" i="28"/>
  <c r="E40" i="28"/>
  <c r="N87" i="28"/>
  <c r="N101" i="28" s="1"/>
  <c r="N78" i="28"/>
  <c r="E46" i="28"/>
  <c r="M39" i="28"/>
  <c r="G42" i="28"/>
  <c r="F39" i="28"/>
  <c r="I44" i="28"/>
  <c r="N23" i="28"/>
  <c r="E39" i="28"/>
  <c r="D42" i="28"/>
  <c r="N35" i="28"/>
  <c r="I32" i="28"/>
  <c r="M40" i="28"/>
  <c r="J87" i="28"/>
  <c r="J101" i="28" s="1"/>
  <c r="J92" i="28"/>
  <c r="E37" i="28"/>
  <c r="M23" i="28"/>
  <c r="I87" i="28"/>
  <c r="I101" i="28" s="1"/>
  <c r="E32" i="28"/>
  <c r="E42" i="28"/>
  <c r="N98" i="28"/>
  <c r="H46" i="28"/>
  <c r="K95" i="28"/>
  <c r="G37" i="28"/>
  <c r="F57" i="28"/>
  <c r="H78" i="28"/>
  <c r="G41" i="28"/>
  <c r="M87" i="28"/>
  <c r="M101" i="28" s="1"/>
  <c r="K99" i="28"/>
  <c r="M78" i="28"/>
  <c r="G19" i="40"/>
  <c r="Y169" i="41"/>
  <c r="X180" i="38"/>
  <c r="X186" i="38"/>
  <c r="Z167" i="41"/>
  <c r="Z169" i="41" s="1"/>
  <c r="R83" i="41"/>
  <c r="N83" i="41"/>
  <c r="H83" i="41"/>
  <c r="Y176" i="38"/>
  <c r="Y177" i="38" s="1"/>
  <c r="Y186" i="38" s="1"/>
  <c r="S83" i="41"/>
  <c r="O83" i="41"/>
  <c r="Z87" i="41"/>
  <c r="Z77" i="41"/>
  <c r="Z82" i="41" s="1"/>
  <c r="Z83" i="41" s="1"/>
  <c r="K83" i="41"/>
  <c r="F83" i="41"/>
  <c r="Z171" i="38"/>
  <c r="Z173" i="38" s="1"/>
  <c r="Z239" i="38"/>
  <c r="Z175" i="38"/>
  <c r="P83" i="41"/>
  <c r="Q83" i="41"/>
  <c r="Z157" i="41"/>
  <c r="Z159" i="41" s="1"/>
  <c r="M97" i="28"/>
  <c r="G46" i="28"/>
  <c r="I38" i="28"/>
  <c r="N99" i="28"/>
  <c r="L32" i="28"/>
  <c r="F42" i="28"/>
  <c r="F88" i="28"/>
  <c r="F102" i="28" s="1"/>
  <c r="J42" i="28"/>
  <c r="G39" i="28"/>
  <c r="H88" i="28"/>
  <c r="H102" i="28" s="1"/>
  <c r="D40" i="28"/>
  <c r="E88" i="28"/>
  <c r="E102" i="28" s="1"/>
  <c r="F97" i="28"/>
  <c r="M95" i="28"/>
  <c r="D41" i="28"/>
  <c r="L46" i="28"/>
  <c r="L97" i="28"/>
  <c r="I40" i="28"/>
  <c r="K39" i="28"/>
  <c r="L39" i="28"/>
  <c r="J40" i="28"/>
  <c r="M99" i="28"/>
  <c r="F99" i="28"/>
  <c r="E98" i="28"/>
  <c r="K44" i="28"/>
  <c r="H35" i="28"/>
  <c r="J95" i="28"/>
  <c r="M51" i="28"/>
  <c r="M60" i="28" s="1"/>
  <c r="K78" i="28"/>
  <c r="H42" i="28"/>
  <c r="D44" i="28"/>
  <c r="L99" i="28"/>
  <c r="H39" i="28"/>
  <c r="M44" i="28"/>
  <c r="E97" i="28"/>
  <c r="I88" i="28"/>
  <c r="I102" i="28" s="1"/>
  <c r="K42" i="28"/>
  <c r="J39" i="28"/>
  <c r="M41" i="28"/>
  <c r="F38" i="28"/>
  <c r="M88" i="28"/>
  <c r="M102" i="28" s="1"/>
  <c r="N32" i="28"/>
  <c r="N42" i="28"/>
  <c r="K97" i="28"/>
  <c r="J78" i="28"/>
  <c r="L98" i="28"/>
  <c r="I41" i="28"/>
  <c r="N97" i="28"/>
  <c r="N41" i="28"/>
  <c r="M92" i="28"/>
  <c r="J88" i="28"/>
  <c r="J102" i="28" s="1"/>
  <c r="K92" i="28"/>
  <c r="M32" i="28"/>
  <c r="E95" i="28"/>
  <c r="E44" i="28"/>
  <c r="D57" i="28"/>
  <c r="K47" i="28"/>
  <c r="N37" i="28"/>
  <c r="H32" i="28"/>
  <c r="L42" i="28"/>
  <c r="I39" i="28"/>
  <c r="M46" i="28"/>
  <c r="K51" i="28"/>
  <c r="K60" i="28" s="1"/>
  <c r="K87" i="28"/>
  <c r="K101" i="28" s="1"/>
  <c r="L78" i="28"/>
  <c r="J97" i="28"/>
  <c r="D39" i="28"/>
  <c r="G35" i="28"/>
  <c r="I92" i="28"/>
  <c r="F44" i="28"/>
  <c r="N44" i="28"/>
  <c r="L92" i="28"/>
  <c r="G57" i="28"/>
  <c r="E78" i="28"/>
  <c r="E35" i="28"/>
  <c r="G32" i="28"/>
  <c r="K32" i="28"/>
  <c r="E38" i="28"/>
  <c r="I46" i="28"/>
  <c r="M98" i="28"/>
  <c r="I37" i="28"/>
  <c r="I45" i="28"/>
  <c r="F37" i="28"/>
  <c r="N92" i="28"/>
  <c r="N95" i="28"/>
  <c r="H38" i="28"/>
  <c r="G45" i="28"/>
  <c r="F46" i="28"/>
  <c r="F95" i="28"/>
  <c r="K98" i="28"/>
  <c r="G88" i="28"/>
  <c r="G102" i="28" s="1"/>
  <c r="K45" i="28"/>
  <c r="K41" i="28"/>
  <c r="F45" i="28"/>
  <c r="D45" i="28"/>
  <c r="L35" i="28"/>
  <c r="L41" i="28"/>
  <c r="L37" i="28"/>
  <c r="N40" i="28"/>
  <c r="F92" i="28"/>
  <c r="M38" i="28"/>
  <c r="L51" i="28"/>
  <c r="L60" i="28" s="1"/>
  <c r="K40" i="28"/>
  <c r="F98" i="28"/>
  <c r="M37" i="28"/>
  <c r="J44" i="28"/>
  <c r="D38" i="28"/>
  <c r="L45" i="28"/>
  <c r="K38" i="28"/>
  <c r="J37" i="28"/>
  <c r="F40" i="28"/>
  <c r="H87" i="28"/>
  <c r="H101" i="28" s="1"/>
  <c r="K35" i="28"/>
  <c r="E45" i="28"/>
  <c r="E87" i="28"/>
  <c r="E101" i="28" s="1"/>
  <c r="N46" i="28"/>
  <c r="H44" i="28"/>
  <c r="F41" i="28"/>
  <c r="G97" i="28"/>
  <c r="G83" i="41"/>
  <c r="J83" i="41"/>
  <c r="M83" i="41"/>
  <c r="U19" i="40"/>
  <c r="I83" i="41"/>
  <c r="Y187" i="38"/>
  <c r="Q17" i="40"/>
  <c r="O17" i="40"/>
  <c r="P17" i="40"/>
  <c r="Q21" i="40"/>
  <c r="Q9" i="40"/>
  <c r="Q18" i="40"/>
  <c r="I21" i="40"/>
  <c r="I23" i="40" s="1"/>
  <c r="I18" i="40"/>
  <c r="I19" i="40" s="1"/>
  <c r="I9" i="40"/>
  <c r="O21" i="40"/>
  <c r="O9" i="40"/>
  <c r="O18" i="40"/>
  <c r="H9" i="40"/>
  <c r="H18" i="40"/>
  <c r="H19" i="40" s="1"/>
  <c r="H21" i="40"/>
  <c r="P9" i="40"/>
  <c r="P18" i="40"/>
  <c r="P21" i="40"/>
  <c r="Y247" i="38"/>
  <c r="Y237" i="38"/>
  <c r="Y242" i="38" s="1"/>
  <c r="Y243" i="38" s="1"/>
  <c r="Z236" i="38"/>
  <c r="Z244" i="38" s="1"/>
  <c r="K9" i="40"/>
  <c r="K21" i="40"/>
  <c r="K23" i="40" s="1"/>
  <c r="K18" i="40"/>
  <c r="K19" i="40" s="1"/>
  <c r="F17" i="40"/>
  <c r="N9" i="40"/>
  <c r="N18" i="40"/>
  <c r="N21" i="40"/>
  <c r="F18" i="40"/>
  <c r="F9" i="40"/>
  <c r="F21" i="40"/>
  <c r="L9" i="40"/>
  <c r="N17" i="40"/>
  <c r="R21" i="40"/>
  <c r="R18" i="40"/>
  <c r="R19" i="40" s="1"/>
  <c r="R9" i="40"/>
  <c r="T21" i="40"/>
  <c r="T18" i="40"/>
  <c r="T19" i="40" s="1"/>
  <c r="T9" i="40"/>
  <c r="J18" i="40"/>
  <c r="J19" i="40" s="1"/>
  <c r="J21" i="40"/>
  <c r="J23" i="40" s="1"/>
  <c r="J9" i="40"/>
  <c r="S42" i="40"/>
  <c r="S48" i="40" s="1"/>
  <c r="W18" i="41"/>
  <c r="U17" i="41"/>
  <c r="U11" i="41"/>
  <c r="N17" i="41"/>
  <c r="N11" i="41"/>
  <c r="Y62" i="41"/>
  <c r="Z107" i="40"/>
  <c r="Z109" i="40" s="1"/>
  <c r="Z97" i="40"/>
  <c r="Z102" i="40" s="1"/>
  <c r="Z127" i="41"/>
  <c r="Z128" i="41" s="1"/>
  <c r="U33" i="40"/>
  <c r="U39" i="40"/>
  <c r="T41" i="40"/>
  <c r="T44" i="40"/>
  <c r="T46" i="40" s="1"/>
  <c r="T32" i="40"/>
  <c r="W19" i="41"/>
  <c r="W22" i="41"/>
  <c r="W24" i="41" s="1"/>
  <c r="T11" i="41"/>
  <c r="T17" i="41"/>
  <c r="Z56" i="41"/>
  <c r="Z61" i="41" s="1"/>
  <c r="Z66" i="41"/>
  <c r="Z68" i="41" s="1"/>
  <c r="X11" i="41"/>
  <c r="X17" i="41"/>
  <c r="W31" i="40"/>
  <c r="V34" i="40"/>
  <c r="W125" i="40"/>
  <c r="W118" i="40"/>
  <c r="T40" i="40"/>
  <c r="Q17" i="41"/>
  <c r="Q11" i="41"/>
  <c r="J17" i="41"/>
  <c r="J11" i="41"/>
  <c r="Y118" i="41"/>
  <c r="Y130" i="41"/>
  <c r="Y132" i="41" s="1"/>
  <c r="S17" i="41"/>
  <c r="S11" i="41"/>
  <c r="Z130" i="41"/>
  <c r="Z132" i="41" s="1"/>
  <c r="Z118" i="41"/>
  <c r="Y104" i="41"/>
  <c r="Y82" i="40"/>
  <c r="Y8" i="40"/>
  <c r="X11" i="40"/>
  <c r="Z47" i="42"/>
  <c r="Z1" i="42"/>
  <c r="Z76" i="40"/>
  <c r="Z81" i="40" s="1"/>
  <c r="Z86" i="40"/>
  <c r="Y11" i="41"/>
  <c r="Y17" i="41"/>
  <c r="Y119" i="40"/>
  <c r="X120" i="40"/>
  <c r="AA3" i="47"/>
  <c r="Z5" i="47"/>
  <c r="Z6" i="47"/>
  <c r="Z4" i="47"/>
  <c r="R17" i="41"/>
  <c r="R11" i="41"/>
  <c r="K11" i="41"/>
  <c r="K17" i="41"/>
  <c r="Y127" i="41"/>
  <c r="Y128" i="41" s="1"/>
  <c r="Z103" i="41"/>
  <c r="V17" i="41"/>
  <c r="V11" i="41"/>
  <c r="W10" i="41" s="1"/>
  <c r="W10" i="40"/>
  <c r="W16" i="40"/>
  <c r="Z17" i="41"/>
  <c r="Z11" i="41"/>
  <c r="V129" i="40"/>
  <c r="V117" i="40"/>
  <c r="O11" i="41"/>
  <c r="O17" i="41"/>
  <c r="G17" i="41"/>
  <c r="G11" i="41"/>
  <c r="F11" i="41"/>
  <c r="F17" i="41"/>
  <c r="V41" i="41"/>
  <c r="W40" i="41"/>
  <c r="W34" i="41"/>
  <c r="Y175" i="40"/>
  <c r="V45" i="41"/>
  <c r="V47" i="41" s="1"/>
  <c r="V33" i="41"/>
  <c r="V42" i="41"/>
  <c r="V126" i="40"/>
  <c r="V127" i="40" s="1"/>
  <c r="P17" i="41"/>
  <c r="P11" i="41"/>
  <c r="I11" i="41"/>
  <c r="V17" i="40"/>
  <c r="Y61" i="40"/>
  <c r="L17" i="41"/>
  <c r="L11" i="41"/>
  <c r="X35" i="41"/>
  <c r="Y32" i="41"/>
  <c r="Z179" i="40"/>
  <c r="Z169" i="40"/>
  <c r="Z174" i="40" s="1"/>
  <c r="V21" i="40"/>
  <c r="V9" i="40"/>
  <c r="V18" i="40"/>
  <c r="Z65" i="40"/>
  <c r="Z67" i="40" s="1"/>
  <c r="Z55" i="40"/>
  <c r="Z60" i="40" s="1"/>
  <c r="Y103" i="40"/>
  <c r="M17" i="41"/>
  <c r="M11" i="41"/>
  <c r="H17" i="41"/>
  <c r="H11" i="41"/>
  <c r="M27" i="40" l="1"/>
  <c r="G105" i="28"/>
  <c r="Y134" i="41"/>
  <c r="Y136" i="41" s="1"/>
  <c r="J105" i="28"/>
  <c r="E105" i="28"/>
  <c r="H105" i="28"/>
  <c r="N105" i="28"/>
  <c r="I105" i="28"/>
  <c r="L105" i="28"/>
  <c r="M105" i="28"/>
  <c r="F105" i="28"/>
  <c r="K105" i="28"/>
  <c r="M134" i="40"/>
  <c r="M135" i="40"/>
  <c r="K248" i="38"/>
  <c r="J249" i="38"/>
  <c r="O130" i="40"/>
  <c r="N131" i="40"/>
  <c r="N133" i="40" s="1"/>
  <c r="Y135" i="41"/>
  <c r="Z134" i="41"/>
  <c r="X135" i="41"/>
  <c r="X136" i="41"/>
  <c r="S50" i="40"/>
  <c r="S49" i="40"/>
  <c r="U50" i="41"/>
  <c r="U51" i="41"/>
  <c r="L27" i="40"/>
  <c r="L26" i="40"/>
  <c r="J25" i="40"/>
  <c r="K25" i="40"/>
  <c r="I25" i="40"/>
  <c r="Y245" i="38"/>
  <c r="Z18" i="47"/>
  <c r="Z19" i="47" s="1"/>
  <c r="Z8" i="47" s="1"/>
  <c r="Y180" i="38"/>
  <c r="Y205" i="38" s="1"/>
  <c r="N19" i="40"/>
  <c r="O19" i="40"/>
  <c r="F19" i="40"/>
  <c r="Q19" i="40"/>
  <c r="M48" i="28"/>
  <c r="N48" i="28"/>
  <c r="L48" i="28"/>
  <c r="T42" i="40"/>
  <c r="T48" i="40" s="1"/>
  <c r="K48" i="28"/>
  <c r="X205" i="38"/>
  <c r="X193" i="38"/>
  <c r="X194" i="38"/>
  <c r="X190" i="38"/>
  <c r="X195" i="38"/>
  <c r="X192" i="38"/>
  <c r="X189" i="38"/>
  <c r="X183" i="38"/>
  <c r="X197" i="38"/>
  <c r="X191" i="38"/>
  <c r="P19" i="40"/>
  <c r="V19" i="40"/>
  <c r="Z176" i="38"/>
  <c r="Z177" i="38" s="1"/>
  <c r="W20" i="41"/>
  <c r="W26" i="41" s="1"/>
  <c r="Z247" i="38"/>
  <c r="Z237" i="38"/>
  <c r="Z242" i="38" s="1"/>
  <c r="Z243" i="38" s="1"/>
  <c r="V43" i="41"/>
  <c r="V49" i="41" s="1"/>
  <c r="F18" i="41"/>
  <c r="X10" i="40"/>
  <c r="X16" i="40"/>
  <c r="Q10" i="41"/>
  <c r="Q19" i="41"/>
  <c r="Q22" i="41"/>
  <c r="Q24" i="41" s="1"/>
  <c r="L18" i="41"/>
  <c r="Z82" i="40"/>
  <c r="Y11" i="40"/>
  <c r="Z8" i="40"/>
  <c r="Z11" i="40" s="1"/>
  <c r="Q18" i="41"/>
  <c r="V33" i="40"/>
  <c r="V39" i="40"/>
  <c r="H10" i="41"/>
  <c r="H19" i="41"/>
  <c r="H22" i="41"/>
  <c r="H24" i="41" s="1"/>
  <c r="Z22" i="41"/>
  <c r="Z24" i="41" s="1"/>
  <c r="Z10" i="41"/>
  <c r="Z19" i="41"/>
  <c r="M10" i="41"/>
  <c r="M19" i="41"/>
  <c r="M22" i="41"/>
  <c r="M24" i="41" s="1"/>
  <c r="X31" i="40"/>
  <c r="W34" i="40"/>
  <c r="Z62" i="41"/>
  <c r="T18" i="41"/>
  <c r="N10" i="41"/>
  <c r="N19" i="41"/>
  <c r="N22" i="41"/>
  <c r="N24" i="41" s="1"/>
  <c r="V18" i="41"/>
  <c r="Z119" i="40"/>
  <c r="Z120" i="40" s="1"/>
  <c r="Y120" i="40"/>
  <c r="J18" i="41"/>
  <c r="Z61" i="40"/>
  <c r="I18" i="41"/>
  <c r="Z18" i="41"/>
  <c r="M18" i="41"/>
  <c r="Y35" i="41"/>
  <c r="Z32" i="41"/>
  <c r="Z35" i="41" s="1"/>
  <c r="I19" i="41"/>
  <c r="I22" i="41"/>
  <c r="I24" i="41" s="1"/>
  <c r="I10" i="41"/>
  <c r="W33" i="41"/>
  <c r="W42" i="41"/>
  <c r="W45" i="41"/>
  <c r="W47" i="41" s="1"/>
  <c r="G19" i="41"/>
  <c r="G22" i="41"/>
  <c r="G24" i="41" s="1"/>
  <c r="G10" i="41"/>
  <c r="K18" i="41"/>
  <c r="S19" i="41"/>
  <c r="S22" i="41"/>
  <c r="S24" i="41" s="1"/>
  <c r="S10" i="41"/>
  <c r="X18" i="41"/>
  <c r="T19" i="41"/>
  <c r="T10" i="41"/>
  <c r="T22" i="41"/>
  <c r="T24" i="41" s="1"/>
  <c r="N18" i="41"/>
  <c r="Z175" i="40"/>
  <c r="Z104" i="41"/>
  <c r="X40" i="41"/>
  <c r="X34" i="41"/>
  <c r="P10" i="41"/>
  <c r="P19" i="41"/>
  <c r="P22" i="41"/>
  <c r="P24" i="41" s="1"/>
  <c r="W41" i="41"/>
  <c r="G18" i="41"/>
  <c r="W17" i="40"/>
  <c r="K19" i="41"/>
  <c r="K22" i="41"/>
  <c r="K24" i="41" s="1"/>
  <c r="K10" i="41"/>
  <c r="Y18" i="41"/>
  <c r="S18" i="41"/>
  <c r="X19" i="41"/>
  <c r="X10" i="41"/>
  <c r="X22" i="41"/>
  <c r="X24" i="41" s="1"/>
  <c r="U40" i="40"/>
  <c r="U19" i="41"/>
  <c r="U22" i="41"/>
  <c r="U24" i="41" s="1"/>
  <c r="U10" i="41"/>
  <c r="H18" i="41"/>
  <c r="P18" i="41"/>
  <c r="O18" i="41"/>
  <c r="W9" i="40"/>
  <c r="W18" i="40"/>
  <c r="W21" i="40"/>
  <c r="R10" i="41"/>
  <c r="R22" i="41"/>
  <c r="R24" i="41" s="1"/>
  <c r="R19" i="41"/>
  <c r="AA4" i="47"/>
  <c r="AB3" i="47"/>
  <c r="AA5" i="47"/>
  <c r="AA6" i="47"/>
  <c r="Y22" i="41"/>
  <c r="Y24" i="41" s="1"/>
  <c r="Y10" i="41"/>
  <c r="Y19" i="41"/>
  <c r="W129" i="40"/>
  <c r="W117" i="40"/>
  <c r="U32" i="40"/>
  <c r="U44" i="40"/>
  <c r="U46" i="40" s="1"/>
  <c r="U41" i="40"/>
  <c r="Z103" i="40"/>
  <c r="U18" i="41"/>
  <c r="F22" i="41"/>
  <c r="F24" i="41" s="1"/>
  <c r="F10" i="41"/>
  <c r="F19" i="41"/>
  <c r="L10" i="41"/>
  <c r="L19" i="41"/>
  <c r="L22" i="41"/>
  <c r="L24" i="41" s="1"/>
  <c r="O10" i="41"/>
  <c r="O22" i="41"/>
  <c r="O24" i="41" s="1"/>
  <c r="O19" i="41"/>
  <c r="V10" i="41"/>
  <c r="V22" i="41"/>
  <c r="V24" i="41" s="1"/>
  <c r="V19" i="41"/>
  <c r="R18" i="41"/>
  <c r="X125" i="40"/>
  <c r="X118" i="40"/>
  <c r="J22" i="41"/>
  <c r="J24" i="41" s="1"/>
  <c r="J10" i="41"/>
  <c r="J19" i="41"/>
  <c r="W126" i="40"/>
  <c r="W127" i="40" s="1"/>
  <c r="N135" i="40" l="1"/>
  <c r="N134" i="40"/>
  <c r="P130" i="40"/>
  <c r="O131" i="40"/>
  <c r="O133" i="40" s="1"/>
  <c r="K249" i="38"/>
  <c r="L248" i="38"/>
  <c r="Z135" i="41"/>
  <c r="Z136" i="41"/>
  <c r="T49" i="40"/>
  <c r="T50" i="40"/>
  <c r="V51" i="41"/>
  <c r="V50" i="41"/>
  <c r="K27" i="40"/>
  <c r="G5" i="39" s="1"/>
  <c r="K26" i="40"/>
  <c r="J26" i="40"/>
  <c r="J27" i="40"/>
  <c r="I26" i="40"/>
  <c r="I27" i="40"/>
  <c r="W27" i="41"/>
  <c r="W28" i="41"/>
  <c r="Z245" i="38"/>
  <c r="Y195" i="38"/>
  <c r="AA18" i="47"/>
  <c r="AA19" i="47" s="1"/>
  <c r="AA8" i="47" s="1"/>
  <c r="F8" i="47" s="1"/>
  <c r="Y183" i="38"/>
  <c r="Y194" i="38"/>
  <c r="Y191" i="38"/>
  <c r="S20" i="41"/>
  <c r="S26" i="41" s="1"/>
  <c r="F20" i="41"/>
  <c r="F26" i="41" s="1"/>
  <c r="F28" i="41" s="1"/>
  <c r="Y193" i="38"/>
  <c r="Y189" i="38"/>
  <c r="Y190" i="38"/>
  <c r="Y192" i="38"/>
  <c r="Y197" i="38"/>
  <c r="J20" i="41"/>
  <c r="J26" i="41" s="1"/>
  <c r="Y20" i="41"/>
  <c r="Y26" i="41" s="1"/>
  <c r="R20" i="41"/>
  <c r="R26" i="41" s="1"/>
  <c r="U20" i="41"/>
  <c r="U26" i="41" s="1"/>
  <c r="H20" i="41"/>
  <c r="H26" i="41" s="1"/>
  <c r="H28" i="41" s="1"/>
  <c r="M20" i="41"/>
  <c r="M26" i="41" s="1"/>
  <c r="X20" i="41"/>
  <c r="X26" i="41" s="1"/>
  <c r="Z20" i="41"/>
  <c r="Z26" i="41" s="1"/>
  <c r="J81" i="28"/>
  <c r="M81" i="28"/>
  <c r="L81" i="28"/>
  <c r="E81" i="28"/>
  <c r="N81" i="28"/>
  <c r="I20" i="41"/>
  <c r="I26" i="41" s="1"/>
  <c r="O20" i="41"/>
  <c r="O26" i="41" s="1"/>
  <c r="P20" i="41"/>
  <c r="P26" i="41" s="1"/>
  <c r="N20" i="41"/>
  <c r="N26" i="41" s="1"/>
  <c r="Z186" i="38"/>
  <c r="Z180" i="38"/>
  <c r="I81" i="28"/>
  <c r="G81" i="28"/>
  <c r="K20" i="41"/>
  <c r="K26" i="41" s="1"/>
  <c r="K138" i="41" s="1"/>
  <c r="K215" i="41" s="1"/>
  <c r="K218" i="41" s="1"/>
  <c r="K248" i="41" s="1"/>
  <c r="K249" i="41" s="1"/>
  <c r="G20" i="41"/>
  <c r="G26" i="41" s="1"/>
  <c r="G28" i="41" s="1"/>
  <c r="F81" i="28"/>
  <c r="H81" i="28"/>
  <c r="V20" i="41"/>
  <c r="V26" i="41" s="1"/>
  <c r="Q20" i="41"/>
  <c r="Q26" i="41" s="1"/>
  <c r="W19" i="40"/>
  <c r="W43" i="41"/>
  <c r="W49" i="41" s="1"/>
  <c r="T20" i="41"/>
  <c r="T26" i="41" s="1"/>
  <c r="L20" i="41"/>
  <c r="L26" i="41" s="1"/>
  <c r="U42" i="40"/>
  <c r="U48" i="40" s="1"/>
  <c r="W33" i="40"/>
  <c r="W39" i="40"/>
  <c r="X34" i="40"/>
  <c r="Y31" i="40"/>
  <c r="K81" i="28"/>
  <c r="Z10" i="40"/>
  <c r="Z16" i="40"/>
  <c r="X33" i="41"/>
  <c r="X45" i="41"/>
  <c r="X47" i="41" s="1"/>
  <c r="X42" i="41"/>
  <c r="Y16" i="40"/>
  <c r="Y10" i="40"/>
  <c r="AB6" i="47"/>
  <c r="AB4" i="47"/>
  <c r="AC3" i="47"/>
  <c r="AB5" i="47"/>
  <c r="X41" i="41"/>
  <c r="X17" i="40"/>
  <c r="Y34" i="41"/>
  <c r="Y40" i="41"/>
  <c r="Y118" i="40"/>
  <c r="Y125" i="40"/>
  <c r="X18" i="40"/>
  <c r="X9" i="40"/>
  <c r="X21" i="40"/>
  <c r="Z125" i="40"/>
  <c r="Z118" i="40"/>
  <c r="V40" i="40"/>
  <c r="V32" i="40"/>
  <c r="V41" i="40"/>
  <c r="V44" i="40"/>
  <c r="V46" i="40" s="1"/>
  <c r="X117" i="40"/>
  <c r="X129" i="40"/>
  <c r="X126" i="40"/>
  <c r="X127" i="40" s="1"/>
  <c r="Z40" i="41"/>
  <c r="Z34" i="41"/>
  <c r="M248" i="38" l="1"/>
  <c r="L249" i="38"/>
  <c r="L251" i="38" s="1"/>
  <c r="O135" i="40"/>
  <c r="O134" i="40"/>
  <c r="Q130" i="40"/>
  <c r="P131" i="40"/>
  <c r="P133" i="40" s="1"/>
  <c r="U50" i="40"/>
  <c r="U49" i="40"/>
  <c r="W51" i="41"/>
  <c r="W50" i="41"/>
  <c r="I27" i="41"/>
  <c r="I28" i="41"/>
  <c r="J27" i="41"/>
  <c r="J28" i="41"/>
  <c r="N27" i="41"/>
  <c r="N28" i="41"/>
  <c r="P28" i="41"/>
  <c r="P27" i="41"/>
  <c r="Z27" i="41"/>
  <c r="Z28" i="41"/>
  <c r="U28" i="41"/>
  <c r="U27" i="41"/>
  <c r="L28" i="41"/>
  <c r="L27" i="41"/>
  <c r="Q28" i="41"/>
  <c r="Q27" i="41"/>
  <c r="O27" i="41"/>
  <c r="O28" i="41"/>
  <c r="X28" i="41"/>
  <c r="X27" i="41"/>
  <c r="R27" i="41"/>
  <c r="R28" i="41"/>
  <c r="T28" i="41"/>
  <c r="T27" i="41"/>
  <c r="V27" i="41"/>
  <c r="V28" i="41"/>
  <c r="K27" i="41"/>
  <c r="K28" i="41"/>
  <c r="M28" i="41"/>
  <c r="M27" i="41"/>
  <c r="Y28" i="41"/>
  <c r="Y27" i="41"/>
  <c r="S27" i="41"/>
  <c r="S28" i="41"/>
  <c r="Z195" i="38"/>
  <c r="Z205" i="38"/>
  <c r="Z192" i="38"/>
  <c r="Z190" i="38"/>
  <c r="Z197" i="38"/>
  <c r="Z189" i="38"/>
  <c r="Z193" i="38"/>
  <c r="Z183" i="38"/>
  <c r="Z191" i="38"/>
  <c r="Z194" i="38"/>
  <c r="X19" i="40"/>
  <c r="V42" i="40"/>
  <c r="V48" i="40" s="1"/>
  <c r="X43" i="41"/>
  <c r="X49" i="41" s="1"/>
  <c r="Y45" i="41"/>
  <c r="Y47" i="41" s="1"/>
  <c r="Y42" i="41"/>
  <c r="Y33" i="41"/>
  <c r="Y18" i="40"/>
  <c r="Y9" i="40"/>
  <c r="Y21" i="40"/>
  <c r="Y17" i="40"/>
  <c r="Z17" i="40"/>
  <c r="Z41" i="41"/>
  <c r="Y41" i="41"/>
  <c r="W41" i="40"/>
  <c r="W32" i="40"/>
  <c r="W44" i="40"/>
  <c r="W46" i="40" s="1"/>
  <c r="Y126" i="40"/>
  <c r="Y127" i="40" s="1"/>
  <c r="Z21" i="40"/>
  <c r="Z9" i="40"/>
  <c r="Z18" i="40"/>
  <c r="Y129" i="40"/>
  <c r="Y117" i="40"/>
  <c r="Z31" i="40"/>
  <c r="Z34" i="40" s="1"/>
  <c r="Y34" i="40"/>
  <c r="Z129" i="40"/>
  <c r="Z117" i="40"/>
  <c r="Z33" i="41"/>
  <c r="Z45" i="41"/>
  <c r="Z47" i="41" s="1"/>
  <c r="Z42" i="41"/>
  <c r="Z126" i="40"/>
  <c r="Z127" i="40" s="1"/>
  <c r="AC4" i="47"/>
  <c r="AD3" i="47"/>
  <c r="AC6" i="47"/>
  <c r="AC5" i="47"/>
  <c r="X39" i="40"/>
  <c r="X33" i="40"/>
  <c r="AB10" i="47"/>
  <c r="W40" i="40"/>
  <c r="P135" i="40" l="1"/>
  <c r="P134" i="40"/>
  <c r="R130" i="40"/>
  <c r="Q131" i="40"/>
  <c r="Q133" i="40" s="1"/>
  <c r="L252" i="38"/>
  <c r="L253" i="38"/>
  <c r="N248" i="38"/>
  <c r="M249" i="38"/>
  <c r="M251" i="38" s="1"/>
  <c r="X51" i="41"/>
  <c r="X50" i="41"/>
  <c r="V49" i="40"/>
  <c r="V50" i="40"/>
  <c r="Y43" i="41"/>
  <c r="Y49" i="41" s="1"/>
  <c r="Z19" i="40"/>
  <c r="Y19" i="40"/>
  <c r="Z43" i="41"/>
  <c r="Z49" i="41" s="1"/>
  <c r="W42" i="40"/>
  <c r="W48" i="40" s="1"/>
  <c r="AC10" i="47"/>
  <c r="Y33" i="40"/>
  <c r="Y39" i="40"/>
  <c r="AD5" i="47"/>
  <c r="AD6" i="47"/>
  <c r="AD4" i="47"/>
  <c r="AE3" i="47"/>
  <c r="Z33" i="40"/>
  <c r="Z39" i="40"/>
  <c r="X44" i="40"/>
  <c r="X46" i="40" s="1"/>
  <c r="X41" i="40"/>
  <c r="X32" i="40"/>
  <c r="X40" i="40"/>
  <c r="O248" i="38" l="1"/>
  <c r="N249" i="38"/>
  <c r="N251" i="38" s="1"/>
  <c r="Q134" i="40"/>
  <c r="Q135" i="40"/>
  <c r="S130" i="40"/>
  <c r="R131" i="40"/>
  <c r="R133" i="40" s="1"/>
  <c r="M253" i="38"/>
  <c r="M252" i="38"/>
  <c r="Z51" i="41"/>
  <c r="Z50" i="41"/>
  <c r="W49" i="40"/>
  <c r="W50" i="40"/>
  <c r="Y51" i="41"/>
  <c r="Y50" i="41"/>
  <c r="X42" i="40"/>
  <c r="X48" i="40" s="1"/>
  <c r="Y40" i="40"/>
  <c r="Z40" i="40"/>
  <c r="Y32" i="40"/>
  <c r="Y44" i="40"/>
  <c r="Y46" i="40" s="1"/>
  <c r="Y41" i="40"/>
  <c r="Z41" i="40"/>
  <c r="Z32" i="40"/>
  <c r="Z44" i="40"/>
  <c r="Z46" i="40" s="1"/>
  <c r="AF3" i="47"/>
  <c r="AE6" i="47"/>
  <c r="AE4" i="47"/>
  <c r="AE5" i="47"/>
  <c r="AD10" i="47"/>
  <c r="R134" i="40" l="1"/>
  <c r="R135" i="40"/>
  <c r="T130" i="40"/>
  <c r="S131" i="40"/>
  <c r="S133" i="40" s="1"/>
  <c r="N253" i="38"/>
  <c r="N252" i="38"/>
  <c r="P248" i="38"/>
  <c r="O249" i="38"/>
  <c r="O251" i="38" s="1"/>
  <c r="X49" i="40"/>
  <c r="X50" i="40"/>
  <c r="AE10" i="47"/>
  <c r="Z42" i="40"/>
  <c r="Z48" i="40" s="1"/>
  <c r="Y42" i="40"/>
  <c r="Y48" i="40" s="1"/>
  <c r="AG3" i="47"/>
  <c r="AF6" i="47"/>
  <c r="AF4" i="47"/>
  <c r="AF5" i="47"/>
  <c r="O252" i="38" l="1"/>
  <c r="O253" i="38"/>
  <c r="Q248" i="38"/>
  <c r="P249" i="38"/>
  <c r="P251" i="38" s="1"/>
  <c r="S135" i="40"/>
  <c r="S134" i="40"/>
  <c r="U130" i="40"/>
  <c r="T131" i="40"/>
  <c r="T133" i="40" s="1"/>
  <c r="Z49" i="40"/>
  <c r="Z50" i="40"/>
  <c r="Y50" i="40"/>
  <c r="Y49" i="40"/>
  <c r="AH3" i="47"/>
  <c r="AG6" i="47"/>
  <c r="AG4" i="47"/>
  <c r="AG5" i="47"/>
  <c r="AF10" i="47"/>
  <c r="P252" i="38" l="1"/>
  <c r="P253" i="38"/>
  <c r="R248" i="38"/>
  <c r="Q249" i="38"/>
  <c r="Q251" i="38" s="1"/>
  <c r="T135" i="40"/>
  <c r="T134" i="40"/>
  <c r="V130" i="40"/>
  <c r="U131" i="40"/>
  <c r="U133" i="40" s="1"/>
  <c r="AG10" i="47"/>
  <c r="AH4" i="47"/>
  <c r="AH6" i="47"/>
  <c r="AH5" i="47"/>
  <c r="AI3" i="47"/>
  <c r="U134" i="40" l="1"/>
  <c r="U135" i="40"/>
  <c r="W130" i="40"/>
  <c r="V131" i="40"/>
  <c r="V133" i="40" s="1"/>
  <c r="Q252" i="38"/>
  <c r="Q253" i="38"/>
  <c r="S248" i="38"/>
  <c r="R249" i="38"/>
  <c r="R251" i="38" s="1"/>
  <c r="AH10" i="47"/>
  <c r="AJ3" i="47"/>
  <c r="AI6" i="47"/>
  <c r="AI4" i="47"/>
  <c r="AI5" i="47"/>
  <c r="R253" i="38" l="1"/>
  <c r="R252" i="38"/>
  <c r="V135" i="40"/>
  <c r="V134" i="40"/>
  <c r="X130" i="40"/>
  <c r="W131" i="40"/>
  <c r="W133" i="40" s="1"/>
  <c r="T248" i="38"/>
  <c r="S249" i="38"/>
  <c r="S251" i="38" s="1"/>
  <c r="AI10" i="47"/>
  <c r="AJ6" i="47"/>
  <c r="AK3" i="47"/>
  <c r="AJ5" i="47"/>
  <c r="AJ4" i="47"/>
  <c r="Y130" i="40" l="1"/>
  <c r="X131" i="40"/>
  <c r="X133" i="40" s="1"/>
  <c r="W135" i="40"/>
  <c r="W134" i="40"/>
  <c r="U248" i="38"/>
  <c r="T249" i="38"/>
  <c r="T251" i="38" s="1"/>
  <c r="S252" i="38"/>
  <c r="S253" i="38"/>
  <c r="AJ10" i="47"/>
  <c r="AK6" i="47"/>
  <c r="AK5" i="47"/>
  <c r="AK4" i="47"/>
  <c r="AL3" i="47"/>
  <c r="V248" i="38" l="1"/>
  <c r="U249" i="38"/>
  <c r="U251" i="38" s="1"/>
  <c r="T252" i="38"/>
  <c r="T253" i="38"/>
  <c r="X135" i="40"/>
  <c r="X134" i="40"/>
  <c r="Z130" i="40"/>
  <c r="Z131" i="40" s="1"/>
  <c r="Z133" i="40" s="1"/>
  <c r="Y131" i="40"/>
  <c r="Y133" i="40" s="1"/>
  <c r="AL6" i="47"/>
  <c r="AL5" i="47"/>
  <c r="AL4" i="47"/>
  <c r="AM3" i="47"/>
  <c r="AK10" i="47"/>
  <c r="Z134" i="40" l="1"/>
  <c r="Z135" i="40"/>
  <c r="Y134" i="40"/>
  <c r="Y135" i="40"/>
  <c r="U252" i="38"/>
  <c r="U253" i="38"/>
  <c r="W248" i="38"/>
  <c r="V249" i="38"/>
  <c r="V251" i="38" s="1"/>
  <c r="AN3" i="47"/>
  <c r="AM5" i="47"/>
  <c r="AM6" i="47"/>
  <c r="AM4" i="47"/>
  <c r="AL10" i="47"/>
  <c r="V253" i="38" l="1"/>
  <c r="V252" i="38"/>
  <c r="X248" i="38"/>
  <c r="W249" i="38"/>
  <c r="W251" i="38" s="1"/>
  <c r="AM10" i="47"/>
  <c r="AN4" i="47"/>
  <c r="AN6" i="47"/>
  <c r="AN5" i="47"/>
  <c r="AO3" i="47"/>
  <c r="Y248" i="38" l="1"/>
  <c r="X249" i="38"/>
  <c r="X251" i="38" s="1"/>
  <c r="W252" i="38"/>
  <c r="W253" i="38"/>
  <c r="AN10" i="47"/>
  <c r="AO4" i="47"/>
  <c r="AO5" i="47"/>
  <c r="AO6" i="47"/>
  <c r="AP3" i="47"/>
  <c r="X252" i="38" l="1"/>
  <c r="X253" i="38"/>
  <c r="Z248" i="38"/>
  <c r="Z249" i="38" s="1"/>
  <c r="Z251" i="38" s="1"/>
  <c r="Y249" i="38"/>
  <c r="Y251" i="38" s="1"/>
  <c r="AO10" i="47"/>
  <c r="AP4" i="47"/>
  <c r="AP6" i="47"/>
  <c r="AQ3" i="47"/>
  <c r="AP5" i="47"/>
  <c r="Z253" i="38" l="1"/>
  <c r="Z252" i="38"/>
  <c r="Y253" i="38"/>
  <c r="Y252" i="38"/>
  <c r="AP10" i="47"/>
  <c r="AQ5" i="47"/>
  <c r="AQ6" i="47"/>
  <c r="AQ4" i="47"/>
  <c r="AR3" i="47"/>
  <c r="AQ10" i="47" l="1"/>
  <c r="AR5" i="47"/>
  <c r="AR4" i="47"/>
  <c r="AS3" i="47"/>
  <c r="AR6" i="47"/>
  <c r="AR10" i="47" l="1"/>
  <c r="AT3" i="47"/>
  <c r="AS5" i="47"/>
  <c r="AS4" i="47"/>
  <c r="AS6" i="47"/>
  <c r="AS10" i="47" l="1"/>
  <c r="AT6" i="47"/>
  <c r="AT5" i="47"/>
  <c r="AT4" i="47"/>
  <c r="AU3" i="47"/>
  <c r="AT10" i="47" l="1"/>
  <c r="AU5" i="47"/>
  <c r="F5" i="47" s="1"/>
  <c r="G34" i="43" s="1"/>
  <c r="AU6" i="47"/>
  <c r="F6" i="47" s="1"/>
  <c r="G33" i="43" s="1"/>
  <c r="AU4" i="47"/>
  <c r="AU10" i="47" l="1"/>
  <c r="F4" i="47"/>
  <c r="G36" i="43" s="1"/>
  <c r="L23" i="28" l="1"/>
  <c r="J51" i="28"/>
  <c r="J60" i="28" s="1"/>
  <c r="J47" i="28"/>
  <c r="J48" i="28" s="1"/>
  <c r="N154" i="40"/>
  <c r="D51" i="28"/>
  <c r="D60" i="28" s="1"/>
  <c r="N157" i="40"/>
  <c r="N204" i="40"/>
  <c r="N202" i="40"/>
  <c r="N257" i="40" l="1"/>
  <c r="O45" i="52" s="1"/>
  <c r="N203" i="40"/>
  <c r="N205" i="40" s="1"/>
  <c r="L157" i="41"/>
  <c r="N156" i="40"/>
  <c r="L167" i="41" l="1"/>
  <c r="L222" i="41" s="1"/>
  <c r="L159" i="41"/>
  <c r="N158" i="40"/>
  <c r="N258" i="40"/>
  <c r="N259" i="40" l="1"/>
  <c r="O46" i="52"/>
  <c r="O47" i="52" s="1"/>
  <c r="L223" i="41"/>
  <c r="L169" i="41"/>
  <c r="R31" i="48" l="1"/>
  <c r="G34" i="39"/>
  <c r="R33" i="48" l="1"/>
  <c r="G44" i="39"/>
  <c r="R30" i="48"/>
  <c r="R35" i="48" l="1"/>
  <c r="AD52" i="32" l="1"/>
  <c r="T31" i="48" l="1"/>
  <c r="H34" i="39"/>
  <c r="T33" i="48" s="1"/>
  <c r="T30" i="48" l="1"/>
  <c r="H39" i="39"/>
  <c r="H42" i="39" s="1"/>
  <c r="T35" i="48" l="1"/>
  <c r="H44" i="39"/>
  <c r="AE52" i="32" l="1"/>
  <c r="P85" i="41" l="1"/>
  <c r="Q85" i="41"/>
  <c r="Y85" i="41"/>
  <c r="H85" i="41"/>
  <c r="N85" i="41"/>
  <c r="U85" i="41"/>
  <c r="I85" i="41"/>
  <c r="X85" i="41"/>
  <c r="Z85" i="41"/>
  <c r="T85" i="41"/>
  <c r="G85" i="41"/>
  <c r="W85" i="41"/>
  <c r="R85" i="41"/>
  <c r="O85" i="41"/>
  <c r="V85" i="41"/>
  <c r="J85" i="41"/>
  <c r="S85" i="41"/>
  <c r="M85" i="41"/>
  <c r="F85" i="41"/>
  <c r="K85" i="41"/>
  <c r="D12" i="28" l="1"/>
  <c r="D16" i="28"/>
  <c r="D18" i="28"/>
  <c r="D15" i="28"/>
  <c r="D14" i="28"/>
  <c r="S319" i="38"/>
  <c r="F8" i="39"/>
  <c r="P22" i="48" s="1"/>
  <c r="U319" i="38"/>
  <c r="Z319" i="38"/>
  <c r="X319" i="38"/>
  <c r="R319" i="38"/>
  <c r="T319" i="38"/>
  <c r="W319" i="38"/>
  <c r="O319" i="38"/>
  <c r="J319" i="38"/>
  <c r="G319" i="38"/>
  <c r="P319" i="38"/>
  <c r="V319" i="38"/>
  <c r="Y319" i="38"/>
  <c r="F319" i="38"/>
  <c r="F39" i="52" s="1"/>
  <c r="L319" i="38"/>
  <c r="M319" i="38"/>
  <c r="Q319" i="38"/>
  <c r="H319" i="38"/>
  <c r="N319" i="38"/>
  <c r="F17" i="39"/>
  <c r="I319" i="38"/>
  <c r="G22" i="47"/>
  <c r="G23" i="47" s="1"/>
  <c r="G9" i="47" s="1"/>
  <c r="G10" i="47" s="1"/>
  <c r="F18" i="39"/>
  <c r="K319" i="38"/>
  <c r="F19" i="39"/>
  <c r="F20" i="39"/>
  <c r="P21" i="48" l="1"/>
  <c r="F23" i="39"/>
  <c r="F26" i="39" s="1"/>
  <c r="P26" i="48" l="1"/>
  <c r="E12" i="28" l="1"/>
  <c r="F12" i="28"/>
  <c r="I22" i="47"/>
  <c r="I23" i="47" s="1"/>
  <c r="I9" i="47" s="1"/>
  <c r="I10" i="47" s="1"/>
  <c r="H22" i="47"/>
  <c r="H23" i="47" s="1"/>
  <c r="H9" i="47" s="1"/>
  <c r="H10" i="47" s="1"/>
  <c r="G15" i="39"/>
  <c r="P155" i="38" l="1"/>
  <c r="F13" i="39" l="1"/>
  <c r="P157" i="38"/>
  <c r="F28" i="39" l="1"/>
  <c r="R17" i="32" s="1"/>
  <c r="P24" i="48"/>
  <c r="I143" i="38" l="1"/>
  <c r="I146" i="38"/>
  <c r="T143" i="38"/>
  <c r="H143" i="38"/>
  <c r="U143" i="38"/>
  <c r="W143" i="38"/>
  <c r="P88" i="48"/>
  <c r="L146" i="38"/>
  <c r="X146" i="38"/>
  <c r="W146" i="38"/>
  <c r="F146" i="38"/>
  <c r="T146" i="38"/>
  <c r="G146" i="38"/>
  <c r="S146" i="38"/>
  <c r="M146" i="38"/>
  <c r="O146" i="38"/>
  <c r="K146" i="38"/>
  <c r="J143" i="38"/>
  <c r="N143" i="38"/>
  <c r="R143" i="38"/>
  <c r="M143" i="38"/>
  <c r="Q143" i="38"/>
  <c r="N146" i="38"/>
  <c r="Y146" i="38"/>
  <c r="V146" i="38"/>
  <c r="U146" i="38"/>
  <c r="J146" i="38"/>
  <c r="Z146" i="38"/>
  <c r="Z143" i="38"/>
  <c r="S143" i="38"/>
  <c r="P143" i="38"/>
  <c r="X143" i="38"/>
  <c r="G143" i="38"/>
  <c r="R146" i="38"/>
  <c r="AC51" i="32"/>
  <c r="F143" i="38"/>
  <c r="F144" i="38" s="1"/>
  <c r="G141" i="38" s="1"/>
  <c r="Q146" i="38"/>
  <c r="H146" i="38"/>
  <c r="L143" i="38"/>
  <c r="O143" i="38"/>
  <c r="K143" i="38"/>
  <c r="Y143" i="38"/>
  <c r="V143" i="38"/>
  <c r="P146" i="38"/>
  <c r="I142" i="38"/>
  <c r="I150" i="38" s="1"/>
  <c r="D335" i="38"/>
  <c r="N147" i="38" l="1"/>
  <c r="N152" i="38" s="1"/>
  <c r="N162" i="38" s="1"/>
  <c r="P147" i="38"/>
  <c r="P152" i="38" s="1"/>
  <c r="H147" i="38"/>
  <c r="H280" i="38" s="1"/>
  <c r="G144" i="38"/>
  <c r="H141" i="38" s="1"/>
  <c r="H144" i="38" s="1"/>
  <c r="I141" i="38" s="1"/>
  <c r="I144" i="38" s="1"/>
  <c r="J141" i="38" s="1"/>
  <c r="U147" i="38"/>
  <c r="U152" i="38" s="1"/>
  <c r="I147" i="38"/>
  <c r="I152" i="38" s="1"/>
  <c r="T147" i="38"/>
  <c r="T152" i="38" s="1"/>
  <c r="R147" i="38"/>
  <c r="R148" i="38" s="1"/>
  <c r="M147" i="38"/>
  <c r="W147" i="38"/>
  <c r="W152" i="38" s="1"/>
  <c r="S147" i="38"/>
  <c r="S152" i="38" s="1"/>
  <c r="J147" i="38"/>
  <c r="J152" i="38" s="1"/>
  <c r="Y147" i="38"/>
  <c r="O147" i="38"/>
  <c r="Q147" i="38"/>
  <c r="F147" i="38"/>
  <c r="L147" i="38"/>
  <c r="L152" i="38" s="1"/>
  <c r="L162" i="38" s="1"/>
  <c r="Z147" i="38"/>
  <c r="Z152" i="38" s="1"/>
  <c r="V147" i="38"/>
  <c r="K147" i="38"/>
  <c r="K152" i="38" s="1"/>
  <c r="G147" i="38"/>
  <c r="X147" i="38"/>
  <c r="N148" i="38" l="1"/>
  <c r="H152" i="38"/>
  <c r="H162" i="38" s="1"/>
  <c r="P148" i="38"/>
  <c r="H148" i="38"/>
  <c r="U148" i="38"/>
  <c r="R152" i="38"/>
  <c r="T148" i="38"/>
  <c r="S148" i="38"/>
  <c r="M148" i="38"/>
  <c r="M152" i="38"/>
  <c r="M162" i="38" s="1"/>
  <c r="J144" i="38"/>
  <c r="K141" i="38" s="1"/>
  <c r="W148" i="38"/>
  <c r="X152" i="38"/>
  <c r="X148" i="38"/>
  <c r="Z148" i="38"/>
  <c r="O148" i="38"/>
  <c r="O152" i="38"/>
  <c r="O162" i="38" s="1"/>
  <c r="G152" i="38"/>
  <c r="G162" i="38" s="1"/>
  <c r="G280" i="38"/>
  <c r="G148" i="38"/>
  <c r="I148" i="38"/>
  <c r="Y148" i="38"/>
  <c r="Y152" i="38"/>
  <c r="K148" i="38"/>
  <c r="L148" i="38"/>
  <c r="Q148" i="38"/>
  <c r="Q152" i="38"/>
  <c r="J148" i="38"/>
  <c r="V148" i="38"/>
  <c r="V152" i="38"/>
  <c r="F148" i="38"/>
  <c r="F280" i="38"/>
  <c r="D62" i="28" s="1"/>
  <c r="F152" i="38"/>
  <c r="F162" i="38" s="1"/>
  <c r="K144" i="38" l="1"/>
  <c r="L141" i="38" s="1"/>
  <c r="L144" i="38" s="1"/>
  <c r="M141" i="38" s="1"/>
  <c r="M144" i="38" s="1"/>
  <c r="N141" i="38" s="1"/>
  <c r="N144" i="38" s="1"/>
  <c r="O141" i="38" s="1"/>
  <c r="O144" i="38" s="1"/>
  <c r="P141" i="38" s="1"/>
  <c r="P144" i="38" s="1"/>
  <c r="Q141" i="38" l="1"/>
  <c r="Q144" i="38" s="1"/>
  <c r="R141" i="38" s="1"/>
  <c r="R144" i="38" s="1"/>
  <c r="S141" i="38" s="1"/>
  <c r="S144" i="38" s="1"/>
  <c r="T141" i="38" s="1"/>
  <c r="T144" i="38" s="1"/>
  <c r="U141" i="38" s="1"/>
  <c r="U144" i="38" s="1"/>
  <c r="V141" i="38" s="1"/>
  <c r="V144" i="38" s="1"/>
  <c r="W141" i="38" s="1"/>
  <c r="W144" i="38" s="1"/>
  <c r="X141" i="38" s="1"/>
  <c r="X144" i="38" s="1"/>
  <c r="Y141" i="38" s="1"/>
  <c r="Y144" i="38" s="1"/>
  <c r="Z141" i="38" s="1"/>
  <c r="Z144" i="38" s="1"/>
  <c r="P158" i="38"/>
  <c r="P159" i="38" s="1"/>
  <c r="P162" i="38" s="1"/>
  <c r="I245" i="38"/>
  <c r="I251" i="38" s="1"/>
  <c r="J245" i="38"/>
  <c r="J251" i="38" s="1"/>
  <c r="K245" i="38"/>
  <c r="K251" i="38" s="1"/>
  <c r="K253" i="38" l="1"/>
  <c r="K252" i="38"/>
  <c r="J253" i="38"/>
  <c r="J252" i="38"/>
  <c r="I253" i="38"/>
  <c r="I252" i="38"/>
  <c r="H208" i="38"/>
  <c r="F208" i="38"/>
  <c r="G208" i="38"/>
  <c r="G206" i="38"/>
  <c r="G320" i="38" s="1"/>
  <c r="G40" i="52" s="1"/>
  <c r="F206" i="38"/>
  <c r="F320" i="38" s="1"/>
  <c r="F40" i="52" s="1"/>
  <c r="H206" i="38"/>
  <c r="H222" i="38" l="1"/>
  <c r="H230" i="38" s="1"/>
  <c r="H320" i="38"/>
  <c r="H40" i="52" s="1"/>
  <c r="F207" i="38"/>
  <c r="F218" i="38"/>
  <c r="F222" i="38"/>
  <c r="F230" i="38" s="1"/>
  <c r="H207" i="38"/>
  <c r="H218" i="38"/>
  <c r="G207" i="38"/>
  <c r="G218" i="38"/>
  <c r="G222" i="38"/>
  <c r="G230" i="38" s="1"/>
  <c r="J71" i="31" l="1"/>
  <c r="Z54" i="32"/>
  <c r="T20" i="32"/>
  <c r="T69" i="48"/>
  <c r="Y54" i="32"/>
  <c r="I71" i="31"/>
  <c r="R69" i="48"/>
  <c r="S20" i="32"/>
  <c r="AD54" i="32" l="1"/>
  <c r="R91" i="48"/>
  <c r="AE54" i="32"/>
  <c r="T91" i="48"/>
  <c r="P23" i="40" l="1"/>
  <c r="P25" i="40" s="1"/>
  <c r="W23" i="40"/>
  <c r="W25" i="40" s="1"/>
  <c r="Y23" i="40"/>
  <c r="Y25" i="40" s="1"/>
  <c r="U23" i="40"/>
  <c r="U25" i="40" s="1"/>
  <c r="O23" i="40"/>
  <c r="O25" i="40" s="1"/>
  <c r="N23" i="40"/>
  <c r="N25" i="40" s="1"/>
  <c r="Z23" i="40"/>
  <c r="Z25" i="40" s="1"/>
  <c r="R23" i="40"/>
  <c r="R25" i="40" s="1"/>
  <c r="S23" i="40"/>
  <c r="S25" i="40" s="1"/>
  <c r="T23" i="40"/>
  <c r="T25" i="40" s="1"/>
  <c r="Q23" i="40"/>
  <c r="Q25" i="40" s="1"/>
  <c r="X23" i="40"/>
  <c r="X25" i="40" s="1"/>
  <c r="V23" i="40"/>
  <c r="V25" i="40" s="1"/>
  <c r="H46" i="40"/>
  <c r="H48" i="40" s="1"/>
  <c r="T27" i="40" l="1"/>
  <c r="T26" i="40"/>
  <c r="V26" i="40"/>
  <c r="V27" i="40"/>
  <c r="Q26" i="40"/>
  <c r="Q27" i="40"/>
  <c r="Z26" i="40"/>
  <c r="Z27" i="40"/>
  <c r="Y26" i="40"/>
  <c r="Y27" i="40"/>
  <c r="W27" i="40"/>
  <c r="W26" i="40"/>
  <c r="P26" i="40"/>
  <c r="P27" i="40"/>
  <c r="N26" i="40"/>
  <c r="N27" i="40"/>
  <c r="S27" i="40"/>
  <c r="S26" i="40"/>
  <c r="O27" i="40"/>
  <c r="O26" i="40"/>
  <c r="X26" i="40"/>
  <c r="X27" i="40"/>
  <c r="R26" i="40"/>
  <c r="R27" i="40"/>
  <c r="U26" i="40"/>
  <c r="U27" i="40"/>
  <c r="G6" i="39"/>
  <c r="G16" i="39"/>
  <c r="H50" i="40"/>
  <c r="H49" i="40"/>
  <c r="G49" i="40" l="1"/>
  <c r="F49" i="40"/>
  <c r="F9" i="28"/>
  <c r="F134" i="40"/>
  <c r="E18" i="28"/>
  <c r="G134" i="40"/>
  <c r="F18" i="28"/>
  <c r="H134" i="40"/>
  <c r="AC52" i="32"/>
  <c r="AB52" i="32" s="1"/>
  <c r="M119" i="28"/>
  <c r="I220" i="38"/>
  <c r="I214" i="38"/>
  <c r="I216" i="38" s="1"/>
  <c r="I217" i="38" s="1"/>
  <c r="J211" i="38" l="1"/>
  <c r="J214" i="38" s="1"/>
  <c r="J216" i="38" s="1"/>
  <c r="J217" i="38" s="1"/>
  <c r="K211" i="38" l="1"/>
  <c r="K214" i="38" s="1"/>
  <c r="K216" i="38" s="1"/>
  <c r="K217" i="38" s="1"/>
  <c r="L211" i="38" l="1"/>
  <c r="L214" i="38" s="1"/>
  <c r="M211" i="38" s="1"/>
  <c r="M214" i="38" s="1"/>
  <c r="L216" i="38" l="1"/>
  <c r="L217" i="38" s="1"/>
  <c r="M216" i="38"/>
  <c r="M217" i="38" s="1"/>
  <c r="N211" i="38"/>
  <c r="N214" i="38" s="1"/>
  <c r="N216" i="38" l="1"/>
  <c r="N217" i="38" s="1"/>
  <c r="O211" i="38"/>
  <c r="O214" i="38" s="1"/>
  <c r="O216" i="38" l="1"/>
  <c r="O217" i="38" s="1"/>
  <c r="P211" i="38"/>
  <c r="P214" i="38" s="1"/>
  <c r="P227" i="38" l="1"/>
  <c r="P216" i="38"/>
  <c r="P217" i="38" s="1"/>
  <c r="Q211" i="38"/>
  <c r="Q214" i="38" s="1"/>
  <c r="Q216" i="38" l="1"/>
  <c r="Q217" i="38" s="1"/>
  <c r="R211" i="38"/>
  <c r="R214" i="38" s="1"/>
  <c r="R216" i="38" l="1"/>
  <c r="R217" i="38" s="1"/>
  <c r="S211" i="38"/>
  <c r="S214" i="38" s="1"/>
  <c r="S216" i="38" l="1"/>
  <c r="S217" i="38" s="1"/>
  <c r="T211" i="38"/>
  <c r="T214" i="38" s="1"/>
  <c r="T216" i="38" l="1"/>
  <c r="T217" i="38" s="1"/>
  <c r="U211" i="38"/>
  <c r="U214" i="38" s="1"/>
  <c r="U216" i="38" l="1"/>
  <c r="U217" i="38" s="1"/>
  <c r="V211" i="38"/>
  <c r="V214" i="38" s="1"/>
  <c r="V216" i="38" l="1"/>
  <c r="V217" i="38" s="1"/>
  <c r="W211" i="38"/>
  <c r="W214" i="38" s="1"/>
  <c r="W216" i="38" l="1"/>
  <c r="W217" i="38" s="1"/>
  <c r="X211" i="38"/>
  <c r="X214" i="38" s="1"/>
  <c r="X216" i="38" l="1"/>
  <c r="X217" i="38" s="1"/>
  <c r="Y211" i="38"/>
  <c r="Y214" i="38" s="1"/>
  <c r="Z211" i="38" l="1"/>
  <c r="Z214" i="38" s="1"/>
  <c r="Z216" i="38" s="1"/>
  <c r="Z217" i="38" s="1"/>
  <c r="Y216" i="38"/>
  <c r="Y217" i="38" s="1"/>
  <c r="F265" i="40"/>
  <c r="M12" i="28"/>
  <c r="J12" i="28"/>
  <c r="K12" i="28"/>
  <c r="G12" i="28"/>
  <c r="F27" i="41"/>
  <c r="H12" i="28"/>
  <c r="G27" i="41"/>
  <c r="H27" i="41"/>
  <c r="I12" i="28"/>
  <c r="N12" i="28"/>
  <c r="L12" i="28"/>
  <c r="N22" i="47"/>
  <c r="N23" i="47" s="1"/>
  <c r="N9" i="47" s="1"/>
  <c r="N10" i="47" s="1"/>
  <c r="AA22" i="47"/>
  <c r="AA23" i="47" s="1"/>
  <c r="AA9" i="47" s="1"/>
  <c r="AA10" i="47" s="1"/>
  <c r="T22" i="47"/>
  <c r="T23" i="47" s="1"/>
  <c r="T9" i="47" s="1"/>
  <c r="T10" i="47" s="1"/>
  <c r="Q22" i="47"/>
  <c r="Q23" i="47" s="1"/>
  <c r="Q9" i="47" s="1"/>
  <c r="Q10" i="47" s="1"/>
  <c r="P22" i="47"/>
  <c r="P23" i="47" s="1"/>
  <c r="P9" i="47" s="1"/>
  <c r="P10" i="47" s="1"/>
  <c r="R22" i="47"/>
  <c r="R23" i="47" s="1"/>
  <c r="R9" i="47" s="1"/>
  <c r="R10" i="47" s="1"/>
  <c r="Y22" i="47"/>
  <c r="Y23" i="47" s="1"/>
  <c r="Y9" i="47" s="1"/>
  <c r="Y10" i="47" s="1"/>
  <c r="X22" i="47"/>
  <c r="X23" i="47" s="1"/>
  <c r="X9" i="47" s="1"/>
  <c r="X10" i="47" s="1"/>
  <c r="L22" i="47"/>
  <c r="L23" i="47" s="1"/>
  <c r="L9" i="47" s="1"/>
  <c r="L10" i="47" s="1"/>
  <c r="U22" i="47"/>
  <c r="U23" i="47" s="1"/>
  <c r="U9" i="47" s="1"/>
  <c r="U10" i="47" s="1"/>
  <c r="V22" i="47"/>
  <c r="V23" i="47" s="1"/>
  <c r="V9" i="47" s="1"/>
  <c r="V10" i="47" s="1"/>
  <c r="O22" i="47"/>
  <c r="O23" i="47" s="1"/>
  <c r="O9" i="47" s="1"/>
  <c r="O10" i="47" s="1"/>
  <c r="M22" i="47"/>
  <c r="M23" i="47" s="1"/>
  <c r="M9" i="47" s="1"/>
  <c r="M10" i="47" s="1"/>
  <c r="W22" i="47"/>
  <c r="W23" i="47" s="1"/>
  <c r="W9" i="47" s="1"/>
  <c r="W10" i="47" s="1"/>
  <c r="S22" i="47"/>
  <c r="S23" i="47" s="1"/>
  <c r="S9" i="47" s="1"/>
  <c r="S10" i="47" s="1"/>
  <c r="K22" i="47"/>
  <c r="K23" i="47" s="1"/>
  <c r="K9" i="47" s="1"/>
  <c r="K10" i="47" s="1"/>
  <c r="G47" i="41"/>
  <c r="G49" i="41" s="1"/>
  <c r="Z22" i="47"/>
  <c r="Z23" i="47" s="1"/>
  <c r="Z9" i="47" s="1"/>
  <c r="Z10" i="47" s="1"/>
  <c r="H47" i="41"/>
  <c r="H49" i="41" s="1"/>
  <c r="J9" i="28"/>
  <c r="H5" i="39"/>
  <c r="F47" i="41"/>
  <c r="F49" i="41" s="1"/>
  <c r="J22" i="47"/>
  <c r="J23" i="47" s="1"/>
  <c r="J9" i="47" s="1"/>
  <c r="J10" i="47" s="1"/>
  <c r="H15" i="39"/>
  <c r="G9" i="28" l="1"/>
  <c r="F11" i="47"/>
  <c r="J68" i="28" s="1"/>
  <c r="F9" i="47"/>
  <c r="G37" i="43" s="1"/>
  <c r="K9" i="28"/>
  <c r="F51" i="41"/>
  <c r="F50" i="41"/>
  <c r="G51" i="41"/>
  <c r="G50" i="41"/>
  <c r="H9" i="28"/>
  <c r="E15" i="39"/>
  <c r="N9" i="28"/>
  <c r="H6" i="39"/>
  <c r="H16" i="39"/>
  <c r="L9" i="28"/>
  <c r="M9" i="28"/>
  <c r="H50" i="41"/>
  <c r="H51" i="41"/>
  <c r="I9" i="28"/>
  <c r="E5" i="39"/>
  <c r="E6" i="39" l="1"/>
  <c r="E16" i="39"/>
  <c r="S321" i="38"/>
  <c r="S322" i="38"/>
  <c r="T321" i="38"/>
  <c r="T322" i="38" s="1"/>
  <c r="U321" i="38"/>
  <c r="U322" i="38" s="1"/>
  <c r="Z321" i="38"/>
  <c r="Z322" i="38" s="1"/>
  <c r="Q321" i="38"/>
  <c r="Q322" i="38" s="1"/>
  <c r="X321" i="38"/>
  <c r="X322" i="38" s="1"/>
  <c r="Y321" i="38"/>
  <c r="Y322" i="38" s="1"/>
  <c r="W321" i="38"/>
  <c r="W322" i="38" s="1"/>
  <c r="P62" i="40"/>
  <c r="P63" i="40" s="1"/>
  <c r="P69" i="40" s="1"/>
  <c r="M62" i="40"/>
  <c r="M63" i="40" s="1"/>
  <c r="M69" i="40" s="1"/>
  <c r="R321" i="38"/>
  <c r="R322" i="38" s="1"/>
  <c r="V321" i="38"/>
  <c r="V322" i="38" s="1"/>
  <c r="O321" i="38"/>
  <c r="I321" i="38"/>
  <c r="M321" i="38"/>
  <c r="J321" i="38"/>
  <c r="L321" i="38"/>
  <c r="N321" i="38"/>
  <c r="Z62" i="40"/>
  <c r="Z63" i="40" s="1"/>
  <c r="Z69" i="40" s="1"/>
  <c r="N62" i="40"/>
  <c r="N63" i="40" s="1"/>
  <c r="N69" i="40" s="1"/>
  <c r="I69" i="40"/>
  <c r="V62" i="40"/>
  <c r="V63" i="40" s="1"/>
  <c r="V69" i="40" s="1"/>
  <c r="J62" i="40"/>
  <c r="J63" i="40" s="1"/>
  <c r="J69" i="40" s="1"/>
  <c r="S62" i="40"/>
  <c r="S63" i="40" s="1"/>
  <c r="S69" i="40" s="1"/>
  <c r="O62" i="40"/>
  <c r="O63" i="40" s="1"/>
  <c r="O69" i="40" s="1"/>
  <c r="U62" i="40"/>
  <c r="U63" i="40" s="1"/>
  <c r="U69" i="40" s="1"/>
  <c r="T62" i="40"/>
  <c r="T63" i="40" s="1"/>
  <c r="T69" i="40" s="1"/>
  <c r="Y62" i="40"/>
  <c r="Y63" i="40" s="1"/>
  <c r="Y69" i="40" s="1"/>
  <c r="P321" i="38"/>
  <c r="L62" i="40"/>
  <c r="L63" i="40" s="1"/>
  <c r="L69" i="40" s="1"/>
  <c r="G249" i="38"/>
  <c r="G244" i="38" s="1"/>
  <c r="G245" i="38" s="1"/>
  <c r="G251" i="38" s="1"/>
  <c r="F67" i="40"/>
  <c r="F62" i="40" s="1"/>
  <c r="F63" i="40" s="1"/>
  <c r="F69" i="40" s="1"/>
  <c r="X62" i="40"/>
  <c r="X63" i="40" s="1"/>
  <c r="X69" i="40" s="1"/>
  <c r="W62" i="40"/>
  <c r="W63" i="40" s="1"/>
  <c r="W69" i="40" s="1"/>
  <c r="P270" i="38"/>
  <c r="Q62" i="40"/>
  <c r="Q63" i="40" s="1"/>
  <c r="Q69" i="40" s="1"/>
  <c r="K321" i="38"/>
  <c r="H249" i="38"/>
  <c r="H244" i="38" s="1"/>
  <c r="H245" i="38" s="1"/>
  <c r="H251" i="38" s="1"/>
  <c r="R62" i="40"/>
  <c r="R63" i="40" s="1"/>
  <c r="R69" i="40" s="1"/>
  <c r="F249" i="38"/>
  <c r="F244" i="38" s="1"/>
  <c r="F245" i="38" s="1"/>
  <c r="F251" i="38" s="1"/>
  <c r="G67" i="40"/>
  <c r="G62" i="40" s="1"/>
  <c r="G63" i="40" s="1"/>
  <c r="G69" i="40" s="1"/>
  <c r="H67" i="40"/>
  <c r="H62" i="40" s="1"/>
  <c r="H63" i="40" s="1"/>
  <c r="H69" i="40" s="1"/>
  <c r="F52" i="39"/>
  <c r="K62" i="40"/>
  <c r="K63" i="40" s="1"/>
  <c r="K69" i="40" s="1"/>
  <c r="V70" i="40" l="1"/>
  <c r="V71" i="40"/>
  <c r="P70" i="40"/>
  <c r="P71" i="40"/>
  <c r="K71" i="40"/>
  <c r="G7" i="39" s="1"/>
  <c r="K70" i="40"/>
  <c r="W71" i="40"/>
  <c r="W70" i="40"/>
  <c r="Y70" i="40"/>
  <c r="Y71" i="40"/>
  <c r="O71" i="40"/>
  <c r="O70" i="40"/>
  <c r="I70" i="40"/>
  <c r="I71" i="40"/>
  <c r="R70" i="40"/>
  <c r="R71" i="40"/>
  <c r="X70" i="40"/>
  <c r="X71" i="40"/>
  <c r="L71" i="40"/>
  <c r="L70" i="40"/>
  <c r="T71" i="40"/>
  <c r="T70" i="40"/>
  <c r="S71" i="40"/>
  <c r="S70" i="40"/>
  <c r="N70" i="40"/>
  <c r="N71" i="40"/>
  <c r="Q70" i="40"/>
  <c r="Q71" i="40"/>
  <c r="U71" i="40"/>
  <c r="U70" i="40"/>
  <c r="J70" i="40"/>
  <c r="J71" i="40"/>
  <c r="Z70" i="40"/>
  <c r="Z71" i="40"/>
  <c r="M71" i="40"/>
  <c r="M70" i="40"/>
  <c r="G17" i="39"/>
  <c r="F15" i="28"/>
  <c r="G71" i="40"/>
  <c r="G70" i="40"/>
  <c r="F263" i="38"/>
  <c r="F253" i="38"/>
  <c r="F252" i="38"/>
  <c r="F267" i="38"/>
  <c r="F321" i="38"/>
  <c r="H71" i="40"/>
  <c r="H70" i="40"/>
  <c r="P271" i="38"/>
  <c r="F71" i="40"/>
  <c r="F70" i="40"/>
  <c r="E15" i="28"/>
  <c r="H263" i="38"/>
  <c r="H253" i="38"/>
  <c r="H252" i="38"/>
  <c r="H321" i="38"/>
  <c r="H322" i="38" s="1"/>
  <c r="H267" i="38"/>
  <c r="G253" i="38"/>
  <c r="G252" i="38"/>
  <c r="G263" i="38"/>
  <c r="G321" i="38"/>
  <c r="G322" i="38" s="1"/>
  <c r="G267" i="38"/>
  <c r="P39" i="48"/>
  <c r="F55" i="39"/>
  <c r="F58" i="39" s="1"/>
  <c r="P40" i="48"/>
  <c r="F50" i="39"/>
  <c r="F322" i="38" l="1"/>
  <c r="F42" i="52"/>
  <c r="F72" i="52" s="1"/>
  <c r="F352" i="38"/>
  <c r="F275" i="38"/>
  <c r="F277" i="38" s="1"/>
  <c r="F309" i="38" s="1"/>
  <c r="F29" i="52" s="1"/>
  <c r="G275" i="38"/>
  <c r="G277" i="38" s="1"/>
  <c r="G309" i="38" s="1"/>
  <c r="P44" i="48"/>
  <c r="F60" i="39"/>
  <c r="H352" i="38"/>
  <c r="P42" i="48"/>
  <c r="G352" i="38"/>
  <c r="H275" i="38"/>
  <c r="H277" i="38" s="1"/>
  <c r="H309" i="38" s="1"/>
  <c r="P90" i="48" l="1"/>
  <c r="AC53" i="32"/>
  <c r="I257" i="38"/>
  <c r="I265" i="38" l="1"/>
  <c r="I261" i="38" l="1"/>
  <c r="J256" i="38"/>
  <c r="J259" i="38" s="1"/>
  <c r="J261" i="38" l="1"/>
  <c r="K256" i="38"/>
  <c r="K259" i="38" s="1"/>
  <c r="I262" i="38"/>
  <c r="I263" i="38" l="1"/>
  <c r="I267" i="38"/>
  <c r="K261" i="38"/>
  <c r="L256" i="38"/>
  <c r="L259" i="38" s="1"/>
  <c r="J262" i="38"/>
  <c r="L261" i="38" l="1"/>
  <c r="M256" i="38"/>
  <c r="M259" i="38" s="1"/>
  <c r="I275" i="38"/>
  <c r="J263" i="38"/>
  <c r="J280" i="38"/>
  <c r="J267" i="38"/>
  <c r="K262" i="38"/>
  <c r="K263" i="38" l="1"/>
  <c r="K280" i="38"/>
  <c r="K267" i="38"/>
  <c r="J275" i="38"/>
  <c r="P48" i="48"/>
  <c r="N256" i="38"/>
  <c r="N259" i="38" s="1"/>
  <c r="M261" i="38"/>
  <c r="L262" i="38"/>
  <c r="K275" i="38" l="1"/>
  <c r="M262" i="38"/>
  <c r="N261" i="38"/>
  <c r="O256" i="38"/>
  <c r="O259" i="38" s="1"/>
  <c r="L263" i="38"/>
  <c r="L267" i="38"/>
  <c r="L280" i="38"/>
  <c r="L275" i="38" l="1"/>
  <c r="N262" i="38"/>
  <c r="O261" i="38"/>
  <c r="P256" i="38"/>
  <c r="P259" i="38" s="1"/>
  <c r="M263" i="38"/>
  <c r="M267" i="38"/>
  <c r="M280" i="38"/>
  <c r="N263" i="38" l="1"/>
  <c r="N280" i="38"/>
  <c r="N267" i="38"/>
  <c r="M275" i="38"/>
  <c r="O262" i="38"/>
  <c r="P272" i="38"/>
  <c r="P261" i="38"/>
  <c r="Q256" i="38"/>
  <c r="Q259" i="38" s="1"/>
  <c r="P262" i="38" l="1"/>
  <c r="P280" i="38" s="1"/>
  <c r="O263" i="38"/>
  <c r="O280" i="38"/>
  <c r="O267" i="38"/>
  <c r="N275" i="38"/>
  <c r="P273" i="38"/>
  <c r="Q261" i="38"/>
  <c r="Q262" i="38" s="1"/>
  <c r="Q280" i="38" s="1"/>
  <c r="R256" i="38"/>
  <c r="R259" i="38" s="1"/>
  <c r="Q263" i="38" l="1"/>
  <c r="Q267" i="38"/>
  <c r="R261" i="38"/>
  <c r="R262" i="38" s="1"/>
  <c r="R280" i="38" s="1"/>
  <c r="S256" i="38"/>
  <c r="S259" i="38" s="1"/>
  <c r="O275" i="38"/>
  <c r="P263" i="38"/>
  <c r="P267" i="38"/>
  <c r="P275" i="38" s="1"/>
  <c r="T256" i="38" l="1"/>
  <c r="T259" i="38" s="1"/>
  <c r="S261" i="38"/>
  <c r="S262" i="38" s="1"/>
  <c r="S280" i="38" s="1"/>
  <c r="R267" i="38"/>
  <c r="R263" i="38"/>
  <c r="S267" i="38" l="1"/>
  <c r="S263" i="38"/>
  <c r="T261" i="38"/>
  <c r="T262" i="38" s="1"/>
  <c r="T280" i="38" s="1"/>
  <c r="U256" i="38"/>
  <c r="U259" i="38" s="1"/>
  <c r="T267" i="38" l="1"/>
  <c r="T263" i="38"/>
  <c r="U261" i="38"/>
  <c r="U262" i="38" s="1"/>
  <c r="U280" i="38" s="1"/>
  <c r="V256" i="38"/>
  <c r="V259" i="38" s="1"/>
  <c r="U267" i="38" l="1"/>
  <c r="U263" i="38"/>
  <c r="V261" i="38"/>
  <c r="V262" i="38" s="1"/>
  <c r="V280" i="38" s="1"/>
  <c r="W256" i="38"/>
  <c r="W259" i="38" s="1"/>
  <c r="V267" i="38" l="1"/>
  <c r="V263" i="38"/>
  <c r="W261" i="38"/>
  <c r="W262" i="38" s="1"/>
  <c r="W280" i="38" s="1"/>
  <c r="X256" i="38"/>
  <c r="X259" i="38" s="1"/>
  <c r="W267" i="38" l="1"/>
  <c r="W263" i="38"/>
  <c r="X261" i="38"/>
  <c r="X262" i="38" s="1"/>
  <c r="X280" i="38" s="1"/>
  <c r="Y256" i="38"/>
  <c r="Y259" i="38" s="1"/>
  <c r="X267" i="38" l="1"/>
  <c r="X263" i="38"/>
  <c r="Z256" i="38"/>
  <c r="Z259" i="38" s="1"/>
  <c r="Z261" i="38" s="1"/>
  <c r="Z262" i="38" s="1"/>
  <c r="Z280" i="38" s="1"/>
  <c r="Y261" i="38"/>
  <c r="Y262" i="38" s="1"/>
  <c r="Y280" i="38" s="1"/>
  <c r="Z267" i="38" l="1"/>
  <c r="Z263" i="38"/>
  <c r="Y267" i="38"/>
  <c r="Y263" i="38"/>
  <c r="V104" i="40"/>
  <c r="V105" i="40" s="1"/>
  <c r="V111" i="40" s="1"/>
  <c r="Y104" i="40"/>
  <c r="Y105" i="40" s="1"/>
  <c r="Y111" i="40" s="1"/>
  <c r="W104" i="40"/>
  <c r="W105" i="40" s="1"/>
  <c r="W111" i="40" s="1"/>
  <c r="H109" i="40"/>
  <c r="H104" i="40" s="1"/>
  <c r="P104" i="40"/>
  <c r="P105" i="40" s="1"/>
  <c r="P111" i="40" s="1"/>
  <c r="X104" i="40"/>
  <c r="X105" i="40" s="1"/>
  <c r="X111" i="40" s="1"/>
  <c r="T104" i="40"/>
  <c r="T105" i="40" s="1"/>
  <c r="T111" i="40" s="1"/>
  <c r="F109" i="40"/>
  <c r="F104" i="40" s="1"/>
  <c r="R104" i="40"/>
  <c r="R105" i="40" s="1"/>
  <c r="R111" i="40" s="1"/>
  <c r="Q104" i="40"/>
  <c r="Q105" i="40" s="1"/>
  <c r="Q111" i="40" s="1"/>
  <c r="G109" i="40"/>
  <c r="G104" i="40" s="1"/>
  <c r="O104" i="40"/>
  <c r="O105" i="40" s="1"/>
  <c r="O111" i="40" s="1"/>
  <c r="U104" i="40"/>
  <c r="U105" i="40" s="1"/>
  <c r="U111" i="40" s="1"/>
  <c r="N104" i="40"/>
  <c r="N105" i="40" s="1"/>
  <c r="N111" i="40" s="1"/>
  <c r="Z104" i="40"/>
  <c r="Z105" i="40" s="1"/>
  <c r="Z111" i="40" s="1"/>
  <c r="L104" i="40"/>
  <c r="L105" i="40" s="1"/>
  <c r="L111" i="40" s="1"/>
  <c r="M104" i="40"/>
  <c r="M105" i="40" s="1"/>
  <c r="M111" i="40" s="1"/>
  <c r="S104" i="40"/>
  <c r="S105" i="40" s="1"/>
  <c r="S111" i="40" s="1"/>
  <c r="J104" i="40"/>
  <c r="J105" i="40" s="1"/>
  <c r="J111" i="40" s="1"/>
  <c r="I104" i="40"/>
  <c r="I105" i="40" s="1"/>
  <c r="I111" i="40" s="1"/>
  <c r="K104" i="40"/>
  <c r="K105" i="40" s="1"/>
  <c r="K111" i="40" s="1"/>
  <c r="G111" i="40" l="1"/>
  <c r="F14" i="28" s="1"/>
  <c r="H111" i="40"/>
  <c r="H112" i="40" s="1"/>
  <c r="Z112" i="40"/>
  <c r="Z113" i="40"/>
  <c r="P112" i="40"/>
  <c r="P113" i="40"/>
  <c r="Y112" i="40"/>
  <c r="Y113" i="40"/>
  <c r="S113" i="40"/>
  <c r="S112" i="40"/>
  <c r="V112" i="40"/>
  <c r="V113" i="40"/>
  <c r="N112" i="40"/>
  <c r="N113" i="40"/>
  <c r="M113" i="40"/>
  <c r="M112" i="40"/>
  <c r="U112" i="40"/>
  <c r="U113" i="40"/>
  <c r="T112" i="40"/>
  <c r="T113" i="40"/>
  <c r="W113" i="40"/>
  <c r="W112" i="40"/>
  <c r="J112" i="40"/>
  <c r="J113" i="40"/>
  <c r="R112" i="40"/>
  <c r="R113" i="40"/>
  <c r="K113" i="40"/>
  <c r="G9" i="39" s="1"/>
  <c r="K112" i="40"/>
  <c r="I112" i="40"/>
  <c r="I113" i="40"/>
  <c r="L113" i="40"/>
  <c r="L112" i="40"/>
  <c r="O113" i="40"/>
  <c r="O112" i="40"/>
  <c r="Q112" i="40"/>
  <c r="Q113" i="40"/>
  <c r="X113" i="40"/>
  <c r="X112" i="40"/>
  <c r="G19" i="39"/>
  <c r="G112" i="40"/>
  <c r="G113" i="40"/>
  <c r="H113" i="40"/>
  <c r="F111" i="40"/>
  <c r="F113" i="40" l="1"/>
  <c r="F112" i="40"/>
  <c r="E14" i="28"/>
  <c r="G10" i="39"/>
  <c r="G20" i="39"/>
  <c r="L15" i="28" l="1"/>
  <c r="L63" i="41"/>
  <c r="L64" i="41" s="1"/>
  <c r="L70" i="41" s="1"/>
  <c r="L138" i="41" s="1"/>
  <c r="L215" i="41" s="1"/>
  <c r="L218" i="41" s="1"/>
  <c r="L248" i="41" s="1"/>
  <c r="L249" i="41" s="1"/>
  <c r="H7" i="39"/>
  <c r="Q63" i="41"/>
  <c r="Q64" i="41" s="1"/>
  <c r="Q70" i="41" s="1"/>
  <c r="Q138" i="41" s="1"/>
  <c r="Q215" i="41" s="1"/>
  <c r="Q218" i="41" s="1"/>
  <c r="Q249" i="41" s="1"/>
  <c r="O63" i="41"/>
  <c r="O64" i="41" s="1"/>
  <c r="O70" i="41" s="1"/>
  <c r="O138" i="41" s="1"/>
  <c r="O215" i="41" s="1"/>
  <c r="O218" i="41" s="1"/>
  <c r="O249" i="41" s="1"/>
  <c r="T63" i="41"/>
  <c r="T64" i="41" s="1"/>
  <c r="T70" i="41" s="1"/>
  <c r="T138" i="41" s="1"/>
  <c r="T215" i="41" s="1"/>
  <c r="T218" i="41" s="1"/>
  <c r="T249" i="41" s="1"/>
  <c r="X63" i="41"/>
  <c r="X64" i="41" s="1"/>
  <c r="X70" i="41" s="1"/>
  <c r="X138" i="41" s="1"/>
  <c r="X215" i="41" s="1"/>
  <c r="X218" i="41" s="1"/>
  <c r="W63" i="41"/>
  <c r="W64" i="41" s="1"/>
  <c r="W70" i="41" s="1"/>
  <c r="W138" i="41" s="1"/>
  <c r="W215" i="41" s="1"/>
  <c r="W218" i="41" s="1"/>
  <c r="W249" i="41" s="1"/>
  <c r="J63" i="41"/>
  <c r="J64" i="41" s="1"/>
  <c r="J70" i="41" s="1"/>
  <c r="J138" i="41" s="1"/>
  <c r="J215" i="41" s="1"/>
  <c r="J218" i="41" s="1"/>
  <c r="J248" i="41" s="1"/>
  <c r="U63" i="41"/>
  <c r="U64" i="41" s="1"/>
  <c r="U70" i="41" s="1"/>
  <c r="U138" i="41" s="1"/>
  <c r="U215" i="41" s="1"/>
  <c r="U218" i="41" s="1"/>
  <c r="U249" i="41" s="1"/>
  <c r="N63" i="41"/>
  <c r="N64" i="41" s="1"/>
  <c r="N70" i="41" s="1"/>
  <c r="N138" i="41" s="1"/>
  <c r="N215" i="41" s="1"/>
  <c r="N218" i="41" s="1"/>
  <c r="N249" i="41" s="1"/>
  <c r="F68" i="41"/>
  <c r="F63" i="41" s="1"/>
  <c r="F64" i="41" s="1"/>
  <c r="F70" i="41" s="1"/>
  <c r="I63" i="41"/>
  <c r="I64" i="41" s="1"/>
  <c r="I70" i="41" s="1"/>
  <c r="I138" i="41" s="1"/>
  <c r="I215" i="41" s="1"/>
  <c r="I218" i="41" s="1"/>
  <c r="I248" i="41" s="1"/>
  <c r="H68" i="41"/>
  <c r="H63" i="41" s="1"/>
  <c r="H64" i="41" s="1"/>
  <c r="H70" i="41" s="1"/>
  <c r="P63" i="41"/>
  <c r="P64" i="41" s="1"/>
  <c r="P70" i="41" s="1"/>
  <c r="P138" i="41" s="1"/>
  <c r="P215" i="41" s="1"/>
  <c r="P218" i="41" s="1"/>
  <c r="P249" i="41" s="1"/>
  <c r="Z63" i="41"/>
  <c r="Z64" i="41" s="1"/>
  <c r="Z70" i="41" s="1"/>
  <c r="Z138" i="41" s="1"/>
  <c r="Z215" i="41" s="1"/>
  <c r="Z218" i="41" s="1"/>
  <c r="M63" i="41"/>
  <c r="M64" i="41" s="1"/>
  <c r="M70" i="41" s="1"/>
  <c r="M138" i="41" s="1"/>
  <c r="M215" i="41" s="1"/>
  <c r="M218" i="41" s="1"/>
  <c r="R63" i="41"/>
  <c r="R64" i="41" s="1"/>
  <c r="R70" i="41" s="1"/>
  <c r="R138" i="41" s="1"/>
  <c r="R215" i="41" s="1"/>
  <c r="R218" i="41" s="1"/>
  <c r="R249" i="41" s="1"/>
  <c r="Y63" i="41"/>
  <c r="Y64" i="41" s="1"/>
  <c r="Y70" i="41" s="1"/>
  <c r="Y138" i="41" s="1"/>
  <c r="Y215" i="41" s="1"/>
  <c r="Y218" i="41" s="1"/>
  <c r="S63" i="41"/>
  <c r="S64" i="41" s="1"/>
  <c r="S70" i="41" s="1"/>
  <c r="S138" i="41" s="1"/>
  <c r="S215" i="41" s="1"/>
  <c r="S218" i="41" s="1"/>
  <c r="S249" i="41" s="1"/>
  <c r="G68" i="41"/>
  <c r="G63" i="41" s="1"/>
  <c r="G64" i="41" s="1"/>
  <c r="G70" i="41" s="1"/>
  <c r="V63" i="41"/>
  <c r="V64" i="41" s="1"/>
  <c r="V70" i="41" s="1"/>
  <c r="V138" i="41" s="1"/>
  <c r="V215" i="41" s="1"/>
  <c r="V218" i="41" s="1"/>
  <c r="V249" i="41" s="1"/>
  <c r="H17" i="39"/>
  <c r="S72" i="41" l="1"/>
  <c r="S71" i="41"/>
  <c r="E17" i="39"/>
  <c r="E81" i="39" s="1"/>
  <c r="F72" i="41"/>
  <c r="F71" i="41"/>
  <c r="G15" i="28"/>
  <c r="R71" i="41"/>
  <c r="R72" i="41"/>
  <c r="H72" i="41"/>
  <c r="H71" i="41"/>
  <c r="I15" i="28"/>
  <c r="N71" i="41"/>
  <c r="N72" i="41"/>
  <c r="Y71" i="41"/>
  <c r="Y72" i="41"/>
  <c r="M71" i="41"/>
  <c r="M72" i="41"/>
  <c r="M155" i="41" s="1"/>
  <c r="N15" i="28"/>
  <c r="P72" i="41"/>
  <c r="P71" i="41"/>
  <c r="X72" i="41"/>
  <c r="X71" i="41"/>
  <c r="H15" i="28"/>
  <c r="G71" i="41"/>
  <c r="G72" i="41"/>
  <c r="I71" i="41"/>
  <c r="I72" i="41"/>
  <c r="J15" i="28"/>
  <c r="J71" i="41"/>
  <c r="J72" i="41"/>
  <c r="K15" i="28"/>
  <c r="V71" i="41"/>
  <c r="V72" i="41"/>
  <c r="O72" i="41"/>
  <c r="O71" i="41"/>
  <c r="Z71" i="41"/>
  <c r="Z72" i="41"/>
  <c r="U71" i="41"/>
  <c r="U72" i="41"/>
  <c r="W72" i="41"/>
  <c r="W71" i="41"/>
  <c r="Q71" i="41"/>
  <c r="Q72" i="41"/>
  <c r="T72" i="41"/>
  <c r="T71" i="41"/>
  <c r="L72" i="41"/>
  <c r="L71" i="41"/>
  <c r="M15" i="28"/>
  <c r="E7" i="39"/>
  <c r="K18" i="28"/>
  <c r="J18" i="28"/>
  <c r="X113" i="41"/>
  <c r="I18" i="28"/>
  <c r="H135" i="41"/>
  <c r="M18" i="28"/>
  <c r="P113" i="41"/>
  <c r="Z113" i="41"/>
  <c r="O113" i="41"/>
  <c r="G113" i="41"/>
  <c r="G114" i="41"/>
  <c r="V113" i="41"/>
  <c r="R113" i="41"/>
  <c r="M113" i="41"/>
  <c r="H113" i="41"/>
  <c r="H114" i="41"/>
  <c r="L18" i="28"/>
  <c r="N18" i="28"/>
  <c r="N113" i="41"/>
  <c r="W113" i="41"/>
  <c r="J113" i="41"/>
  <c r="Y113" i="41"/>
  <c r="S113" i="41"/>
  <c r="Q113" i="41"/>
  <c r="L113" i="41"/>
  <c r="F114" i="41"/>
  <c r="I113" i="41"/>
  <c r="U113" i="41"/>
  <c r="T113" i="41"/>
  <c r="H10" i="39"/>
  <c r="K113" i="41"/>
  <c r="H9" i="39"/>
  <c r="K14" i="28"/>
  <c r="H14" i="28"/>
  <c r="G14" i="28"/>
  <c r="M14" i="28"/>
  <c r="F132" i="41"/>
  <c r="F134" i="41" s="1"/>
  <c r="L14" i="28"/>
  <c r="G132" i="41"/>
  <c r="G134" i="41" s="1"/>
  <c r="N14" i="28"/>
  <c r="J14" i="28"/>
  <c r="G105" i="41"/>
  <c r="F105" i="41"/>
  <c r="F106" i="41" s="1"/>
  <c r="F113" i="41" s="1"/>
  <c r="H105" i="41"/>
  <c r="I14" i="28"/>
  <c r="H19" i="39"/>
  <c r="H20" i="39"/>
  <c r="M166" i="41" l="1"/>
  <c r="M221" i="41" s="1"/>
  <c r="M157" i="41"/>
  <c r="M167" i="41" s="1"/>
  <c r="M222" i="41" s="1"/>
  <c r="H62" i="39"/>
  <c r="E20" i="39"/>
  <c r="E19" i="39"/>
  <c r="H18" i="28"/>
  <c r="G135" i="41"/>
  <c r="G136" i="41"/>
  <c r="F136" i="41"/>
  <c r="G18" i="28"/>
  <c r="F135" i="41"/>
  <c r="T22" i="48"/>
  <c r="E9" i="39"/>
  <c r="H13" i="39"/>
  <c r="T24" i="48" s="1"/>
  <c r="E10" i="39"/>
  <c r="M223" i="41" l="1"/>
  <c r="M248" i="41" s="1"/>
  <c r="T39" i="48"/>
  <c r="M249" i="41" l="1"/>
  <c r="D248" i="41"/>
  <c r="T44" i="48"/>
  <c r="AE53" i="32" l="1"/>
  <c r="T90" i="48"/>
  <c r="W175" i="41"/>
  <c r="X175" i="41"/>
  <c r="Q5" i="42"/>
  <c r="T175" i="41"/>
  <c r="V175" i="41"/>
  <c r="U175" i="41"/>
  <c r="Y175" i="41"/>
  <c r="Z175" i="41"/>
  <c r="O206" i="41"/>
  <c r="R5" i="42" s="1"/>
  <c r="R206" i="41"/>
  <c r="U5" i="42" s="1"/>
  <c r="R175" i="41"/>
  <c r="U206" i="41"/>
  <c r="X5" i="42"/>
  <c r="T206" i="41"/>
  <c r="W5" i="42" s="1"/>
  <c r="Q206" i="41"/>
  <c r="T5" i="42" s="1"/>
  <c r="S175" i="41"/>
  <c r="T44" i="42" l="1"/>
  <c r="T43" i="42"/>
  <c r="U32" i="42"/>
  <c r="W43" i="42"/>
  <c r="W44" i="42"/>
  <c r="R32" i="42"/>
  <c r="T32" i="42"/>
  <c r="U44" i="42"/>
  <c r="U43" i="42"/>
  <c r="R44" i="42"/>
  <c r="R43" i="42"/>
  <c r="X44" i="42"/>
  <c r="X43" i="42"/>
  <c r="Q32" i="42"/>
  <c r="P206" i="41"/>
  <c r="S5" i="42" s="1"/>
  <c r="Q44" i="42"/>
  <c r="Q43" i="42"/>
  <c r="W32" i="42" l="1"/>
  <c r="X32" i="42"/>
  <c r="S44" i="42"/>
  <c r="S43" i="42"/>
  <c r="S32" i="42" l="1"/>
  <c r="V23" i="42" l="1"/>
  <c r="U23" i="42"/>
  <c r="U14" i="42"/>
  <c r="I23" i="42" l="1"/>
  <c r="T21" i="48" l="1"/>
  <c r="M18" i="39"/>
  <c r="K88" i="41" s="1"/>
  <c r="K89" i="41" s="1"/>
  <c r="H23" i="39"/>
  <c r="H26" i="39" s="1"/>
  <c r="T26" i="48" s="1"/>
  <c r="K84" i="41" l="1"/>
  <c r="K91" i="41"/>
  <c r="H28" i="39"/>
  <c r="H64" i="39" s="1"/>
  <c r="X88" i="41"/>
  <c r="X89" i="41" s="1"/>
  <c r="S88" i="41"/>
  <c r="S89" i="41" s="1"/>
  <c r="N88" i="41"/>
  <c r="N89" i="41" s="1"/>
  <c r="R88" i="41"/>
  <c r="R89" i="41" s="1"/>
  <c r="U88" i="41"/>
  <c r="U89" i="41" s="1"/>
  <c r="Y88" i="41"/>
  <c r="Y89" i="41" s="1"/>
  <c r="T88" i="41"/>
  <c r="T89" i="41" s="1"/>
  <c r="Q88" i="41"/>
  <c r="Q89" i="41" s="1"/>
  <c r="J88" i="41"/>
  <c r="J89" i="41" s="1"/>
  <c r="O88" i="41"/>
  <c r="O89" i="41" s="1"/>
  <c r="V88" i="41"/>
  <c r="V89" i="41" s="1"/>
  <c r="W88" i="41"/>
  <c r="W89" i="41" s="1"/>
  <c r="P88" i="41"/>
  <c r="P89" i="41" s="1"/>
  <c r="H88" i="41"/>
  <c r="H89" i="41" s="1"/>
  <c r="M88" i="41"/>
  <c r="M89" i="41" s="1"/>
  <c r="L88" i="41"/>
  <c r="L89" i="41" s="1"/>
  <c r="L84" i="41" s="1"/>
  <c r="L85" i="41" s="1"/>
  <c r="Z88" i="41"/>
  <c r="Z89" i="41" s="1"/>
  <c r="F88" i="41"/>
  <c r="F89" i="41" s="1"/>
  <c r="I88" i="41"/>
  <c r="I89" i="41" s="1"/>
  <c r="G88" i="41"/>
  <c r="G89" i="41" s="1"/>
  <c r="M17" i="39"/>
  <c r="M16" i="39"/>
  <c r="M15" i="39"/>
  <c r="M20" i="39"/>
  <c r="M19" i="39"/>
  <c r="M52" i="39"/>
  <c r="M36" i="39"/>
  <c r="M62" i="39" l="1"/>
  <c r="U84" i="41"/>
  <c r="U91" i="41"/>
  <c r="X91" i="41"/>
  <c r="X84" i="41"/>
  <c r="P91" i="41"/>
  <c r="P84" i="41"/>
  <c r="W91" i="41"/>
  <c r="W84" i="41"/>
  <c r="T47" i="48"/>
  <c r="T17" i="32"/>
  <c r="Z84" i="41"/>
  <c r="Z91" i="41"/>
  <c r="L91" i="41"/>
  <c r="R91" i="41"/>
  <c r="R84" i="41"/>
  <c r="I91" i="41"/>
  <c r="I84" i="41"/>
  <c r="M84" i="41"/>
  <c r="V84" i="41"/>
  <c r="V91" i="41"/>
  <c r="T84" i="41"/>
  <c r="T91" i="41"/>
  <c r="N91" i="41"/>
  <c r="N84" i="41"/>
  <c r="K92" i="41"/>
  <c r="K93" i="41"/>
  <c r="J84" i="41"/>
  <c r="J91" i="41"/>
  <c r="G84" i="41"/>
  <c r="G91" i="41"/>
  <c r="Q84" i="41"/>
  <c r="Q91" i="41"/>
  <c r="F84" i="41"/>
  <c r="F91" i="41"/>
  <c r="H84" i="41"/>
  <c r="H91" i="41"/>
  <c r="O91" i="41"/>
  <c r="O84" i="41"/>
  <c r="Y91" i="41"/>
  <c r="Y84" i="41"/>
  <c r="S84" i="41"/>
  <c r="S91" i="41"/>
  <c r="I143" i="41" l="1"/>
  <c r="I142" i="41"/>
  <c r="I146" i="41"/>
  <c r="I147" i="41" s="1"/>
  <c r="J143" i="41"/>
  <c r="S92" i="41"/>
  <c r="S93" i="41"/>
  <c r="F93" i="41"/>
  <c r="F92" i="41"/>
  <c r="G92" i="41"/>
  <c r="G93" i="41"/>
  <c r="R93" i="41"/>
  <c r="R92" i="41"/>
  <c r="W92" i="41"/>
  <c r="W93" i="41"/>
  <c r="N143" i="41"/>
  <c r="X143" i="41"/>
  <c r="S143" i="41"/>
  <c r="O143" i="41"/>
  <c r="W143" i="41"/>
  <c r="Z143" i="41"/>
  <c r="R143" i="41"/>
  <c r="P143" i="41"/>
  <c r="T143" i="41"/>
  <c r="Q143" i="41"/>
  <c r="H143" i="41"/>
  <c r="L143" i="41"/>
  <c r="Y143" i="41"/>
  <c r="G143" i="41"/>
  <c r="U143" i="41"/>
  <c r="K143" i="41"/>
  <c r="M143" i="41"/>
  <c r="V143" i="41"/>
  <c r="R146" i="41"/>
  <c r="R147" i="41" s="1"/>
  <c r="S146" i="41"/>
  <c r="S147" i="41" s="1"/>
  <c r="N146" i="41"/>
  <c r="N147" i="41" s="1"/>
  <c r="Q146" i="41"/>
  <c r="Q147" i="41" s="1"/>
  <c r="U146" i="41"/>
  <c r="U147" i="41" s="1"/>
  <c r="Y146" i="41"/>
  <c r="Y147" i="41" s="1"/>
  <c r="AE51" i="32"/>
  <c r="T88" i="48"/>
  <c r="W146" i="41"/>
  <c r="W147" i="41" s="1"/>
  <c r="X146" i="41"/>
  <c r="X147" i="41" s="1"/>
  <c r="M146" i="41"/>
  <c r="M147" i="41" s="1"/>
  <c r="G146" i="41"/>
  <c r="L146" i="41"/>
  <c r="L147" i="41" s="1"/>
  <c r="P146" i="41"/>
  <c r="P147" i="41" s="1"/>
  <c r="T146" i="41"/>
  <c r="T147" i="41" s="1"/>
  <c r="O146" i="41"/>
  <c r="O147" i="41" s="1"/>
  <c r="K146" i="41"/>
  <c r="K147" i="41" s="1"/>
  <c r="F146" i="41"/>
  <c r="J146" i="41"/>
  <c r="Z146" i="41"/>
  <c r="Z147" i="41" s="1"/>
  <c r="F143" i="41"/>
  <c r="F144" i="41" s="1"/>
  <c r="G141" i="41" s="1"/>
  <c r="V146" i="41"/>
  <c r="V147" i="41" s="1"/>
  <c r="H146" i="41"/>
  <c r="U93" i="41"/>
  <c r="U92" i="41"/>
  <c r="T93" i="41"/>
  <c r="T92" i="41"/>
  <c r="M92" i="41"/>
  <c r="Z92" i="41"/>
  <c r="Z93" i="41"/>
  <c r="O92" i="41"/>
  <c r="O93" i="41"/>
  <c r="X92" i="41"/>
  <c r="X93" i="41"/>
  <c r="H92" i="41"/>
  <c r="H93" i="41"/>
  <c r="Q93" i="41"/>
  <c r="Q92" i="41"/>
  <c r="J92" i="41"/>
  <c r="J93" i="41"/>
  <c r="V93" i="41"/>
  <c r="V92" i="41"/>
  <c r="L92" i="41"/>
  <c r="L93" i="41"/>
  <c r="Y92" i="41"/>
  <c r="Y93" i="41"/>
  <c r="N93" i="41"/>
  <c r="N92" i="41"/>
  <c r="I92" i="41"/>
  <c r="I93" i="41"/>
  <c r="P92" i="41"/>
  <c r="P93" i="41"/>
  <c r="J147" i="41" l="1"/>
  <c r="J176" i="41" s="1"/>
  <c r="I144" i="41"/>
  <c r="J141" i="41" s="1"/>
  <c r="J144" i="41" s="1"/>
  <c r="K141" i="41" s="1"/>
  <c r="K144" i="41" s="1"/>
  <c r="L141" i="41" s="1"/>
  <c r="L144" i="41" s="1"/>
  <c r="M141" i="41" s="1"/>
  <c r="M144" i="41" s="1"/>
  <c r="G144" i="41"/>
  <c r="H141" i="41" s="1"/>
  <c r="H144" i="41" s="1"/>
  <c r="I141" i="41" s="1"/>
  <c r="P148" i="41"/>
  <c r="I176" i="41"/>
  <c r="W148" i="41"/>
  <c r="Y152" i="41"/>
  <c r="Z152" i="41"/>
  <c r="V152" i="41"/>
  <c r="O148" i="41"/>
  <c r="U152" i="41"/>
  <c r="K176" i="41"/>
  <c r="R152" i="41"/>
  <c r="F147" i="41"/>
  <c r="F148" i="41" s="1"/>
  <c r="G147" i="41"/>
  <c r="H147" i="41"/>
  <c r="H176" i="41" s="1"/>
  <c r="L176" i="41"/>
  <c r="X148" i="41"/>
  <c r="X152" i="41"/>
  <c r="S152" i="41"/>
  <c r="S148" i="41"/>
  <c r="W152" i="41" l="1"/>
  <c r="V148" i="41"/>
  <c r="I148" i="41"/>
  <c r="U148" i="41"/>
  <c r="Z148" i="41"/>
  <c r="P152" i="41"/>
  <c r="R148" i="41"/>
  <c r="Y148" i="41"/>
  <c r="O152" i="41"/>
  <c r="N141" i="41"/>
  <c r="N144" i="41" s="1"/>
  <c r="O141" i="41" s="1"/>
  <c r="O144" i="41" s="1"/>
  <c r="P141" i="41" s="1"/>
  <c r="P144" i="41" s="1"/>
  <c r="Q141" i="41" s="1"/>
  <c r="Q144" i="41" s="1"/>
  <c r="R141" i="41" s="1"/>
  <c r="R144" i="41" s="1"/>
  <c r="S141" i="41" s="1"/>
  <c r="S144" i="41" s="1"/>
  <c r="T141" i="41" s="1"/>
  <c r="T144" i="41" s="1"/>
  <c r="U141" i="41" s="1"/>
  <c r="U144" i="41" s="1"/>
  <c r="V141" i="41" s="1"/>
  <c r="V144" i="41" s="1"/>
  <c r="W141" i="41" s="1"/>
  <c r="W144" i="41" s="1"/>
  <c r="X141" i="41" s="1"/>
  <c r="X144" i="41" s="1"/>
  <c r="Y141" i="41" s="1"/>
  <c r="Y144" i="41" s="1"/>
  <c r="Z141" i="41" s="1"/>
  <c r="Z144" i="41" s="1"/>
  <c r="M158" i="41"/>
  <c r="G152" i="41"/>
  <c r="G176" i="41"/>
  <c r="F152" i="41"/>
  <c r="F176" i="41"/>
  <c r="G148" i="41"/>
  <c r="N152" i="41"/>
  <c r="N148" i="41"/>
  <c r="Q152" i="41"/>
  <c r="Q148" i="41"/>
  <c r="L152" i="41"/>
  <c r="L162" i="41" s="1"/>
  <c r="L148" i="41"/>
  <c r="M148" i="41"/>
  <c r="M152" i="41"/>
  <c r="K148" i="41"/>
  <c r="K152" i="41"/>
  <c r="K162" i="41" s="1"/>
  <c r="K173" i="41" s="1"/>
  <c r="K205" i="41" s="1"/>
  <c r="K206" i="41" s="1"/>
  <c r="T152" i="41"/>
  <c r="T148" i="41"/>
  <c r="H148" i="41"/>
  <c r="H152" i="41"/>
  <c r="H162" i="41" s="1"/>
  <c r="J148" i="41"/>
  <c r="J152" i="41"/>
  <c r="J162" i="41" s="1"/>
  <c r="J173" i="41" s="1"/>
  <c r="J205" i="41" s="1"/>
  <c r="M168" i="41" l="1"/>
  <c r="M176" i="41" s="1"/>
  <c r="M159" i="41"/>
  <c r="M162" i="41" s="1"/>
  <c r="M173" i="41" s="1"/>
  <c r="M205" i="41" s="1"/>
  <c r="M206" i="41" s="1"/>
  <c r="L173" i="41"/>
  <c r="L205" i="41" s="1"/>
  <c r="F162" i="41"/>
  <c r="F173" i="41" s="1"/>
  <c r="F205" i="41" s="1"/>
  <c r="G162" i="41"/>
  <c r="G173" i="41" s="1"/>
  <c r="G205" i="41" s="1"/>
  <c r="N5" i="42"/>
  <c r="H173" i="41"/>
  <c r="H205" i="41" s="1"/>
  <c r="N43" i="42" l="1"/>
  <c r="H31" i="42" l="1"/>
  <c r="S31" i="42"/>
  <c r="J31" i="42"/>
  <c r="K31" i="42"/>
  <c r="Y31" i="42"/>
  <c r="U31" i="42"/>
  <c r="I31" i="42"/>
  <c r="Z31" i="42"/>
  <c r="T31" i="42"/>
  <c r="R31" i="42"/>
  <c r="V31" i="42"/>
  <c r="N31" i="42"/>
  <c r="L31" i="42"/>
  <c r="W31" i="42"/>
  <c r="P31" i="42"/>
  <c r="Q31" i="42"/>
  <c r="O31" i="42"/>
  <c r="M31" i="42"/>
  <c r="X31" i="42"/>
  <c r="G31" i="42" l="1"/>
  <c r="D31" i="42" s="1"/>
  <c r="R14" i="48" l="1"/>
  <c r="P5" i="42" l="1"/>
  <c r="P43" i="42" l="1"/>
  <c r="H51" i="28"/>
  <c r="H60" i="28" s="1"/>
  <c r="X14" i="42" l="1"/>
  <c r="X23" i="42" l="1"/>
  <c r="F59" i="31" l="1"/>
  <c r="J59" i="31"/>
  <c r="I59" i="31"/>
  <c r="H59" i="31"/>
  <c r="I64" i="31" l="1"/>
  <c r="I65" i="31" s="1"/>
  <c r="J64" i="31"/>
  <c r="J65" i="31" s="1"/>
  <c r="AG59" i="31"/>
  <c r="BC59" i="31"/>
  <c r="H64" i="31"/>
  <c r="H10" i="32" s="1"/>
  <c r="AB59" i="31"/>
  <c r="AR59" i="31"/>
  <c r="U59" i="31"/>
  <c r="AM59" i="31"/>
  <c r="AA59" i="31"/>
  <c r="Y59" i="31"/>
  <c r="AK59" i="31"/>
  <c r="AW59" i="31"/>
  <c r="AX59" i="31"/>
  <c r="AQ59" i="31"/>
  <c r="AU59" i="31"/>
  <c r="AP59" i="31"/>
  <c r="AJ59" i="31"/>
  <c r="Z59" i="31"/>
  <c r="M59" i="31"/>
  <c r="N59" i="31"/>
  <c r="AZ59" i="31"/>
  <c r="AL59" i="31"/>
  <c r="AO59" i="31"/>
  <c r="AF59" i="31"/>
  <c r="BB59" i="31"/>
  <c r="AY59" i="31"/>
  <c r="AC59" i="31"/>
  <c r="AV59" i="31"/>
  <c r="Q59" i="31"/>
  <c r="AD59" i="31"/>
  <c r="BA59" i="31"/>
  <c r="AN59" i="31"/>
  <c r="O59" i="31"/>
  <c r="P59" i="31"/>
  <c r="AE59" i="31"/>
  <c r="R59" i="31"/>
  <c r="S59" i="31"/>
  <c r="T59" i="31"/>
  <c r="J10" i="32" l="1"/>
  <c r="J14" i="32" s="1"/>
  <c r="I10" i="32"/>
  <c r="J32" i="32"/>
  <c r="T32" i="32" s="1"/>
  <c r="P64" i="31"/>
  <c r="P65" i="31" s="1"/>
  <c r="AB64" i="31"/>
  <c r="AB65" i="31" s="1"/>
  <c r="BB64" i="31"/>
  <c r="BB65" i="31" s="1"/>
  <c r="R64" i="31"/>
  <c r="R65" i="31" s="1"/>
  <c r="AZ64" i="31"/>
  <c r="AZ65" i="31" s="1"/>
  <c r="AE64" i="31"/>
  <c r="AE65" i="31" s="1"/>
  <c r="AF64" i="31"/>
  <c r="AF65" i="31" s="1"/>
  <c r="AO64" i="31"/>
  <c r="AO65" i="31" s="1"/>
  <c r="AG64" i="31"/>
  <c r="AG65" i="31" s="1"/>
  <c r="N64" i="31"/>
  <c r="N65" i="31" s="1"/>
  <c r="AP64" i="31"/>
  <c r="AP65" i="31" s="1"/>
  <c r="AV64" i="31"/>
  <c r="AV65" i="31" s="1"/>
  <c r="AN64" i="31"/>
  <c r="AN65" i="31" s="1"/>
  <c r="AX64" i="31"/>
  <c r="AX65" i="31" s="1"/>
  <c r="BC64" i="31"/>
  <c r="BC65" i="31" s="1"/>
  <c r="AK64" i="31"/>
  <c r="AK65" i="31" s="1"/>
  <c r="Q64" i="31"/>
  <c r="Q65" i="31" s="1"/>
  <c r="U64" i="31"/>
  <c r="U65" i="31" s="1"/>
  <c r="Y64" i="31"/>
  <c r="Y65" i="31" s="1"/>
  <c r="AQ64" i="31"/>
  <c r="AQ65" i="31" s="1"/>
  <c r="M64" i="31"/>
  <c r="M65" i="31" s="1"/>
  <c r="AM64" i="31"/>
  <c r="AM65" i="31" s="1"/>
  <c r="AL64" i="31"/>
  <c r="AL65" i="31" s="1"/>
  <c r="AR64" i="31"/>
  <c r="AR65" i="31" s="1"/>
  <c r="O64" i="31"/>
  <c r="O65" i="31" s="1"/>
  <c r="AJ64" i="31"/>
  <c r="AJ65" i="31" s="1"/>
  <c r="AA64" i="31"/>
  <c r="AA65" i="31" s="1"/>
  <c r="T64" i="31"/>
  <c r="T65" i="31" s="1"/>
  <c r="AU64" i="31"/>
  <c r="AU65" i="31" s="1"/>
  <c r="AY64" i="31"/>
  <c r="AY65" i="31" s="1"/>
  <c r="G64" i="31"/>
  <c r="AC64" i="31"/>
  <c r="AC65" i="31" s="1"/>
  <c r="Z64" i="31"/>
  <c r="Z65" i="31" s="1"/>
  <c r="AD64" i="31"/>
  <c r="AD65" i="31" s="1"/>
  <c r="S64" i="31"/>
  <c r="S65" i="31" s="1"/>
  <c r="AW64" i="31"/>
  <c r="AW65" i="31" s="1"/>
  <c r="BA64" i="31"/>
  <c r="BA65" i="31" s="1"/>
  <c r="H65" i="31"/>
  <c r="P60" i="48"/>
  <c r="F288" i="38"/>
  <c r="F8" i="52" s="1"/>
  <c r="F53" i="52" s="1"/>
  <c r="I32" i="32"/>
  <c r="S32" i="32" s="1"/>
  <c r="R101" i="48" l="1"/>
  <c r="T101" i="48"/>
  <c r="T60" i="48"/>
  <c r="F184" i="41"/>
  <c r="F229" i="41" s="1"/>
  <c r="G10" i="32"/>
  <c r="F10" i="32" s="1"/>
  <c r="R60" i="48"/>
  <c r="AT65" i="31"/>
  <c r="AI65" i="31"/>
  <c r="H32" i="32"/>
  <c r="R32" i="32" s="1"/>
  <c r="X65" i="31"/>
  <c r="D47" i="28"/>
  <c r="D48" i="28" s="1"/>
  <c r="F333" i="38"/>
  <c r="R80" i="48"/>
  <c r="AJ54" i="32"/>
  <c r="I42" i="32"/>
  <c r="G65" i="31"/>
  <c r="F64" i="31"/>
  <c r="T80" i="48"/>
  <c r="J42" i="32"/>
  <c r="AK54" i="32"/>
  <c r="P101" i="48" l="1"/>
  <c r="Q32" i="32"/>
  <c r="F65" i="31"/>
  <c r="H184" i="41"/>
  <c r="G184" i="41"/>
  <c r="P80" i="48"/>
  <c r="AI54" i="32"/>
  <c r="G32" i="32"/>
  <c r="H42" i="32"/>
  <c r="G220" i="40"/>
  <c r="H220" i="40"/>
  <c r="P32" i="32" l="1"/>
  <c r="I8" i="52"/>
  <c r="I53" i="52" s="1"/>
  <c r="G229" i="41"/>
  <c r="J8" i="52"/>
  <c r="J53" i="52" s="1"/>
  <c r="H229" i="41"/>
  <c r="K8" i="52"/>
  <c r="K53" i="52" s="1"/>
  <c r="I47" i="28"/>
  <c r="I48" i="28" s="1"/>
  <c r="H288" i="38"/>
  <c r="H8" i="52" s="1"/>
  <c r="H53" i="52" s="1"/>
  <c r="G288" i="38"/>
  <c r="G8" i="52" s="1"/>
  <c r="G53" i="52" s="1"/>
  <c r="G42" i="32"/>
  <c r="G47" i="28"/>
  <c r="G48" i="28" s="1"/>
  <c r="H265" i="40"/>
  <c r="AH54" i="32"/>
  <c r="F32" i="32"/>
  <c r="H47" i="28"/>
  <c r="H48" i="28" s="1"/>
  <c r="D184" i="41"/>
  <c r="G265" i="40"/>
  <c r="D220" i="40"/>
  <c r="D229" i="41" l="1"/>
  <c r="H25" i="52"/>
  <c r="D64" i="52"/>
  <c r="G25" i="52"/>
  <c r="D19" i="52"/>
  <c r="D8" i="52"/>
  <c r="D265" i="40"/>
  <c r="F42" i="32"/>
  <c r="H333" i="38"/>
  <c r="F47" i="28"/>
  <c r="F48" i="28" s="1"/>
  <c r="G333" i="38"/>
  <c r="E47" i="28"/>
  <c r="E48" i="28" s="1"/>
  <c r="D288" i="38"/>
  <c r="D53" i="52" l="1"/>
  <c r="D333" i="38"/>
  <c r="F201" i="41" l="1"/>
  <c r="G201" i="41" l="1"/>
  <c r="F175" i="41"/>
  <c r="L32" i="42" l="1"/>
  <c r="L206" i="41"/>
  <c r="O5" i="42" s="1"/>
  <c r="H201" i="41"/>
  <c r="V206" i="41"/>
  <c r="Y5" i="42" s="1"/>
  <c r="I32" i="42"/>
  <c r="J32" i="42"/>
  <c r="I201" i="41" l="1"/>
  <c r="W206" i="41"/>
  <c r="Z5" i="42" s="1"/>
  <c r="O43" i="42"/>
  <c r="S206" i="41"/>
  <c r="Y44" i="42"/>
  <c r="Y43" i="42"/>
  <c r="J14" i="42"/>
  <c r="J201" i="41" l="1"/>
  <c r="X206" i="41"/>
  <c r="Z44" i="42"/>
  <c r="Z43" i="42"/>
  <c r="Y32" i="42"/>
  <c r="V5" i="42"/>
  <c r="K32" i="42"/>
  <c r="L14" i="42" l="1"/>
  <c r="Y206" i="41"/>
  <c r="K201" i="41"/>
  <c r="V14" i="42"/>
  <c r="D191" i="41"/>
  <c r="Z14" i="42"/>
  <c r="Z32" i="42"/>
  <c r="V32" i="42"/>
  <c r="I14" i="42"/>
  <c r="V43" i="42"/>
  <c r="V44" i="42"/>
  <c r="L175" i="41" l="1"/>
  <c r="L201" i="41"/>
  <c r="D201" i="41" s="1"/>
  <c r="K175" i="41"/>
  <c r="L23" i="42"/>
  <c r="Z206" i="41"/>
  <c r="M14" i="42" l="1"/>
  <c r="J23" i="42"/>
  <c r="Z23" i="42"/>
  <c r="K14" i="42"/>
  <c r="O14" i="42" l="1"/>
  <c r="M175" i="41"/>
  <c r="N175" i="41"/>
  <c r="D193" i="41"/>
  <c r="W14" i="42"/>
  <c r="Y14" i="42"/>
  <c r="P14" i="42" l="1"/>
  <c r="N14" i="42"/>
  <c r="D194" i="41" l="1"/>
  <c r="O175" i="41"/>
  <c r="K23" i="42"/>
  <c r="W23" i="42"/>
  <c r="Y23" i="42"/>
  <c r="P175" i="41" l="1"/>
  <c r="R14" i="42"/>
  <c r="Q175" i="41"/>
  <c r="Q14" i="42"/>
  <c r="R23" i="42" l="1"/>
  <c r="S14" i="42"/>
  <c r="Q23" i="42"/>
  <c r="S23" i="42" l="1"/>
  <c r="T14" i="42" l="1"/>
  <c r="D14" i="42" s="1"/>
  <c r="T23" i="42"/>
  <c r="W310" i="38" l="1"/>
  <c r="W3" i="42" s="1"/>
  <c r="U310" i="38"/>
  <c r="U3" i="42" s="1"/>
  <c r="R310" i="38"/>
  <c r="R3" i="42" s="1"/>
  <c r="X310" i="38"/>
  <c r="X3" i="42" s="1"/>
  <c r="T310" i="38"/>
  <c r="T3" i="42" s="1"/>
  <c r="V310" i="38"/>
  <c r="V3" i="42" s="1"/>
  <c r="Z310" i="38"/>
  <c r="Z3" i="42" s="1"/>
  <c r="Z39" i="42" s="1"/>
  <c r="Y310" i="38"/>
  <c r="Y3" i="42" s="1"/>
  <c r="S310" i="38"/>
  <c r="S3" i="42" s="1"/>
  <c r="T30" i="42" l="1"/>
  <c r="T33" i="42" s="1"/>
  <c r="Y40" i="42"/>
  <c r="Y39" i="42"/>
  <c r="Z40" i="42"/>
  <c r="T39" i="42"/>
  <c r="T40" i="42"/>
  <c r="S40" i="42"/>
  <c r="S39" i="42"/>
  <c r="V39" i="42"/>
  <c r="V40" i="42"/>
  <c r="W40" i="42"/>
  <c r="W39" i="42"/>
  <c r="X39" i="42"/>
  <c r="X40" i="42"/>
  <c r="U40" i="42"/>
  <c r="U39" i="42"/>
  <c r="R39" i="42"/>
  <c r="R40" i="42"/>
  <c r="W30" i="42"/>
  <c r="W33" i="42" s="1"/>
  <c r="Q310" i="38"/>
  <c r="Q3" i="42" s="1"/>
  <c r="U30" i="42"/>
  <c r="U33" i="42" s="1"/>
  <c r="R30" i="42" l="1"/>
  <c r="R33" i="42" s="1"/>
  <c r="Q40" i="42"/>
  <c r="Q39" i="42"/>
  <c r="X30" i="42"/>
  <c r="X33" i="42" s="1"/>
  <c r="Q30" i="42"/>
  <c r="Q33" i="42" s="1"/>
  <c r="V30" i="42"/>
  <c r="V33" i="42" s="1"/>
  <c r="Z30" i="42"/>
  <c r="Z33" i="42" s="1"/>
  <c r="Y30" i="42" l="1"/>
  <c r="Y33" i="42" s="1"/>
  <c r="S30" i="42"/>
  <c r="S33" i="42" s="1"/>
  <c r="F340" i="38" l="1"/>
  <c r="D340" i="38" l="1"/>
  <c r="D297" i="38" l="1"/>
  <c r="D342" i="38" l="1"/>
  <c r="D298" i="38"/>
  <c r="D343" i="38" l="1"/>
  <c r="G344" i="38"/>
  <c r="G346" i="38"/>
  <c r="G305" i="38"/>
  <c r="G279" i="38"/>
  <c r="G345" i="38"/>
  <c r="H344" i="38" l="1"/>
  <c r="H346" i="38"/>
  <c r="H305" i="38"/>
  <c r="H279" i="38"/>
  <c r="H345" i="38"/>
  <c r="I344" i="38"/>
  <c r="I305" i="38"/>
  <c r="I346" i="38"/>
  <c r="I345" i="38"/>
  <c r="J345" i="38" l="1"/>
  <c r="J279" i="38"/>
  <c r="J344" i="38"/>
  <c r="K345" i="38" l="1"/>
  <c r="K279" i="38"/>
  <c r="K344" i="38"/>
  <c r="L345" i="38" l="1"/>
  <c r="L279" i="38"/>
  <c r="L344" i="38"/>
  <c r="N344" i="38" l="1"/>
  <c r="M344" i="38"/>
  <c r="M345" i="38" l="1"/>
  <c r="M279" i="38"/>
  <c r="O344" i="38"/>
  <c r="P344" i="38" l="1"/>
  <c r="O345" i="38"/>
  <c r="O279" i="38"/>
  <c r="N345" i="38"/>
  <c r="N279" i="38"/>
  <c r="Q344" i="38" l="1"/>
  <c r="P279" i="38"/>
  <c r="P345" i="38"/>
  <c r="R279" i="38" l="1"/>
  <c r="R345" i="38"/>
  <c r="Q345" i="38"/>
  <c r="Q279" i="38"/>
  <c r="R344" i="38"/>
  <c r="S345" i="38" l="1"/>
  <c r="S279" i="38"/>
  <c r="S344" i="38"/>
  <c r="T344" i="38" l="1"/>
  <c r="U344" i="38" l="1"/>
  <c r="T345" i="38"/>
  <c r="T279" i="38"/>
  <c r="U279" i="38" l="1"/>
  <c r="U345" i="38"/>
  <c r="V344" i="38"/>
  <c r="W344" i="38" l="1"/>
  <c r="V345" i="38"/>
  <c r="V279" i="38"/>
  <c r="X344" i="38" l="1"/>
  <c r="W279" i="38"/>
  <c r="W345" i="38"/>
  <c r="X279" i="38" l="1"/>
  <c r="X345" i="38"/>
  <c r="Y344" i="38"/>
  <c r="Y279" i="38" l="1"/>
  <c r="Y345" i="38"/>
  <c r="Z344" i="38"/>
  <c r="D299" i="38"/>
  <c r="D344" i="38" l="1"/>
  <c r="Z345" i="38"/>
  <c r="Z279" i="38"/>
  <c r="P305" i="38"/>
  <c r="V305" i="38"/>
  <c r="W305" i="38"/>
  <c r="L305" i="38"/>
  <c r="Q305" i="38"/>
  <c r="Y305" i="38"/>
  <c r="N305" i="38"/>
  <c r="R305" i="38"/>
  <c r="T305" i="38"/>
  <c r="M305" i="38"/>
  <c r="J305" i="38"/>
  <c r="X305" i="38"/>
  <c r="O305" i="38"/>
  <c r="X346" i="38"/>
  <c r="X347" i="38" s="1"/>
  <c r="T346" i="38"/>
  <c r="T347" i="38" s="1"/>
  <c r="K305" i="38"/>
  <c r="R346" i="38"/>
  <c r="J346" i="38"/>
  <c r="Z305" i="38"/>
  <c r="S305" i="38"/>
  <c r="W346" i="38"/>
  <c r="W347" i="38" s="1"/>
  <c r="Y346" i="38"/>
  <c r="Y347" i="38" s="1"/>
  <c r="Z346" i="38"/>
  <c r="Z347" i="38" s="1"/>
  <c r="Z351" i="38" s="1"/>
  <c r="P346" i="38"/>
  <c r="K346" i="38"/>
  <c r="U305" i="38"/>
  <c r="L346" i="38"/>
  <c r="L347" i="38" s="1"/>
  <c r="O346" i="38"/>
  <c r="O347" i="38" s="1"/>
  <c r="Q346" i="38"/>
  <c r="U346" i="38"/>
  <c r="U347" i="38" s="1"/>
  <c r="V346" i="38"/>
  <c r="V347" i="38" s="1"/>
  <c r="S346" i="38"/>
  <c r="M346" i="38"/>
  <c r="M347" i="38" s="1"/>
  <c r="N346" i="38"/>
  <c r="N347" i="38" s="1"/>
  <c r="U351" i="38" l="1"/>
  <c r="U353" i="38" s="1"/>
  <c r="U12" i="42" s="1"/>
  <c r="U348" i="38"/>
  <c r="N351" i="38"/>
  <c r="N348" i="38"/>
  <c r="R347" i="38"/>
  <c r="R351" i="38" s="1"/>
  <c r="X351" i="38"/>
  <c r="X348" i="38"/>
  <c r="P347" i="38"/>
  <c r="P351" i="38" s="1"/>
  <c r="O351" i="38"/>
  <c r="O348" i="38"/>
  <c r="L351" i="38"/>
  <c r="L348" i="38"/>
  <c r="T351" i="38"/>
  <c r="T348" i="38"/>
  <c r="K347" i="38"/>
  <c r="K351" i="38" s="1"/>
  <c r="S347" i="38"/>
  <c r="S351" i="38" s="1"/>
  <c r="Y351" i="38"/>
  <c r="Y353" i="38" s="1"/>
  <c r="Y12" i="42" s="1"/>
  <c r="Y348" i="38"/>
  <c r="Q347" i="38"/>
  <c r="Q351" i="38" s="1"/>
  <c r="M351" i="38"/>
  <c r="M348" i="38"/>
  <c r="V351" i="38"/>
  <c r="V348" i="38"/>
  <c r="W351" i="38"/>
  <c r="W353" i="38" s="1"/>
  <c r="W12" i="42" s="1"/>
  <c r="W348" i="38"/>
  <c r="Z348" i="38"/>
  <c r="Z353" i="38"/>
  <c r="Z12" i="42" s="1"/>
  <c r="U21" i="42"/>
  <c r="R348" i="38" l="1"/>
  <c r="K348" i="38"/>
  <c r="Q348" i="38"/>
  <c r="P348" i="38"/>
  <c r="S348" i="38"/>
  <c r="S353" i="38"/>
  <c r="S12" i="42" s="1"/>
  <c r="T353" i="38"/>
  <c r="T12" i="42" s="1"/>
  <c r="X353" i="38"/>
  <c r="X12" i="42" s="1"/>
  <c r="R353" i="38"/>
  <c r="R12" i="42" s="1"/>
  <c r="Y21" i="42"/>
  <c r="V353" i="38"/>
  <c r="V12" i="42" s="1"/>
  <c r="Q353" i="38"/>
  <c r="Q12" i="42" s="1"/>
  <c r="S21" i="42" l="1"/>
  <c r="Z21" i="42"/>
  <c r="W21" i="42"/>
  <c r="T21" i="42" l="1"/>
  <c r="Q21" i="42"/>
  <c r="V21" i="42"/>
  <c r="R21" i="42"/>
  <c r="X21" i="42"/>
  <c r="D346" i="38" l="1"/>
  <c r="P69" i="48"/>
  <c r="F300" i="38"/>
  <c r="F20" i="52" s="1"/>
  <c r="F65" i="52" s="1"/>
  <c r="H70" i="31"/>
  <c r="G70" i="31" s="1"/>
  <c r="H71" i="31"/>
  <c r="G71" i="31" s="1"/>
  <c r="D300" i="38" l="1"/>
  <c r="F345" i="38"/>
  <c r="D345" i="38" s="1"/>
  <c r="F305" i="38"/>
  <c r="F25" i="52" l="1"/>
  <c r="D305" i="38"/>
  <c r="D49" i="28"/>
  <c r="D50" i="28" s="1"/>
  <c r="G18" i="32"/>
  <c r="F18" i="32" s="1"/>
  <c r="X54" i="32"/>
  <c r="D58" i="28" l="1"/>
  <c r="D52" i="28"/>
  <c r="P91" i="48"/>
  <c r="W54" i="32"/>
  <c r="AC54" i="32"/>
  <c r="AB54" i="32" l="1"/>
  <c r="P20" i="32"/>
  <c r="S211" i="40" l="1"/>
  <c r="S278" i="40"/>
  <c r="U211" i="40"/>
  <c r="U278" i="40"/>
  <c r="X237" i="40"/>
  <c r="W278" i="40"/>
  <c r="W211" i="40"/>
  <c r="Z237" i="40"/>
  <c r="Z211" i="40"/>
  <c r="Z278" i="40"/>
  <c r="F278" i="40"/>
  <c r="T237" i="40"/>
  <c r="Q237" i="40"/>
  <c r="P278" i="40"/>
  <c r="P211" i="40"/>
  <c r="R211" i="40"/>
  <c r="R278" i="40"/>
  <c r="T211" i="40"/>
  <c r="T278" i="40"/>
  <c r="Z272" i="40"/>
  <c r="V278" i="40"/>
  <c r="V211" i="40"/>
  <c r="Y237" i="40"/>
  <c r="V237" i="40"/>
  <c r="P237" i="40"/>
  <c r="Z242" i="40"/>
  <c r="Y211" i="40"/>
  <c r="Y278" i="40"/>
  <c r="X211" i="40"/>
  <c r="X278" i="40"/>
  <c r="R237" i="40"/>
  <c r="M211" i="40"/>
  <c r="L61" i="28" s="1"/>
  <c r="J211" i="40"/>
  <c r="W237" i="40"/>
  <c r="U237" i="40"/>
  <c r="Q278" i="40"/>
  <c r="Q211" i="40"/>
  <c r="P272" i="40"/>
  <c r="L211" i="40"/>
  <c r="K61" i="28" s="1"/>
  <c r="I278" i="40"/>
  <c r="F272" i="40"/>
  <c r="S237" i="40"/>
  <c r="M278" i="40"/>
  <c r="D229" i="40"/>
  <c r="L278" i="40"/>
  <c r="O278" i="40"/>
  <c r="O211" i="40"/>
  <c r="N61" i="28"/>
  <c r="J278" i="40"/>
  <c r="V272" i="40"/>
  <c r="Y272" i="40"/>
  <c r="W272" i="40"/>
  <c r="R272" i="40"/>
  <c r="N211" i="40"/>
  <c r="M61" i="28" s="1"/>
  <c r="N278" i="40"/>
  <c r="N237" i="40"/>
  <c r="M49" i="28" s="1"/>
  <c r="M50" i="28" s="1"/>
  <c r="T272" i="40"/>
  <c r="U272" i="40"/>
  <c r="K278" i="40"/>
  <c r="K211" i="40"/>
  <c r="J61" i="28" s="1"/>
  <c r="M272" i="40"/>
  <c r="S272" i="40"/>
  <c r="H237" i="40"/>
  <c r="G49" i="28" s="1"/>
  <c r="G50" i="28" s="1"/>
  <c r="X272" i="40"/>
  <c r="Q272" i="40"/>
  <c r="H272" i="40"/>
  <c r="O237" i="40"/>
  <c r="N49" i="28" s="1"/>
  <c r="N50" i="28" s="1"/>
  <c r="N272" i="40"/>
  <c r="M237" i="40"/>
  <c r="L49" i="28" s="1"/>
  <c r="L50" i="28" s="1"/>
  <c r="J237" i="40"/>
  <c r="I49" i="28" s="1"/>
  <c r="I50" i="28" s="1"/>
  <c r="I272" i="40"/>
  <c r="I237" i="40"/>
  <c r="H49" i="28" s="1"/>
  <c r="H50" i="28" s="1"/>
  <c r="H52" i="28" s="1"/>
  <c r="F237" i="40"/>
  <c r="J272" i="40"/>
  <c r="O272" i="40"/>
  <c r="G272" i="40"/>
  <c r="F211" i="40"/>
  <c r="E61" i="28" s="1"/>
  <c r="G237" i="40"/>
  <c r="F49" i="28" s="1"/>
  <c r="F50" i="28" s="1"/>
  <c r="L237" i="40"/>
  <c r="K49" i="28" s="1"/>
  <c r="K50" i="28" s="1"/>
  <c r="K237" i="40"/>
  <c r="J49" i="28" s="1"/>
  <c r="J50" i="28" s="1"/>
  <c r="K272" i="40"/>
  <c r="L272" i="40"/>
  <c r="R279" i="40" l="1"/>
  <c r="R283" i="40" s="1"/>
  <c r="K279" i="40"/>
  <c r="K283" i="40" s="1"/>
  <c r="Y279" i="40"/>
  <c r="Y283" i="40" s="1"/>
  <c r="M279" i="40"/>
  <c r="M283" i="40" s="1"/>
  <c r="T279" i="40"/>
  <c r="T283" i="40" s="1"/>
  <c r="R242" i="40"/>
  <c r="S4" i="42" s="1"/>
  <c r="S41" i="42" s="1"/>
  <c r="U279" i="40"/>
  <c r="U283" i="40" s="1"/>
  <c r="W242" i="40"/>
  <c r="X4" i="42" s="1"/>
  <c r="X41" i="42" s="1"/>
  <c r="Q279" i="40"/>
  <c r="Q283" i="40" s="1"/>
  <c r="S279" i="40"/>
  <c r="S283" i="40" s="1"/>
  <c r="O279" i="40"/>
  <c r="O283" i="40" s="1"/>
  <c r="I58" i="28"/>
  <c r="N279" i="40"/>
  <c r="N283" i="40" s="1"/>
  <c r="W279" i="40"/>
  <c r="W283" i="40" s="1"/>
  <c r="Y285" i="40"/>
  <c r="Z13" i="42" s="1"/>
  <c r="Z15" i="42" s="1"/>
  <c r="L279" i="40"/>
  <c r="L283" i="40" s="1"/>
  <c r="X279" i="40"/>
  <c r="X283" i="40" s="1"/>
  <c r="V279" i="40"/>
  <c r="V283" i="40" s="1"/>
  <c r="P279" i="40"/>
  <c r="P283" i="40" s="1"/>
  <c r="Z279" i="40"/>
  <c r="Z283" i="40" s="1"/>
  <c r="J58" i="28"/>
  <c r="J52" i="28"/>
  <c r="F58" i="28"/>
  <c r="Q242" i="40"/>
  <c r="R4" i="42" s="1"/>
  <c r="Y242" i="40"/>
  <c r="Z4" i="42" s="1"/>
  <c r="K58" i="28"/>
  <c r="K52" i="28"/>
  <c r="S242" i="40"/>
  <c r="T4" i="42" s="1"/>
  <c r="D272" i="40"/>
  <c r="N52" i="28"/>
  <c r="N58" i="28"/>
  <c r="H58" i="28"/>
  <c r="T242" i="40"/>
  <c r="U4" i="42" s="1"/>
  <c r="V242" i="40"/>
  <c r="W4" i="42" s="1"/>
  <c r="U242" i="40"/>
  <c r="V4" i="42" s="1"/>
  <c r="D237" i="40"/>
  <c r="E49" i="28"/>
  <c r="E50" i="28" s="1"/>
  <c r="P242" i="40"/>
  <c r="Q4" i="42" s="1"/>
  <c r="X242" i="40"/>
  <c r="Y4" i="42" s="1"/>
  <c r="G58" i="28"/>
  <c r="L52" i="28"/>
  <c r="L58" i="28"/>
  <c r="M58" i="28"/>
  <c r="M52" i="28"/>
  <c r="R280" i="40" l="1"/>
  <c r="O280" i="40"/>
  <c r="W280" i="40"/>
  <c r="Q280" i="40"/>
  <c r="P280" i="40"/>
  <c r="X280" i="40"/>
  <c r="K280" i="40"/>
  <c r="N280" i="40"/>
  <c r="M280" i="40"/>
  <c r="L280" i="40"/>
  <c r="V280" i="40"/>
  <c r="Z280" i="40"/>
  <c r="Y280" i="40"/>
  <c r="T280" i="40"/>
  <c r="S280" i="40"/>
  <c r="U280" i="40"/>
  <c r="S42" i="42"/>
  <c r="S6" i="42"/>
  <c r="S45" i="42" s="1"/>
  <c r="T285" i="40"/>
  <c r="U13" i="42" s="1"/>
  <c r="U15" i="42" s="1"/>
  <c r="U285" i="40"/>
  <c r="V13" i="42" s="1"/>
  <c r="V15" i="42" s="1"/>
  <c r="X6" i="42"/>
  <c r="X45" i="42" s="1"/>
  <c r="X42" i="42"/>
  <c r="W6" i="42"/>
  <c r="W42" i="42"/>
  <c r="W41" i="42"/>
  <c r="U42" i="42"/>
  <c r="U41" i="42"/>
  <c r="U6" i="42"/>
  <c r="V285" i="40"/>
  <c r="W13" i="42" s="1"/>
  <c r="W15" i="42" s="1"/>
  <c r="S285" i="40"/>
  <c r="T13" i="42" s="1"/>
  <c r="T15" i="42" s="1"/>
  <c r="Y41" i="42"/>
  <c r="Y42" i="42"/>
  <c r="Y6" i="42"/>
  <c r="Z6" i="42"/>
  <c r="Z42" i="42"/>
  <c r="Z41" i="42"/>
  <c r="Q6" i="42"/>
  <c r="Q41" i="42"/>
  <c r="Q42" i="42"/>
  <c r="V42" i="42"/>
  <c r="V41" i="42"/>
  <c r="V6" i="42"/>
  <c r="P285" i="40"/>
  <c r="Q13" i="42" s="1"/>
  <c r="Q15" i="42" s="1"/>
  <c r="W285" i="40"/>
  <c r="X13" i="42" s="1"/>
  <c r="X15" i="42" s="1"/>
  <c r="Q285" i="40"/>
  <c r="R13" i="42" s="1"/>
  <c r="R15" i="42" s="1"/>
  <c r="R42" i="42"/>
  <c r="R6" i="42"/>
  <c r="R41" i="42"/>
  <c r="E58" i="28"/>
  <c r="R285" i="40"/>
  <c r="S13" i="42" s="1"/>
  <c r="S15" i="42" s="1"/>
  <c r="T6" i="42"/>
  <c r="T42" i="42"/>
  <c r="T41" i="42"/>
  <c r="S46" i="42" l="1"/>
  <c r="X46" i="42"/>
  <c r="X285" i="40"/>
  <c r="Y13" i="42" s="1"/>
  <c r="Y15" i="42" s="1"/>
  <c r="Z285" i="40"/>
  <c r="V22" i="42"/>
  <c r="V24" i="42" s="1"/>
  <c r="U45" i="42"/>
  <c r="U46" i="42"/>
  <c r="U22" i="42"/>
  <c r="U24" i="42" s="1"/>
  <c r="Z22" i="42"/>
  <c r="Z24" i="42" s="1"/>
  <c r="Z46" i="42"/>
  <c r="Z45" i="42"/>
  <c r="Y45" i="42"/>
  <c r="Y46" i="42"/>
  <c r="V46" i="42"/>
  <c r="V45" i="42"/>
  <c r="R45" i="42"/>
  <c r="R46" i="42"/>
  <c r="T46" i="42"/>
  <c r="T45" i="42"/>
  <c r="Q46" i="42"/>
  <c r="Q45" i="42"/>
  <c r="W46" i="42"/>
  <c r="W45" i="42"/>
  <c r="Q22" i="42" l="1"/>
  <c r="Q24" i="42" s="1"/>
  <c r="R22" i="42"/>
  <c r="R24" i="42" s="1"/>
  <c r="W22" i="42"/>
  <c r="W24" i="42" s="1"/>
  <c r="Y22" i="42"/>
  <c r="Y24" i="42" s="1"/>
  <c r="S22" i="42"/>
  <c r="S24" i="42" s="1"/>
  <c r="X22" i="42"/>
  <c r="X24" i="42" s="1"/>
  <c r="T22" i="42"/>
  <c r="T24" i="42" s="1"/>
  <c r="D278" i="40" l="1"/>
  <c r="H21" i="42"/>
  <c r="I30" i="42"/>
  <c r="I33" i="42" s="1"/>
  <c r="O30" i="42"/>
  <c r="I21" i="42"/>
  <c r="H30" i="42"/>
  <c r="H33" i="42" s="1"/>
  <c r="P14" i="48"/>
  <c r="J30" i="42"/>
  <c r="J33" i="42" s="1"/>
  <c r="F21" i="42"/>
  <c r="F24" i="42" s="1"/>
  <c r="K30" i="42"/>
  <c r="K33" i="42" s="1"/>
  <c r="P21" i="42"/>
  <c r="M21" i="42"/>
  <c r="G30" i="42"/>
  <c r="G33" i="42"/>
  <c r="J21" i="42"/>
  <c r="L30" i="42"/>
  <c r="L33" i="42" s="1"/>
  <c r="N30" i="42"/>
  <c r="F30" i="42"/>
  <c r="O21" i="42"/>
  <c r="L21" i="42"/>
  <c r="M30" i="42"/>
  <c r="G21" i="42"/>
  <c r="K21" i="42"/>
  <c r="N21" i="42"/>
  <c r="P30" i="42"/>
  <c r="D30" i="42" l="1"/>
  <c r="F33" i="42"/>
  <c r="D21" i="42"/>
  <c r="I22" i="42"/>
  <c r="I24" i="42" s="1"/>
  <c r="P22" i="42"/>
  <c r="J22" i="42"/>
  <c r="J24" i="42" s="1"/>
  <c r="L22" i="42"/>
  <c r="L24" i="42" s="1"/>
  <c r="O22" i="42"/>
  <c r="N22" i="42"/>
  <c r="K22" i="42"/>
  <c r="K24" i="42" s="1"/>
  <c r="M22" i="42"/>
  <c r="H22" i="42"/>
  <c r="H24" i="42" s="1"/>
  <c r="G22" i="42"/>
  <c r="D22" i="42" l="1"/>
  <c r="G24" i="42"/>
  <c r="N23" i="42"/>
  <c r="N24" i="42" s="1"/>
  <c r="P23" i="42"/>
  <c r="P24" i="42" s="1"/>
  <c r="O23" i="42"/>
  <c r="O24" i="42" s="1"/>
  <c r="M23" i="42"/>
  <c r="M32" i="42"/>
  <c r="M33" i="42" s="1"/>
  <c r="N32" i="42"/>
  <c r="N33" i="42" s="1"/>
  <c r="P32" i="42"/>
  <c r="P33" i="42" s="1"/>
  <c r="O32" i="42"/>
  <c r="O33" i="42" s="1"/>
  <c r="D32" i="42" l="1"/>
  <c r="D36" i="42"/>
  <c r="D23" i="42"/>
  <c r="M24" i="42"/>
  <c r="D26" i="42" s="1"/>
  <c r="D27" i="42" s="1"/>
  <c r="O14" i="48" l="1"/>
  <c r="D242" i="41" l="1"/>
  <c r="J25" i="52"/>
  <c r="K25" i="52"/>
  <c r="D20" i="52" l="1"/>
  <c r="D25" i="52"/>
  <c r="D65" i="52" l="1"/>
  <c r="D54" i="52"/>
  <c r="D66" i="52"/>
  <c r="Q73" i="52"/>
  <c r="X73" i="52"/>
  <c r="U73" i="52"/>
  <c r="V73" i="52"/>
  <c r="Y73" i="52"/>
  <c r="Z73" i="52"/>
  <c r="R73" i="52"/>
  <c r="T73" i="52"/>
  <c r="S73" i="52"/>
  <c r="W73" i="52"/>
  <c r="Q42" i="52"/>
  <c r="U42" i="52"/>
  <c r="Z42" i="52"/>
  <c r="S42" i="52"/>
  <c r="W42" i="52"/>
  <c r="X42" i="52"/>
  <c r="T42" i="52"/>
  <c r="V42" i="52"/>
  <c r="Y42" i="52"/>
  <c r="R42" i="52"/>
  <c r="AZ71" i="31"/>
  <c r="N8" i="39"/>
  <c r="AX71" i="31"/>
  <c r="N10" i="39"/>
  <c r="AW71" i="31"/>
  <c r="AY71" i="31"/>
  <c r="BB71" i="31"/>
  <c r="BB70" i="31"/>
  <c r="N9" i="39"/>
  <c r="AV71" i="31"/>
  <c r="AW70" i="31"/>
  <c r="N7" i="39"/>
  <c r="AU70" i="31"/>
  <c r="AX70" i="31"/>
  <c r="N6" i="39"/>
  <c r="AY70" i="31"/>
  <c r="AU71" i="31"/>
  <c r="AV70" i="31"/>
  <c r="AZ70" i="31"/>
  <c r="N5" i="39"/>
  <c r="M70" i="31"/>
  <c r="R70" i="31"/>
  <c r="T70" i="31"/>
  <c r="M71" i="31"/>
  <c r="N70" i="31"/>
  <c r="O71" i="31"/>
  <c r="T71" i="31"/>
  <c r="O70" i="31"/>
  <c r="N71" i="31"/>
  <c r="R71" i="31"/>
  <c r="U70" i="31"/>
  <c r="Q70" i="31"/>
  <c r="U71" i="31"/>
  <c r="Q71" i="31"/>
  <c r="L25" i="28"/>
  <c r="L55" i="28" s="1"/>
  <c r="L26" i="28" l="1"/>
  <c r="L56" i="28" s="1"/>
  <c r="L59" i="28" s="1"/>
  <c r="L28" i="28" l="1"/>
  <c r="E56" i="28"/>
  <c r="G55" i="28"/>
  <c r="G26" i="28"/>
  <c r="G28" i="28" l="1"/>
  <c r="G56" i="28"/>
  <c r="G59" i="28" s="1"/>
  <c r="E55" i="28"/>
  <c r="E59" i="28" s="1"/>
  <c r="E28" i="28"/>
  <c r="F55" i="28"/>
  <c r="F56" i="28"/>
  <c r="F59" i="28" s="1"/>
  <c r="F26" i="28"/>
  <c r="F28" i="28"/>
  <c r="H55" i="28"/>
  <c r="H59" i="28" s="1"/>
  <c r="H28" i="28"/>
  <c r="H26" i="28"/>
  <c r="H56" i="28" s="1"/>
  <c r="I55" i="28"/>
  <c r="I26" i="28"/>
  <c r="I28" i="28" s="1"/>
  <c r="I56" i="28"/>
  <c r="I59" i="28" s="1"/>
  <c r="J55" i="28"/>
  <c r="J26" i="28"/>
  <c r="J56" i="28" s="1"/>
  <c r="J59" i="28" s="1"/>
  <c r="J28" i="28"/>
  <c r="K56" i="28"/>
  <c r="K26" i="28"/>
  <c r="K28" i="28"/>
  <c r="K55" i="28"/>
  <c r="K59" i="28"/>
  <c r="M26" i="28"/>
  <c r="M56" i="28" s="1"/>
  <c r="M55" i="28"/>
  <c r="M59" i="28" s="1"/>
  <c r="M28" i="28" l="1"/>
  <c r="N55" i="28"/>
  <c r="N56" i="28"/>
  <c r="N28" i="28"/>
  <c r="N59" i="28" l="1"/>
  <c r="AE59" i="32"/>
  <c r="T64" i="48" l="1"/>
  <c r="J3" i="32"/>
  <c r="J4" i="32" s="1"/>
  <c r="G14" i="32"/>
  <c r="F14" i="32" s="1"/>
  <c r="F13" i="32"/>
  <c r="U60" i="48" l="1"/>
  <c r="U61" i="48"/>
  <c r="U62" i="48"/>
  <c r="AY69" i="31"/>
  <c r="AY72" i="31" s="1"/>
  <c r="AX69" i="31"/>
  <c r="AU69" i="31"/>
  <c r="BB69" i="31"/>
  <c r="AZ69" i="31"/>
  <c r="AV69" i="31"/>
  <c r="AW69" i="31"/>
  <c r="P68" i="48" l="1"/>
  <c r="H69" i="31"/>
  <c r="X51" i="32"/>
  <c r="F301" i="38"/>
  <c r="H68" i="31"/>
  <c r="H72" i="31" l="1"/>
  <c r="D301" i="38"/>
  <c r="P46" i="48" s="1"/>
  <c r="F21" i="52"/>
  <c r="F279" i="38"/>
  <c r="D61" i="28" s="1"/>
  <c r="I156" i="38"/>
  <c r="I279" i="38" l="1"/>
  <c r="I159" i="38"/>
  <c r="I162" i="38" s="1"/>
  <c r="H33" i="32"/>
  <c r="H80" i="31"/>
  <c r="H81" i="31" l="1"/>
  <c r="H13" i="32"/>
  <c r="R33" i="32"/>
  <c r="AI55" i="32"/>
  <c r="H43" i="32"/>
  <c r="P81" i="48"/>
  <c r="P102" i="48" l="1"/>
  <c r="H35" i="32"/>
  <c r="H83" i="31"/>
  <c r="H14" i="32"/>
  <c r="P63" i="48"/>
  <c r="F291" i="38"/>
  <c r="H289" i="38"/>
  <c r="G289" i="38"/>
  <c r="F11" i="52" l="1"/>
  <c r="D23" i="28"/>
  <c r="D25" i="28" s="1"/>
  <c r="F292" i="38"/>
  <c r="F336" i="38"/>
  <c r="H3" i="32"/>
  <c r="P64" i="48"/>
  <c r="Q63" i="48" s="1"/>
  <c r="E8" i="33"/>
  <c r="P7" i="48" s="1"/>
  <c r="H84" i="31"/>
  <c r="E51" i="28"/>
  <c r="D289" i="38"/>
  <c r="G9" i="52"/>
  <c r="P83" i="48"/>
  <c r="R35" i="32"/>
  <c r="R36" i="32" s="1"/>
  <c r="R25" i="32" s="1"/>
  <c r="H45" i="32"/>
  <c r="AI57" i="32"/>
  <c r="AI59" i="32" s="1"/>
  <c r="H36" i="32"/>
  <c r="P105" i="48" l="1"/>
  <c r="Q101" i="48" s="1"/>
  <c r="H23" i="32"/>
  <c r="H26" i="32" s="1"/>
  <c r="P84" i="48"/>
  <c r="Q83" i="48" s="1"/>
  <c r="H4" i="32"/>
  <c r="E52" i="28"/>
  <c r="E60" i="28"/>
  <c r="G291" i="38"/>
  <c r="I291" i="38"/>
  <c r="H291" i="38"/>
  <c r="J291" i="38"/>
  <c r="H46" i="32"/>
  <c r="P104" i="48"/>
  <c r="F337" i="38"/>
  <c r="F302" i="38"/>
  <c r="D28" i="28"/>
  <c r="D55" i="28"/>
  <c r="D59" i="28" s="1"/>
  <c r="D63" i="28" s="1"/>
  <c r="Q61" i="48"/>
  <c r="Q62" i="48"/>
  <c r="Q60" i="48"/>
  <c r="F56" i="52"/>
  <c r="F12" i="52"/>
  <c r="Q103" i="48" l="1"/>
  <c r="Q102" i="48"/>
  <c r="Q100" i="48"/>
  <c r="Q98" i="48"/>
  <c r="Q99" i="48"/>
  <c r="Q104" i="48"/>
  <c r="F57" i="52"/>
  <c r="J292" i="38"/>
  <c r="J302" i="38" s="1"/>
  <c r="J336" i="38"/>
  <c r="J337" i="38" s="1"/>
  <c r="J347" i="38" s="1"/>
  <c r="H336" i="38"/>
  <c r="H337" i="38" s="1"/>
  <c r="H347" i="38" s="1"/>
  <c r="H292" i="38"/>
  <c r="H302" i="38" s="1"/>
  <c r="Q78" i="48"/>
  <c r="Q80" i="48"/>
  <c r="Q79" i="48"/>
  <c r="Q82" i="48"/>
  <c r="Q77" i="48"/>
  <c r="Q81" i="48"/>
  <c r="I336" i="38"/>
  <c r="I337" i="38" s="1"/>
  <c r="I347" i="38" s="1"/>
  <c r="I292" i="38"/>
  <c r="I302" i="38" s="1"/>
  <c r="X58" i="32"/>
  <c r="P74" i="48"/>
  <c r="P75" i="48"/>
  <c r="F22" i="52"/>
  <c r="F308" i="38"/>
  <c r="F303" i="38"/>
  <c r="F347" i="38"/>
  <c r="G336" i="38"/>
  <c r="G292" i="38"/>
  <c r="D291" i="38"/>
  <c r="G337" i="38" l="1"/>
  <c r="D336" i="38"/>
  <c r="H348" i="38"/>
  <c r="H351" i="38"/>
  <c r="H353" i="38" s="1"/>
  <c r="H12" i="42" s="1"/>
  <c r="F348" i="38"/>
  <c r="F351" i="38"/>
  <c r="F67" i="52"/>
  <c r="J348" i="38"/>
  <c r="J351" i="38"/>
  <c r="Q74" i="48"/>
  <c r="X59" i="32"/>
  <c r="G302" i="38"/>
  <c r="D292" i="38"/>
  <c r="I308" i="38"/>
  <c r="I303" i="38"/>
  <c r="J303" i="38"/>
  <c r="J308" i="38"/>
  <c r="I351" i="38"/>
  <c r="I348" i="38"/>
  <c r="F310" i="38"/>
  <c r="F28" i="52"/>
  <c r="F23" i="52"/>
  <c r="Q70" i="48"/>
  <c r="Q72" i="48"/>
  <c r="Q69" i="48"/>
  <c r="Q73" i="48"/>
  <c r="Q71" i="48"/>
  <c r="Q68" i="48"/>
  <c r="H303" i="38"/>
  <c r="H308" i="38"/>
  <c r="H310" i="38" s="1"/>
  <c r="H3" i="42" s="1"/>
  <c r="F3" i="42" l="1"/>
  <c r="F353" i="38"/>
  <c r="F30" i="52"/>
  <c r="H40" i="42"/>
  <c r="H39" i="42"/>
  <c r="G308" i="38"/>
  <c r="G303" i="38"/>
  <c r="D303" i="38" s="1"/>
  <c r="F68" i="52"/>
  <c r="F71" i="52"/>
  <c r="G347" i="38"/>
  <c r="D337" i="38"/>
  <c r="F12" i="42" l="1"/>
  <c r="F39" i="42"/>
  <c r="F6" i="42"/>
  <c r="G351" i="38"/>
  <c r="G348" i="38"/>
  <c r="D348" i="38" s="1"/>
  <c r="F73" i="52"/>
  <c r="G310" i="38"/>
  <c r="D308" i="38"/>
  <c r="F45" i="42" l="1"/>
  <c r="D64" i="28"/>
  <c r="F15" i="42"/>
  <c r="G353" i="38"/>
  <c r="D351" i="38"/>
  <c r="G3" i="42"/>
  <c r="G12" i="42" l="1"/>
  <c r="G39" i="42"/>
  <c r="G40" i="42"/>
  <c r="P71" i="31"/>
  <c r="P70" i="31"/>
  <c r="F17" i="32"/>
  <c r="F23" i="32"/>
  <c r="R26" i="32"/>
  <c r="P95" i="48"/>
  <c r="AC58" i="32"/>
  <c r="AC59" i="32" s="1"/>
  <c r="P96" i="48" l="1"/>
  <c r="Q95" i="48" s="1"/>
  <c r="Q90" i="48" l="1"/>
  <c r="Q94" i="48"/>
  <c r="Q92" i="48"/>
  <c r="Q88" i="48"/>
  <c r="Q89" i="48"/>
  <c r="Q91" i="48"/>
  <c r="Q93" i="48"/>
  <c r="F36" i="32"/>
  <c r="P36" i="32"/>
  <c r="P13" i="48"/>
  <c r="P12" i="48"/>
  <c r="D69" i="28"/>
  <c r="O13" i="48"/>
  <c r="R8" i="48"/>
  <c r="M9" i="33"/>
  <c r="F132" i="39"/>
  <c r="E132" i="39"/>
  <c r="AP83" i="31"/>
  <c r="AP72" i="31"/>
  <c r="AP68" i="31"/>
  <c r="AV81" i="31"/>
  <c r="AV80" i="31"/>
  <c r="AR81" i="31"/>
  <c r="AR80" i="31"/>
  <c r="X254" i="40"/>
  <c r="X251" i="40"/>
  <c r="R254" i="40"/>
  <c r="R251" i="40"/>
  <c r="F81" i="31"/>
  <c r="G81" i="31"/>
  <c r="I41" i="52"/>
  <c r="H253" i="40"/>
  <c r="AC81" i="31"/>
  <c r="AC80" i="31"/>
  <c r="AJ59" i="32"/>
  <c r="AJ55" i="32"/>
  <c r="F45" i="32"/>
  <c r="G45" i="32"/>
  <c r="R9" i="48"/>
  <c r="M10" i="33"/>
  <c r="O61" i="48"/>
  <c r="S61" i="48"/>
  <c r="F81" i="39"/>
  <c r="F70" i="39"/>
  <c r="E76" i="39"/>
  <c r="D23" i="52"/>
  <c r="G23" i="52"/>
  <c r="K73" i="52"/>
  <c r="K71" i="52"/>
  <c r="P47" i="52"/>
  <c r="P45" i="52"/>
  <c r="S81" i="31"/>
  <c r="S80" i="31"/>
  <c r="D199" i="41"/>
  <c r="F199" i="41"/>
  <c r="AL81" i="31"/>
  <c r="AL80" i="31"/>
  <c r="H23" i="52"/>
  <c r="H21" i="52"/>
  <c r="D21" i="52"/>
  <c r="P25" i="32"/>
  <c r="Q25" i="32"/>
  <c r="D204" i="41"/>
  <c r="AK81" i="31"/>
  <c r="AK80" i="31"/>
  <c r="K12" i="52"/>
  <c r="K9" i="52"/>
  <c r="Q208" i="38"/>
  <c r="S68" i="48"/>
  <c r="R68" i="48"/>
  <c r="O68" i="48"/>
  <c r="U199" i="40"/>
  <c r="U185" i="40"/>
  <c r="U195" i="40"/>
  <c r="U180" i="40"/>
  <c r="U181" i="40"/>
  <c r="U176" i="40"/>
  <c r="U177" i="40"/>
  <c r="U183" i="40"/>
  <c r="U253" i="40"/>
  <c r="S95" i="48"/>
  <c r="R95" i="48"/>
  <c r="O95" i="48"/>
  <c r="U212" i="40"/>
  <c r="U146" i="40"/>
  <c r="U145" i="40"/>
  <c r="P81" i="31"/>
  <c r="P80" i="31"/>
  <c r="P15" i="42"/>
  <c r="P12" i="42"/>
  <c r="P353" i="38"/>
  <c r="P352" i="38"/>
  <c r="P322" i="38"/>
  <c r="Q207" i="38"/>
  <c r="N17" i="28"/>
  <c r="Q218" i="38"/>
  <c r="Q196" i="38"/>
  <c r="Q200" i="38"/>
  <c r="Q202" i="38"/>
  <c r="Q206" i="38"/>
  <c r="Q222" i="38"/>
  <c r="K13" i="42"/>
  <c r="J285" i="40"/>
  <c r="J283" i="40"/>
  <c r="X92" i="40"/>
  <c r="X91" i="40"/>
  <c r="F159" i="39"/>
  <c r="AY80" i="31"/>
  <c r="AY81" i="31"/>
  <c r="AY83" i="31"/>
  <c r="E159" i="39"/>
  <c r="F170" i="39"/>
  <c r="D32" i="52"/>
  <c r="D33" i="52"/>
  <c r="G30" i="52"/>
  <c r="D30" i="52"/>
  <c r="G30" i="39"/>
  <c r="G4" i="39"/>
  <c r="G3" i="39"/>
  <c r="G46" i="39"/>
  <c r="H235" i="40"/>
  <c r="I30" i="52"/>
  <c r="I28" i="52"/>
  <c r="I22" i="52"/>
  <c r="Y207" i="38"/>
  <c r="Y218" i="38"/>
  <c r="Y206" i="38"/>
  <c r="Y222" i="38"/>
  <c r="S194" i="40"/>
  <c r="S193" i="40"/>
  <c r="I41" i="42"/>
  <c r="H224" i="40"/>
  <c r="H234" i="40"/>
  <c r="H240" i="40"/>
  <c r="H242" i="40"/>
  <c r="I4" i="42"/>
  <c r="I42" i="42"/>
  <c r="M44" i="42"/>
  <c r="J204" i="41"/>
  <c r="J206" i="41"/>
  <c r="M5" i="42"/>
  <c r="M43" i="42"/>
  <c r="E80" i="39"/>
  <c r="F80" i="39"/>
  <c r="E69" i="39"/>
  <c r="F69" i="39"/>
  <c r="P41" i="42"/>
  <c r="O241" i="40"/>
  <c r="O242" i="40"/>
  <c r="P4" i="42"/>
  <c r="P42" i="42"/>
  <c r="Y196" i="38"/>
  <c r="Y200" i="38"/>
  <c r="Y202" i="38"/>
  <c r="Y208" i="38"/>
  <c r="E86" i="39"/>
  <c r="T80" i="31"/>
  <c r="T81" i="31"/>
  <c r="E75" i="39"/>
  <c r="F86" i="39"/>
  <c r="J15" i="42"/>
  <c r="J12" i="42"/>
  <c r="J353" i="38"/>
  <c r="J352" i="38"/>
  <c r="J322" i="38"/>
  <c r="L208" i="38"/>
  <c r="F173" i="39"/>
  <c r="E173" i="39"/>
  <c r="BB68" i="31"/>
  <c r="BB72" i="31"/>
  <c r="BB83" i="31"/>
  <c r="E162" i="39"/>
  <c r="F162" i="39"/>
  <c r="U98" i="48"/>
  <c r="U101" i="48"/>
  <c r="U103" i="48"/>
  <c r="U99" i="48"/>
  <c r="T105" i="48"/>
  <c r="U100" i="48"/>
  <c r="P195" i="40"/>
  <c r="P253" i="40"/>
  <c r="P185" i="40"/>
  <c r="P180" i="40"/>
  <c r="P181" i="40"/>
  <c r="P176" i="40"/>
  <c r="P177" i="40"/>
  <c r="P183" i="40"/>
  <c r="P199" i="40"/>
  <c r="F128" i="39"/>
  <c r="F139" i="39"/>
  <c r="AL68" i="31"/>
  <c r="AL72" i="31"/>
  <c r="AL83" i="31"/>
  <c r="E128" i="39"/>
  <c r="E139" i="39"/>
  <c r="H211" i="40"/>
  <c r="G61" i="28"/>
  <c r="J49" i="42"/>
  <c r="G49" i="42"/>
  <c r="O49" i="42"/>
  <c r="X49" i="42"/>
  <c r="N49" i="42"/>
  <c r="U49" i="42"/>
  <c r="T49" i="42"/>
  <c r="K49" i="42"/>
  <c r="R49" i="42"/>
  <c r="H49" i="42"/>
  <c r="Y49" i="42"/>
  <c r="Z49" i="42"/>
  <c r="I49" i="42"/>
  <c r="M49" i="42"/>
  <c r="S49" i="42"/>
  <c r="P49" i="42"/>
  <c r="Q49" i="42"/>
  <c r="L49" i="42"/>
  <c r="W49" i="42"/>
  <c r="G41" i="42"/>
  <c r="V49" i="42"/>
  <c r="S50" i="42"/>
  <c r="X50" i="42"/>
  <c r="U50" i="42"/>
  <c r="P50" i="42"/>
  <c r="J50" i="42"/>
  <c r="Q50" i="42"/>
  <c r="L50" i="42"/>
  <c r="Z50" i="42"/>
  <c r="M50" i="42"/>
  <c r="O44" i="42"/>
  <c r="R50" i="42"/>
  <c r="N50" i="42"/>
  <c r="I50" i="42"/>
  <c r="K50" i="42"/>
  <c r="O50" i="42"/>
  <c r="V50" i="42"/>
  <c r="Y50" i="42"/>
  <c r="T50" i="42"/>
  <c r="P44" i="42"/>
  <c r="W50" i="42"/>
  <c r="I43" i="42"/>
  <c r="N44" i="42"/>
  <c r="I156" i="41"/>
  <c r="I159" i="41"/>
  <c r="I162" i="41"/>
  <c r="I173" i="41"/>
  <c r="I205" i="41"/>
  <c r="D205" i="41"/>
  <c r="D210" i="41"/>
  <c r="U18" i="33"/>
  <c r="T15" i="48"/>
  <c r="O156" i="40"/>
  <c r="K62" i="39"/>
  <c r="K15" i="39"/>
  <c r="F73" i="39"/>
  <c r="E84" i="39"/>
  <c r="E73" i="39"/>
  <c r="F84" i="39"/>
  <c r="W253" i="40"/>
  <c r="W199" i="40"/>
  <c r="W185" i="40"/>
  <c r="W180" i="40"/>
  <c r="W181" i="40"/>
  <c r="W176" i="40"/>
  <c r="W177" i="40"/>
  <c r="W183" i="40"/>
  <c r="W195" i="40"/>
  <c r="O80" i="48"/>
  <c r="S80" i="48"/>
  <c r="S212" i="40"/>
  <c r="S146" i="40"/>
  <c r="S145" i="40"/>
  <c r="K23" i="52"/>
  <c r="K21" i="52"/>
  <c r="O73" i="52"/>
  <c r="O39" i="52"/>
  <c r="O42" i="52"/>
  <c r="O72" i="52"/>
  <c r="P325" i="38"/>
  <c r="P327" i="38"/>
  <c r="AT83" i="31"/>
  <c r="H233" i="40"/>
  <c r="I21" i="52"/>
  <c r="I23" i="52"/>
  <c r="M17" i="28"/>
  <c r="P218" i="38"/>
  <c r="P222" i="38"/>
  <c r="P207" i="38"/>
  <c r="F71" i="39"/>
  <c r="E71" i="39"/>
  <c r="D71" i="52"/>
  <c r="H244" i="41"/>
  <c r="O92" i="40"/>
  <c r="O154" i="40"/>
  <c r="O158" i="40"/>
  <c r="O161" i="40"/>
  <c r="O209" i="40"/>
  <c r="D5" i="42"/>
  <c r="I5" i="42"/>
  <c r="I44" i="42"/>
  <c r="M12" i="52"/>
  <c r="D357" i="38"/>
  <c r="D352" i="38"/>
  <c r="F254" i="40"/>
  <c r="F284" i="40"/>
  <c r="D284" i="40"/>
  <c r="D289" i="40"/>
  <c r="AT72" i="31"/>
  <c r="G80" i="31"/>
  <c r="F80" i="31"/>
  <c r="L41" i="52"/>
  <c r="K253" i="40"/>
  <c r="K11" i="52"/>
  <c r="K56" i="52"/>
  <c r="K57" i="52"/>
  <c r="K67" i="52"/>
  <c r="K68" i="52"/>
  <c r="O92" i="48"/>
  <c r="S92" i="48"/>
  <c r="AM81" i="31"/>
  <c r="AM80" i="31"/>
  <c r="E13" i="39"/>
  <c r="G13" i="39"/>
  <c r="R24" i="48"/>
  <c r="F129" i="39"/>
  <c r="AM68" i="31"/>
  <c r="AM72" i="31"/>
  <c r="AM83" i="31"/>
  <c r="E129" i="39"/>
  <c r="J30" i="52"/>
  <c r="J28" i="52"/>
  <c r="J22" i="52"/>
  <c r="E50" i="39"/>
  <c r="G50" i="39"/>
  <c r="R42" i="48"/>
  <c r="P193" i="40"/>
  <c r="P194" i="40"/>
  <c r="U104" i="48"/>
  <c r="T104" i="48"/>
  <c r="T35" i="32"/>
  <c r="J320" i="38"/>
  <c r="J40" i="52"/>
  <c r="H29" i="52"/>
  <c r="G241" i="40"/>
  <c r="K30" i="52"/>
  <c r="K28" i="52"/>
  <c r="K22" i="52"/>
  <c r="J268" i="40"/>
  <c r="J269" i="40"/>
  <c r="J279" i="40"/>
  <c r="J280" i="40"/>
  <c r="P41" i="52"/>
  <c r="O253" i="40"/>
  <c r="O81" i="31"/>
  <c r="O80" i="31"/>
  <c r="M73" i="52"/>
  <c r="M71" i="52"/>
  <c r="AJ80" i="31"/>
  <c r="AJ81" i="31"/>
  <c r="AI81" i="31"/>
  <c r="D287" i="40"/>
  <c r="M15" i="33"/>
  <c r="R12" i="48"/>
  <c r="O62" i="48"/>
  <c r="S62" i="48"/>
  <c r="N322" i="38"/>
  <c r="N352" i="38"/>
  <c r="N353" i="38"/>
  <c r="N12" i="42"/>
  <c r="N15" i="42"/>
  <c r="F33" i="32"/>
  <c r="E82" i="39"/>
  <c r="E36" i="39"/>
  <c r="F82" i="39"/>
  <c r="O102" i="48"/>
  <c r="R102" i="48"/>
  <c r="S102" i="48"/>
  <c r="K29" i="52"/>
  <c r="P39" i="42"/>
  <c r="P40" i="42"/>
  <c r="G115" i="28"/>
  <c r="O98" i="48"/>
  <c r="S98" i="48"/>
  <c r="Z208" i="38"/>
  <c r="R48" i="48"/>
  <c r="R46" i="48"/>
  <c r="D233" i="40"/>
  <c r="R68" i="31"/>
  <c r="R72" i="31"/>
  <c r="R83" i="31"/>
  <c r="R86" i="31"/>
  <c r="E115" i="28"/>
  <c r="Z254" i="40"/>
  <c r="Z251" i="40"/>
  <c r="D244" i="41"/>
  <c r="F244" i="41"/>
  <c r="AD81" i="31"/>
  <c r="AD80" i="31"/>
  <c r="I193" i="40"/>
  <c r="I194" i="40"/>
  <c r="I197" i="40"/>
  <c r="O91" i="40"/>
  <c r="G52" i="28"/>
  <c r="H195" i="40"/>
  <c r="H184" i="40"/>
  <c r="H185" i="40"/>
  <c r="G33" i="32"/>
  <c r="AH55" i="32"/>
  <c r="AH59" i="32"/>
  <c r="K39" i="42"/>
  <c r="K40" i="42"/>
  <c r="P46" i="42"/>
  <c r="P310" i="38"/>
  <c r="P3" i="42"/>
  <c r="P6" i="42"/>
  <c r="P45" i="42"/>
  <c r="M41" i="42"/>
  <c r="L241" i="40"/>
  <c r="L242" i="40"/>
  <c r="M4" i="42"/>
  <c r="M42" i="42"/>
  <c r="G199" i="41"/>
  <c r="O259" i="40"/>
  <c r="O257" i="40"/>
  <c r="E142" i="39"/>
  <c r="F131" i="39"/>
  <c r="AO68" i="31"/>
  <c r="AO72" i="31"/>
  <c r="AO83" i="31"/>
  <c r="E131" i="39"/>
  <c r="F142" i="39"/>
  <c r="R39" i="48"/>
  <c r="P46" i="52"/>
  <c r="P326" i="38"/>
  <c r="P226" i="38"/>
  <c r="N13" i="42"/>
  <c r="M285" i="40"/>
  <c r="M284" i="40"/>
  <c r="M254" i="40"/>
  <c r="D76" i="52"/>
  <c r="D73" i="52"/>
  <c r="F166" i="39"/>
  <c r="E163" i="39"/>
  <c r="E166" i="39"/>
  <c r="F64" i="28"/>
  <c r="F63" i="28"/>
  <c r="F60" i="28"/>
  <c r="P206" i="38"/>
  <c r="P320" i="38"/>
  <c r="P40" i="52"/>
  <c r="K45" i="42"/>
  <c r="K222" i="38"/>
  <c r="K230" i="38"/>
  <c r="K277" i="38"/>
  <c r="K309" i="38"/>
  <c r="K310" i="38"/>
  <c r="K3" i="42"/>
  <c r="K6" i="42"/>
  <c r="K46" i="42"/>
  <c r="Q33" i="32"/>
  <c r="P33" i="32"/>
  <c r="H180" i="40"/>
  <c r="H181" i="40"/>
  <c r="H176" i="40"/>
  <c r="H177" i="40"/>
  <c r="H183" i="40"/>
  <c r="H199" i="40"/>
  <c r="H207" i="40"/>
  <c r="F72" i="31"/>
  <c r="N81" i="31"/>
  <c r="N80" i="31"/>
  <c r="P39" i="52"/>
  <c r="P42" i="52"/>
  <c r="P72" i="52"/>
  <c r="P73" i="52"/>
  <c r="U82" i="48"/>
  <c r="U79" i="48"/>
  <c r="U78" i="48"/>
  <c r="U80" i="48"/>
  <c r="T84" i="48"/>
  <c r="U77" i="48"/>
  <c r="O104" i="48"/>
  <c r="R104" i="48"/>
  <c r="S104" i="48"/>
  <c r="S208" i="38"/>
  <c r="D198" i="41"/>
  <c r="M193" i="40"/>
  <c r="M194" i="40"/>
  <c r="I4" i="32"/>
  <c r="N218" i="38"/>
  <c r="N207" i="38"/>
  <c r="K17" i="28"/>
  <c r="R91" i="40"/>
  <c r="R92" i="40"/>
  <c r="R193" i="40"/>
  <c r="R194" i="40"/>
  <c r="J44" i="42"/>
  <c r="G198" i="41"/>
  <c r="G204" i="41"/>
  <c r="G206" i="41"/>
  <c r="J5" i="42"/>
  <c r="J43" i="42"/>
  <c r="O71" i="48"/>
  <c r="S71" i="48"/>
  <c r="Z218" i="38"/>
  <c r="Z207" i="38"/>
  <c r="Z196" i="38"/>
  <c r="Z200" i="38"/>
  <c r="Z202" i="38"/>
  <c r="Z206" i="38"/>
  <c r="Z222" i="38"/>
  <c r="E85" i="39"/>
  <c r="E52" i="39"/>
  <c r="F85" i="39"/>
  <c r="Z91" i="40"/>
  <c r="Z92" i="40"/>
  <c r="AU68" i="31"/>
  <c r="AU72" i="31"/>
  <c r="AU83" i="31"/>
  <c r="E155" i="39"/>
  <c r="F155" i="39"/>
  <c r="F163" i="39"/>
  <c r="F3" i="32"/>
  <c r="W194" i="40"/>
  <c r="W193" i="40"/>
  <c r="E26" i="39"/>
  <c r="R26" i="48"/>
  <c r="D269" i="40"/>
  <c r="D22" i="52"/>
  <c r="G51" i="28"/>
  <c r="G60" i="28"/>
  <c r="G63" i="28"/>
  <c r="G64" i="28"/>
  <c r="X194" i="40"/>
  <c r="X193" i="40"/>
  <c r="M251" i="40"/>
  <c r="N39" i="52"/>
  <c r="N42" i="52"/>
  <c r="N72" i="52"/>
  <c r="N73" i="52"/>
  <c r="O8" i="48"/>
  <c r="P8" i="48"/>
  <c r="E9" i="33"/>
  <c r="D230" i="41"/>
  <c r="G22" i="52"/>
  <c r="G28" i="52"/>
  <c r="D28" i="52"/>
  <c r="N45" i="42"/>
  <c r="N6" i="42"/>
  <c r="N46" i="42"/>
  <c r="L64" i="28"/>
  <c r="M145" i="40"/>
  <c r="M146" i="40"/>
  <c r="M212" i="40"/>
  <c r="L62" i="28"/>
  <c r="L63" i="28"/>
  <c r="S90" i="48"/>
  <c r="R90" i="48"/>
  <c r="O90" i="48"/>
  <c r="I23" i="28"/>
  <c r="M11" i="52"/>
  <c r="M56" i="52"/>
  <c r="M57" i="52"/>
  <c r="M67" i="52"/>
  <c r="M68" i="52"/>
  <c r="G71" i="52"/>
  <c r="G73" i="52"/>
  <c r="D75" i="52"/>
  <c r="E4" i="33"/>
  <c r="D68" i="28"/>
  <c r="Y212" i="40"/>
  <c r="Y146" i="40"/>
  <c r="Y145" i="40"/>
  <c r="I3" i="32"/>
  <c r="G3" i="32"/>
  <c r="G4" i="32"/>
  <c r="F4" i="32"/>
  <c r="F51" i="28"/>
  <c r="F52" i="28"/>
  <c r="D223" i="40"/>
  <c r="E23" i="28"/>
  <c r="N63" i="39"/>
  <c r="N47" i="39"/>
  <c r="F83" i="31"/>
  <c r="O204" i="40"/>
  <c r="X72" i="31"/>
  <c r="N320" i="38"/>
  <c r="N40" i="52"/>
  <c r="Z81" i="31"/>
  <c r="Z80" i="31"/>
  <c r="H241" i="40"/>
  <c r="H151" i="40"/>
  <c r="H161" i="40"/>
  <c r="H209" i="40"/>
  <c r="G151" i="40"/>
  <c r="G161" i="40"/>
  <c r="G209" i="40"/>
  <c r="N92" i="40"/>
  <c r="N91" i="40"/>
  <c r="T145" i="40"/>
  <c r="T146" i="40"/>
  <c r="T212" i="40"/>
  <c r="H230" i="41"/>
  <c r="H233" i="41"/>
  <c r="H243" i="41"/>
  <c r="H247" i="41"/>
  <c r="H249" i="41"/>
  <c r="X147" i="40"/>
  <c r="X87" i="40"/>
  <c r="X88" i="40"/>
  <c r="X83" i="40"/>
  <c r="X84" i="40"/>
  <c r="X90" i="40"/>
  <c r="X137" i="40"/>
  <c r="X151" i="40"/>
  <c r="J41" i="42"/>
  <c r="I240" i="40"/>
  <c r="I242" i="40"/>
  <c r="J4" i="42"/>
  <c r="J42" i="42"/>
  <c r="S222" i="38"/>
  <c r="S218" i="38"/>
  <c r="S196" i="38"/>
  <c r="S200" i="38"/>
  <c r="S202" i="38"/>
  <c r="S206" i="38"/>
  <c r="S207" i="38"/>
  <c r="F30" i="39"/>
  <c r="F46" i="39"/>
  <c r="F3" i="39"/>
  <c r="F4" i="39"/>
  <c r="R147" i="40"/>
  <c r="R87" i="40"/>
  <c r="R88" i="40"/>
  <c r="R83" i="40"/>
  <c r="R84" i="40"/>
  <c r="R90" i="40"/>
  <c r="R137" i="40"/>
  <c r="R151" i="40"/>
  <c r="AR68" i="31"/>
  <c r="AR72" i="31"/>
  <c r="AR83" i="31"/>
  <c r="O199" i="40"/>
  <c r="O195" i="40"/>
  <c r="N40" i="42"/>
  <c r="N310" i="38"/>
  <c r="N3" i="42"/>
  <c r="N39" i="42"/>
  <c r="I224" i="40"/>
  <c r="I234" i="40"/>
  <c r="I235" i="40"/>
  <c r="V195" i="40"/>
  <c r="V199" i="40"/>
  <c r="V185" i="40"/>
  <c r="V180" i="40"/>
  <c r="V181" i="40"/>
  <c r="V176" i="40"/>
  <c r="V177" i="40"/>
  <c r="V183" i="40"/>
  <c r="V253" i="40"/>
  <c r="L151" i="40"/>
  <c r="L161" i="40"/>
  <c r="L209" i="40"/>
  <c r="F98" i="39"/>
  <c r="F109" i="39"/>
  <c r="Z68" i="31"/>
  <c r="Z72" i="31"/>
  <c r="Z83" i="31"/>
  <c r="E98" i="39"/>
  <c r="E109" i="39"/>
  <c r="AB68" i="31"/>
  <c r="AB72" i="31"/>
  <c r="AB83" i="31"/>
  <c r="E100" i="39"/>
  <c r="F100" i="39"/>
  <c r="Z151" i="40"/>
  <c r="Z87" i="40"/>
  <c r="Z88" i="40"/>
  <c r="Z83" i="40"/>
  <c r="Z84" i="40"/>
  <c r="Z90" i="40"/>
  <c r="Z137" i="40"/>
  <c r="Z147" i="40"/>
  <c r="O207" i="40"/>
  <c r="O205" i="40"/>
  <c r="G72" i="31"/>
  <c r="G83" i="31"/>
  <c r="G84" i="31"/>
  <c r="F84" i="31"/>
  <c r="F74" i="39"/>
  <c r="E74" i="39"/>
  <c r="O193" i="40"/>
  <c r="O194" i="40"/>
  <c r="O101" i="48"/>
  <c r="S101" i="48"/>
  <c r="H197" i="41"/>
  <c r="H175" i="41"/>
  <c r="I61" i="28"/>
  <c r="F62" i="28"/>
  <c r="G212" i="40"/>
  <c r="G146" i="40"/>
  <c r="G145" i="40"/>
  <c r="L147" i="40"/>
  <c r="T13" i="48"/>
  <c r="U14" i="33"/>
  <c r="D208" i="41"/>
  <c r="F160" i="39"/>
  <c r="E160" i="39"/>
  <c r="AZ83" i="31"/>
  <c r="AZ72" i="31"/>
  <c r="AZ68" i="31"/>
  <c r="D243" i="41"/>
  <c r="N41" i="52"/>
  <c r="M253" i="40"/>
  <c r="AK57" i="32"/>
  <c r="I12" i="52"/>
  <c r="H221" i="40"/>
  <c r="I9" i="52"/>
  <c r="K72" i="52"/>
  <c r="K42" i="52"/>
  <c r="K39" i="52"/>
  <c r="U86" i="31"/>
  <c r="U83" i="31"/>
  <c r="U72" i="31"/>
  <c r="U68" i="31"/>
  <c r="H284" i="40"/>
  <c r="H254" i="40"/>
  <c r="Y254" i="40"/>
  <c r="Y251" i="40"/>
  <c r="AZ81" i="31"/>
  <c r="AZ80" i="31"/>
  <c r="O30" i="52"/>
  <c r="O29" i="52"/>
  <c r="F76" i="39"/>
  <c r="F68" i="39"/>
  <c r="R212" i="40"/>
  <c r="R146" i="40"/>
  <c r="R145" i="40"/>
  <c r="T208" i="38"/>
  <c r="M40" i="42"/>
  <c r="M39" i="42"/>
  <c r="M72" i="52"/>
  <c r="M42" i="52"/>
  <c r="M39" i="52"/>
  <c r="F51" i="42"/>
  <c r="F46" i="42"/>
  <c r="O151" i="40"/>
  <c r="O147" i="40"/>
  <c r="K207" i="38"/>
  <c r="I17" i="28"/>
  <c r="K218" i="38"/>
  <c r="F161" i="39"/>
  <c r="E161" i="39"/>
  <c r="BA83" i="31"/>
  <c r="BA72" i="31"/>
  <c r="BA68" i="31"/>
  <c r="T12" i="48"/>
  <c r="U15" i="33"/>
  <c r="D251" i="41"/>
  <c r="D188" i="41"/>
  <c r="W208" i="38"/>
  <c r="T83" i="48"/>
  <c r="U83" i="48"/>
  <c r="D314" i="38"/>
  <c r="E18" i="33"/>
  <c r="P15" i="48"/>
  <c r="T7" i="48"/>
  <c r="D232" i="41"/>
  <c r="F130" i="39"/>
  <c r="E130" i="39"/>
  <c r="AN83" i="31"/>
  <c r="AN72" i="31"/>
  <c r="AN68" i="31"/>
  <c r="AE81" i="31"/>
  <c r="AE80" i="31"/>
  <c r="D283" i="40"/>
  <c r="V208" i="38"/>
  <c r="W254" i="40"/>
  <c r="W251" i="40"/>
  <c r="L73" i="52"/>
  <c r="L71" i="52"/>
  <c r="Q185" i="40"/>
  <c r="Q199" i="40"/>
  <c r="Q253" i="40"/>
  <c r="Q180" i="40"/>
  <c r="Q181" i="40"/>
  <c r="Q176" i="40"/>
  <c r="Q177" i="40"/>
  <c r="Q183" i="40"/>
  <c r="Q195" i="40"/>
  <c r="M147" i="40"/>
  <c r="M46" i="42"/>
  <c r="M310" i="38"/>
  <c r="M3" i="42"/>
  <c r="M6" i="42"/>
  <c r="M45" i="42"/>
  <c r="D209" i="41"/>
  <c r="F188" i="41"/>
  <c r="F198" i="41"/>
  <c r="F204" i="41"/>
  <c r="F206" i="41"/>
  <c r="D206" i="41"/>
  <c r="K91" i="40"/>
  <c r="T194" i="40"/>
  <c r="T193" i="40"/>
  <c r="P26" i="32"/>
  <c r="Q26" i="32"/>
  <c r="L13" i="42"/>
  <c r="K285" i="40"/>
  <c r="K284" i="40"/>
  <c r="K254" i="40"/>
  <c r="U8" i="33"/>
  <c r="U10" i="33"/>
  <c r="T9" i="48"/>
  <c r="O79" i="48"/>
  <c r="S79" i="48"/>
  <c r="W145" i="40"/>
  <c r="W146" i="40"/>
  <c r="W212" i="40"/>
  <c r="F72" i="39"/>
  <c r="E72" i="39"/>
  <c r="H147" i="40"/>
  <c r="Z145" i="40"/>
  <c r="Z146" i="40"/>
  <c r="Z212" i="40"/>
  <c r="N64" i="28"/>
  <c r="N63" i="28"/>
  <c r="N62" i="28"/>
  <c r="O212" i="40"/>
  <c r="O146" i="40"/>
  <c r="O145" i="40"/>
  <c r="BB81" i="31"/>
  <c r="BB80" i="31"/>
  <c r="Y151" i="40"/>
  <c r="Y137" i="40"/>
  <c r="Y147" i="40"/>
  <c r="U95" i="48"/>
  <c r="T95" i="48"/>
  <c r="M208" i="38"/>
  <c r="M322" i="38"/>
  <c r="M352" i="38"/>
  <c r="M353" i="38"/>
  <c r="M12" i="42"/>
  <c r="M15" i="42"/>
  <c r="T218" i="38"/>
  <c r="T207" i="38"/>
  <c r="T196" i="38"/>
  <c r="T200" i="38"/>
  <c r="T202" i="38"/>
  <c r="T206" i="38"/>
  <c r="T222" i="38"/>
  <c r="R47" i="48"/>
  <c r="G64" i="39"/>
  <c r="J249" i="41"/>
  <c r="J247" i="41"/>
  <c r="O82" i="48"/>
  <c r="S82" i="48"/>
  <c r="X208" i="38"/>
  <c r="O77" i="48"/>
  <c r="S77" i="48"/>
  <c r="L145" i="40"/>
  <c r="L146" i="40"/>
  <c r="L212" i="40"/>
  <c r="K62" i="28"/>
  <c r="K63" i="28"/>
  <c r="K64" i="28"/>
  <c r="I145" i="40"/>
  <c r="I146" i="40"/>
  <c r="I212" i="40"/>
  <c r="H62" i="28"/>
  <c r="W218" i="38"/>
  <c r="W222" i="38"/>
  <c r="W196" i="38"/>
  <c r="W200" i="38"/>
  <c r="W202" i="38"/>
  <c r="W206" i="38"/>
  <c r="W207" i="38"/>
  <c r="U68" i="48"/>
  <c r="T68" i="48"/>
  <c r="AB53" i="32"/>
  <c r="AD53" i="32"/>
  <c r="L63" i="39"/>
  <c r="L5" i="39"/>
  <c r="V218" i="38"/>
  <c r="V222" i="38"/>
  <c r="V196" i="38"/>
  <c r="V200" i="38"/>
  <c r="V202" i="38"/>
  <c r="V206" i="38"/>
  <c r="V207" i="38"/>
  <c r="V151" i="40"/>
  <c r="V147" i="40"/>
  <c r="O103" i="48"/>
  <c r="S103" i="48"/>
  <c r="T254" i="40"/>
  <c r="T251" i="40"/>
  <c r="W92" i="40"/>
  <c r="W91" i="40"/>
  <c r="AU80" i="31"/>
  <c r="AU81" i="31"/>
  <c r="AT81" i="31"/>
  <c r="F144" i="39"/>
  <c r="F133" i="39"/>
  <c r="AQ68" i="31"/>
  <c r="AQ72" i="31"/>
  <c r="AQ83" i="31"/>
  <c r="E133" i="39"/>
  <c r="E144" i="39"/>
  <c r="J232" i="41"/>
  <c r="J233" i="41"/>
  <c r="J243" i="41"/>
  <c r="J244" i="41"/>
  <c r="K15" i="42"/>
  <c r="K12" i="42"/>
  <c r="K353" i="38"/>
  <c r="K352" i="38"/>
  <c r="K322" i="38"/>
  <c r="N41" i="42"/>
  <c r="M241" i="40"/>
  <c r="M242" i="40"/>
  <c r="N4" i="42"/>
  <c r="N42" i="42"/>
  <c r="L92" i="40"/>
  <c r="L91" i="40"/>
  <c r="D279" i="40"/>
  <c r="E60" i="39"/>
  <c r="H187" i="41"/>
  <c r="H232" i="41"/>
  <c r="F35" i="32"/>
  <c r="G35" i="32"/>
  <c r="AH57" i="32"/>
  <c r="J64" i="28"/>
  <c r="J63" i="28"/>
  <c r="J62" i="28"/>
  <c r="K145" i="40"/>
  <c r="K146" i="40"/>
  <c r="K212" i="40"/>
  <c r="K209" i="40"/>
  <c r="O81" i="48"/>
  <c r="R81" i="48"/>
  <c r="S81" i="48"/>
  <c r="AA81" i="31"/>
  <c r="AA80" i="31"/>
  <c r="O86" i="31"/>
  <c r="O68" i="31"/>
  <c r="O72" i="31"/>
  <c r="O83" i="31"/>
  <c r="E116" i="28"/>
  <c r="P9" i="48"/>
  <c r="E10" i="33"/>
  <c r="L23" i="52"/>
  <c r="V137" i="40"/>
  <c r="V251" i="40"/>
  <c r="V254" i="40"/>
  <c r="T151" i="40"/>
  <c r="T137" i="40"/>
  <c r="T147" i="40"/>
  <c r="AJ57" i="32"/>
  <c r="J241" i="40"/>
  <c r="J151" i="40"/>
  <c r="J161" i="40"/>
  <c r="J209" i="40"/>
  <c r="J73" i="52"/>
  <c r="J71" i="52"/>
  <c r="U193" i="40"/>
  <c r="U194" i="40"/>
  <c r="J194" i="40"/>
  <c r="J193" i="40"/>
  <c r="V91" i="40"/>
  <c r="V87" i="40"/>
  <c r="V88" i="40"/>
  <c r="V83" i="40"/>
  <c r="V84" i="40"/>
  <c r="V90" i="40"/>
  <c r="V92" i="40"/>
  <c r="G116" i="28"/>
  <c r="Q68" i="31"/>
  <c r="Q72" i="31"/>
  <c r="Q83" i="31"/>
  <c r="Q86" i="31"/>
  <c r="J199" i="41"/>
  <c r="R44" i="48"/>
  <c r="E58" i="39"/>
  <c r="U92" i="48"/>
  <c r="U94" i="48"/>
  <c r="U89" i="48"/>
  <c r="U88" i="48"/>
  <c r="U91" i="48"/>
  <c r="U93" i="48"/>
  <c r="T26" i="32"/>
  <c r="T96" i="48"/>
  <c r="U90" i="48"/>
  <c r="X83" i="31"/>
  <c r="F280" i="40"/>
  <c r="D280" i="40"/>
  <c r="L42" i="42"/>
  <c r="K151" i="40"/>
  <c r="K161" i="40"/>
  <c r="K241" i="40"/>
  <c r="K242" i="40"/>
  <c r="L4" i="42"/>
  <c r="L41" i="42"/>
  <c r="S254" i="40"/>
  <c r="S251" i="40"/>
  <c r="O9" i="48"/>
  <c r="E62" i="39"/>
  <c r="O10" i="48"/>
  <c r="G92" i="40"/>
  <c r="F16" i="28"/>
  <c r="G91" i="40"/>
  <c r="J12" i="52"/>
  <c r="AN70" i="31"/>
  <c r="L8" i="39"/>
  <c r="AN71" i="31"/>
  <c r="R22" i="48"/>
  <c r="K251" i="40"/>
  <c r="L39" i="52"/>
  <c r="L42" i="52"/>
  <c r="L72" i="52"/>
  <c r="R81" i="31"/>
  <c r="R80" i="31"/>
  <c r="K320" i="38"/>
  <c r="K40" i="52"/>
  <c r="X145" i="40"/>
  <c r="X146" i="40"/>
  <c r="X212" i="40"/>
  <c r="D34" i="52"/>
  <c r="D29" i="52"/>
  <c r="G29" i="52"/>
  <c r="Q194" i="40"/>
  <c r="Q193" i="40"/>
  <c r="M222" i="38"/>
  <c r="M230" i="38"/>
  <c r="M277" i="38"/>
  <c r="M309" i="38"/>
  <c r="M29" i="52"/>
  <c r="J83" i="31"/>
  <c r="J84" i="31"/>
  <c r="J17" i="28"/>
  <c r="M207" i="38"/>
  <c r="M218" i="38"/>
  <c r="F102" i="39"/>
  <c r="E113" i="39"/>
  <c r="AD68" i="31"/>
  <c r="AD72" i="31"/>
  <c r="AD83" i="31"/>
  <c r="E102" i="39"/>
  <c r="F113" i="39"/>
  <c r="J235" i="40"/>
  <c r="F127" i="39"/>
  <c r="F138" i="39"/>
  <c r="AK68" i="31"/>
  <c r="AK72" i="31"/>
  <c r="AK83" i="31"/>
  <c r="E127" i="39"/>
  <c r="E138" i="39"/>
  <c r="X222" i="38"/>
  <c r="X207" i="38"/>
  <c r="X196" i="38"/>
  <c r="X200" i="38"/>
  <c r="X202" i="38"/>
  <c r="X206" i="38"/>
  <c r="X218" i="38"/>
  <c r="I91" i="40"/>
  <c r="I92" i="40"/>
  <c r="M91" i="40"/>
  <c r="M92" i="40"/>
  <c r="J11" i="52"/>
  <c r="J56" i="52"/>
  <c r="J57" i="52"/>
  <c r="J67" i="52"/>
  <c r="J68" i="52"/>
  <c r="S147" i="40"/>
  <c r="S137" i="40"/>
  <c r="S151" i="40"/>
  <c r="Z194" i="40"/>
  <c r="Z188" i="40"/>
  <c r="Z191" i="40"/>
  <c r="Z193" i="40"/>
  <c r="M120" i="28"/>
  <c r="Q19" i="32"/>
  <c r="P19" i="32"/>
  <c r="D187" i="41"/>
  <c r="AG81" i="31"/>
  <c r="AG80" i="31"/>
  <c r="D249" i="41"/>
  <c r="F249" i="41"/>
  <c r="D252" i="41"/>
  <c r="I62" i="39"/>
  <c r="I15" i="39"/>
  <c r="R222" i="38"/>
  <c r="R218" i="38"/>
  <c r="R206" i="38"/>
  <c r="R207" i="38"/>
  <c r="G244" i="41"/>
  <c r="K137" i="40"/>
  <c r="K147" i="40"/>
  <c r="O70" i="48"/>
  <c r="S70" i="48"/>
  <c r="M196" i="38"/>
  <c r="M200" i="38"/>
  <c r="M202" i="38"/>
  <c r="M206" i="38"/>
  <c r="M320" i="38"/>
  <c r="M40" i="52"/>
  <c r="J147" i="40"/>
  <c r="M23" i="52"/>
  <c r="F209" i="40"/>
  <c r="I29" i="52"/>
  <c r="D240" i="40"/>
  <c r="E110" i="28"/>
  <c r="N88" i="31"/>
  <c r="L29" i="52"/>
  <c r="L15" i="42"/>
  <c r="L12" i="42"/>
  <c r="L322" i="38"/>
  <c r="L352" i="38"/>
  <c r="L353" i="38"/>
  <c r="R10" i="48"/>
  <c r="M11" i="33"/>
  <c r="O7" i="48"/>
  <c r="R7" i="48"/>
  <c r="M8" i="33"/>
  <c r="K42" i="42"/>
  <c r="J223" i="40"/>
  <c r="J224" i="40"/>
  <c r="J234" i="40"/>
  <c r="J240" i="40"/>
  <c r="J242" i="40"/>
  <c r="K4" i="42"/>
  <c r="K41" i="42"/>
  <c r="F147" i="40"/>
  <c r="M207" i="40"/>
  <c r="M199" i="40"/>
  <c r="G42" i="42"/>
  <c r="D4" i="42"/>
  <c r="M51" i="42"/>
  <c r="U51" i="42"/>
  <c r="T51" i="42"/>
  <c r="I51" i="42"/>
  <c r="Z51" i="42"/>
  <c r="K51" i="42"/>
  <c r="J51" i="42"/>
  <c r="V51" i="42"/>
  <c r="O51" i="42"/>
  <c r="Y51" i="42"/>
  <c r="N51" i="42"/>
  <c r="Q51" i="42"/>
  <c r="W51" i="42"/>
  <c r="X51" i="42"/>
  <c r="G51" i="42"/>
  <c r="S51" i="42"/>
  <c r="R51" i="42"/>
  <c r="H51" i="42"/>
  <c r="P51" i="42"/>
  <c r="G45" i="42"/>
  <c r="L51" i="42"/>
  <c r="F48" i="42"/>
  <c r="H48" i="42"/>
  <c r="F40" i="42"/>
  <c r="G48" i="42"/>
  <c r="P48" i="42"/>
  <c r="J48" i="42"/>
  <c r="S48" i="42"/>
  <c r="M48" i="42"/>
  <c r="X48" i="42"/>
  <c r="Z48" i="42"/>
  <c r="N48" i="42"/>
  <c r="Q48" i="42"/>
  <c r="R48" i="42"/>
  <c r="L48" i="42"/>
  <c r="K48" i="42"/>
  <c r="V48" i="42"/>
  <c r="O48" i="42"/>
  <c r="U48" i="42"/>
  <c r="Y48" i="42"/>
  <c r="T48" i="42"/>
  <c r="W48" i="42"/>
  <c r="I39" i="42"/>
  <c r="I48" i="42"/>
  <c r="L22" i="52"/>
  <c r="L28" i="52"/>
  <c r="L30" i="52"/>
  <c r="AN69" i="31"/>
  <c r="AQ69" i="31"/>
  <c r="AP69" i="31"/>
  <c r="AR69" i="31"/>
  <c r="AO69" i="31"/>
  <c r="AM69" i="31"/>
  <c r="AK69" i="31"/>
  <c r="AL69" i="31"/>
  <c r="AJ69" i="31"/>
  <c r="M69" i="31"/>
  <c r="R69" i="31"/>
  <c r="S69" i="31"/>
  <c r="O69" i="31"/>
  <c r="N69" i="31"/>
  <c r="U69" i="31"/>
  <c r="F69" i="31"/>
  <c r="T69" i="31"/>
  <c r="Q69" i="31"/>
  <c r="I69" i="31"/>
  <c r="G69" i="31"/>
  <c r="P69" i="31"/>
  <c r="I40" i="52"/>
  <c r="S91" i="40"/>
  <c r="S87" i="40"/>
  <c r="S88" i="40"/>
  <c r="S83" i="40"/>
  <c r="S84" i="40"/>
  <c r="S90" i="40"/>
  <c r="S92" i="40"/>
  <c r="S25" i="32"/>
  <c r="AD58" i="32"/>
  <c r="AB58" i="32"/>
  <c r="K23" i="28"/>
  <c r="M87" i="40"/>
  <c r="M88" i="40"/>
  <c r="M83" i="40"/>
  <c r="M84" i="40"/>
  <c r="M90" i="40"/>
  <c r="M137" i="40"/>
  <c r="M151" i="40"/>
  <c r="M161" i="40"/>
  <c r="M209" i="40"/>
  <c r="J92" i="40"/>
  <c r="J91" i="40"/>
  <c r="Y253" i="40"/>
  <c r="Y195" i="40"/>
  <c r="Y185" i="40"/>
  <c r="Y180" i="40"/>
  <c r="Y181" i="40"/>
  <c r="Y176" i="40"/>
  <c r="Y177" i="40"/>
  <c r="Y183" i="40"/>
  <c r="Y199" i="40"/>
  <c r="F108" i="39"/>
  <c r="E105" i="39"/>
  <c r="E108" i="39"/>
  <c r="V145" i="40"/>
  <c r="V146" i="40"/>
  <c r="V212" i="40"/>
  <c r="J145" i="40"/>
  <c r="J146" i="40"/>
  <c r="J212" i="40"/>
  <c r="I62" i="28"/>
  <c r="I218" i="38"/>
  <c r="G17" i="28"/>
  <c r="I208" i="38"/>
  <c r="I207" i="38"/>
  <c r="R196" i="38"/>
  <c r="R200" i="38"/>
  <c r="R202" i="38"/>
  <c r="R208" i="38"/>
  <c r="D67" i="28"/>
  <c r="Q17" i="32"/>
  <c r="G232" i="41"/>
  <c r="G233" i="41"/>
  <c r="G243" i="41"/>
  <c r="G247" i="41"/>
  <c r="G249" i="41"/>
  <c r="D309" i="38"/>
  <c r="O15" i="48"/>
  <c r="I254" i="40"/>
  <c r="I284" i="40"/>
  <c r="J187" i="41"/>
  <c r="J188" i="41"/>
  <c r="J198" i="41"/>
  <c r="M22" i="52"/>
  <c r="M28" i="52"/>
  <c r="M30" i="52"/>
  <c r="S35" i="32"/>
  <c r="Q35" i="32"/>
  <c r="P35" i="32"/>
  <c r="F207" i="40"/>
  <c r="F199" i="40"/>
  <c r="D185" i="41"/>
  <c r="Y68" i="31"/>
  <c r="Y72" i="31"/>
  <c r="Y83" i="31"/>
  <c r="E97" i="39"/>
  <c r="F97" i="39"/>
  <c r="F105" i="39"/>
  <c r="I207" i="40"/>
  <c r="I199" i="40"/>
  <c r="H92" i="40"/>
  <c r="H91" i="40"/>
  <c r="AQ71" i="31"/>
  <c r="AQ70" i="31"/>
  <c r="L7" i="39"/>
  <c r="L6" i="39"/>
  <c r="L9" i="39"/>
  <c r="AR70" i="31"/>
  <c r="AK71" i="31"/>
  <c r="AO70" i="31"/>
  <c r="AJ71" i="31"/>
  <c r="AR71" i="31"/>
  <c r="AM71" i="31"/>
  <c r="L10" i="39"/>
  <c r="AL70" i="31"/>
  <c r="AL71" i="31"/>
  <c r="AM70" i="31"/>
  <c r="AK70" i="31"/>
  <c r="AJ70" i="31"/>
  <c r="K92" i="40"/>
  <c r="G8" i="39"/>
  <c r="G63" i="39"/>
  <c r="AO71" i="31"/>
  <c r="D8" i="42"/>
  <c r="D9" i="42"/>
  <c r="G4" i="42"/>
  <c r="G6" i="42"/>
  <c r="G46" i="42"/>
  <c r="O208" i="38"/>
  <c r="S71" i="31"/>
  <c r="E47" i="39"/>
  <c r="S70" i="31"/>
  <c r="Q81" i="31"/>
  <c r="Q80" i="31"/>
  <c r="S99" i="48"/>
  <c r="O105" i="48"/>
  <c r="J41" i="52"/>
  <c r="I253" i="40"/>
  <c r="H72" i="52"/>
  <c r="H42" i="52"/>
  <c r="H39" i="52"/>
  <c r="AB59" i="32"/>
  <c r="AB51" i="32"/>
  <c r="O72" i="48"/>
  <c r="S72" i="48"/>
  <c r="P13" i="42"/>
  <c r="O285" i="40"/>
  <c r="O284" i="40"/>
  <c r="O87" i="40"/>
  <c r="O88" i="40"/>
  <c r="O83" i="40"/>
  <c r="O84" i="40"/>
  <c r="O90" i="40"/>
  <c r="O137" i="40"/>
  <c r="O251" i="40"/>
  <c r="O254" i="40"/>
  <c r="H23" i="28"/>
  <c r="I72" i="52"/>
  <c r="I42" i="52"/>
  <c r="H87" i="40"/>
  <c r="H88" i="40"/>
  <c r="H83" i="40"/>
  <c r="H84" i="40"/>
  <c r="H90" i="40"/>
  <c r="H137" i="40"/>
  <c r="H251" i="40"/>
  <c r="I39" i="52"/>
  <c r="D196" i="38"/>
  <c r="F196" i="38"/>
  <c r="P254" i="40"/>
  <c r="P251" i="40"/>
  <c r="F46" i="32"/>
  <c r="G46" i="32"/>
  <c r="Z58" i="32"/>
  <c r="T10" i="48"/>
  <c r="U11" i="33"/>
  <c r="N30" i="52"/>
  <c r="N206" i="38"/>
  <c r="N222" i="38"/>
  <c r="N230" i="38"/>
  <c r="N277" i="38"/>
  <c r="N309" i="38"/>
  <c r="N29" i="52"/>
  <c r="E113" i="28"/>
  <c r="M88" i="31"/>
  <c r="L194" i="40"/>
  <c r="L193" i="40"/>
  <c r="N147" i="40"/>
  <c r="O15" i="42"/>
  <c r="O12" i="42"/>
  <c r="O322" i="38"/>
  <c r="O352" i="38"/>
  <c r="O353" i="38"/>
  <c r="S33" i="32"/>
  <c r="S36" i="32"/>
  <c r="R105" i="48"/>
  <c r="S100" i="48"/>
  <c r="O100" i="48"/>
  <c r="H199" i="41"/>
  <c r="U63" i="48"/>
  <c r="T63" i="48"/>
  <c r="L40" i="42"/>
  <c r="L39" i="42"/>
  <c r="N86" i="31"/>
  <c r="D197" i="41"/>
  <c r="N193" i="40"/>
  <c r="N194" i="40"/>
  <c r="N251" i="40"/>
  <c r="N254" i="40"/>
  <c r="N284" i="40"/>
  <c r="N285" i="40"/>
  <c r="O13" i="42"/>
  <c r="O84" i="48"/>
  <c r="J36" i="32"/>
  <c r="J23" i="32"/>
  <c r="T74" i="48"/>
  <c r="U74" i="48"/>
  <c r="E28" i="39"/>
  <c r="AW81" i="31"/>
  <c r="AW80" i="31"/>
  <c r="F145" i="40"/>
  <c r="F146" i="40"/>
  <c r="F212" i="40"/>
  <c r="E62" i="28"/>
  <c r="E63" i="28"/>
  <c r="E64" i="28"/>
  <c r="P145" i="40"/>
  <c r="P146" i="40"/>
  <c r="P212" i="40"/>
  <c r="H283" i="40"/>
  <c r="H285" i="40"/>
  <c r="I13" i="42"/>
  <c r="W58" i="32"/>
  <c r="Y58" i="32"/>
  <c r="L207" i="38"/>
  <c r="L218" i="38"/>
  <c r="M195" i="40"/>
  <c r="M180" i="40"/>
  <c r="M181" i="40"/>
  <c r="M176" i="40"/>
  <c r="M177" i="40"/>
  <c r="M183" i="40"/>
  <c r="M185" i="40"/>
  <c r="G120" i="28"/>
  <c r="J72" i="52"/>
  <c r="I251" i="40"/>
  <c r="J39" i="52"/>
  <c r="J42" i="52"/>
  <c r="L320" i="38"/>
  <c r="L40" i="52"/>
  <c r="I244" i="41"/>
  <c r="J45" i="42"/>
  <c r="J6" i="42"/>
  <c r="J46" i="42"/>
  <c r="I211" i="40"/>
  <c r="H61" i="28"/>
  <c r="H63" i="28"/>
  <c r="H64" i="28"/>
  <c r="L46" i="42"/>
  <c r="L196" i="38"/>
  <c r="L200" i="38"/>
  <c r="L202" i="38"/>
  <c r="L206" i="38"/>
  <c r="L222" i="38"/>
  <c r="L230" i="38"/>
  <c r="L277" i="38"/>
  <c r="L309" i="38"/>
  <c r="L310" i="38"/>
  <c r="L3" i="42"/>
  <c r="L6" i="42"/>
  <c r="L45" i="42"/>
  <c r="N68" i="31"/>
  <c r="N72" i="31"/>
  <c r="N83" i="31"/>
  <c r="G110" i="28"/>
  <c r="F132" i="28"/>
  <c r="J21" i="52"/>
  <c r="J23" i="52"/>
  <c r="Q254" i="40"/>
  <c r="Q251" i="40"/>
  <c r="S88" i="48"/>
  <c r="R88" i="48"/>
  <c r="O88" i="48"/>
  <c r="J63" i="39"/>
  <c r="J5" i="39"/>
  <c r="S94" i="48"/>
  <c r="O96" i="48"/>
  <c r="I46" i="32"/>
  <c r="Y80" i="31"/>
  <c r="Y81" i="31"/>
  <c r="X81" i="31"/>
  <c r="AP81" i="31"/>
  <c r="AP80" i="31"/>
  <c r="R84" i="48"/>
  <c r="S78" i="48"/>
  <c r="O78" i="48"/>
  <c r="BA70" i="31"/>
  <c r="BA69" i="31"/>
  <c r="BA71" i="31"/>
  <c r="T40" i="48"/>
  <c r="H50" i="39"/>
  <c r="T42" i="48"/>
  <c r="Z253" i="40"/>
  <c r="Z185" i="40"/>
  <c r="Z199" i="40"/>
  <c r="Z180" i="40"/>
  <c r="Z181" i="40"/>
  <c r="Z176" i="40"/>
  <c r="Z177" i="40"/>
  <c r="Z183" i="40"/>
  <c r="Z195" i="40"/>
  <c r="J46" i="32"/>
  <c r="AI72" i="31"/>
  <c r="S89" i="48"/>
  <c r="O89" i="48"/>
  <c r="AX81" i="31"/>
  <c r="AX80" i="31"/>
  <c r="G283" i="40"/>
  <c r="G285" i="40"/>
  <c r="H13" i="42"/>
  <c r="H15" i="42"/>
  <c r="H30" i="39"/>
  <c r="H4" i="39"/>
  <c r="T36" i="32"/>
  <c r="T25" i="32"/>
  <c r="AE58" i="32"/>
  <c r="S68" i="31"/>
  <c r="S72" i="31"/>
  <c r="S83" i="31"/>
  <c r="S86" i="31"/>
  <c r="E120" i="28"/>
  <c r="K36" i="39"/>
  <c r="K17" i="39"/>
  <c r="K20" i="39"/>
  <c r="K16" i="39"/>
  <c r="G62" i="39"/>
  <c r="K19" i="39"/>
  <c r="J218" i="38"/>
  <c r="H17" i="28"/>
  <c r="J207" i="38"/>
  <c r="J208" i="38"/>
  <c r="I232" i="41"/>
  <c r="I233" i="41"/>
  <c r="I243" i="41"/>
  <c r="I247" i="41"/>
  <c r="I249" i="41"/>
  <c r="E79" i="39"/>
  <c r="E68" i="39"/>
  <c r="F79" i="39"/>
  <c r="D224" i="40"/>
  <c r="D221" i="40"/>
  <c r="AF81" i="31"/>
  <c r="AF80" i="31"/>
  <c r="I64" i="28"/>
  <c r="I63" i="28"/>
  <c r="I60" i="28"/>
  <c r="U147" i="40"/>
  <c r="U151" i="40"/>
  <c r="G235" i="40"/>
  <c r="D56" i="52"/>
  <c r="D242" i="40"/>
  <c r="D245" i="40"/>
  <c r="S93" i="48"/>
  <c r="O93" i="48"/>
  <c r="I73" i="52"/>
  <c r="I71" i="52"/>
  <c r="BC83" i="31"/>
  <c r="BC81" i="31"/>
  <c r="BC80" i="31"/>
  <c r="U81" i="31"/>
  <c r="U80" i="31"/>
  <c r="Q151" i="40"/>
  <c r="Q137" i="40"/>
  <c r="Q147" i="40"/>
  <c r="U208" i="38"/>
  <c r="D234" i="40"/>
  <c r="S26" i="32"/>
  <c r="R96" i="48"/>
  <c r="S91" i="48"/>
  <c r="O91" i="48"/>
  <c r="S63" i="48"/>
  <c r="R63" i="48"/>
  <c r="O63" i="48"/>
  <c r="L12" i="52"/>
  <c r="O64" i="48"/>
  <c r="O41" i="52"/>
  <c r="N253" i="40"/>
  <c r="G117" i="28"/>
  <c r="P86" i="31"/>
  <c r="S74" i="48"/>
  <c r="I36" i="32"/>
  <c r="I23" i="32"/>
  <c r="R74" i="48"/>
  <c r="O74" i="48"/>
  <c r="H145" i="40"/>
  <c r="H146" i="40"/>
  <c r="H212" i="40"/>
  <c r="G62" i="28"/>
  <c r="J31" i="39"/>
  <c r="AB69" i="31"/>
  <c r="AB70" i="31"/>
  <c r="AB71" i="31"/>
  <c r="P31" i="48"/>
  <c r="AB81" i="31"/>
  <c r="AB80" i="31"/>
  <c r="R21" i="48"/>
  <c r="U137" i="40"/>
  <c r="U251" i="40"/>
  <c r="U254" i="40"/>
  <c r="G211" i="40"/>
  <c r="F61" i="28"/>
  <c r="I199" i="41"/>
  <c r="R13" i="48"/>
  <c r="F240" i="40"/>
  <c r="F242" i="40"/>
  <c r="D244" i="40"/>
  <c r="M14" i="33"/>
  <c r="E7" i="40"/>
  <c r="Q212" i="40"/>
  <c r="Q146" i="40"/>
  <c r="Q145" i="40"/>
  <c r="M41" i="52"/>
  <c r="L253" i="40"/>
  <c r="W188" i="40"/>
  <c r="W191" i="40"/>
  <c r="X188" i="40"/>
  <c r="X191" i="40"/>
  <c r="Y188" i="40"/>
  <c r="Y191" i="40"/>
  <c r="Y193" i="40"/>
  <c r="Y194" i="40"/>
  <c r="AK59" i="32"/>
  <c r="AK55" i="32"/>
  <c r="F224" i="40"/>
  <c r="F234" i="40"/>
  <c r="F235" i="40"/>
  <c r="D235" i="40"/>
  <c r="J23" i="28"/>
  <c r="J87" i="40"/>
  <c r="J88" i="40"/>
  <c r="J83" i="40"/>
  <c r="J84" i="40"/>
  <c r="J90" i="40"/>
  <c r="J137" i="40"/>
  <c r="J251" i="40"/>
  <c r="J254" i="40"/>
  <c r="J284" i="40"/>
  <c r="I14" i="32"/>
  <c r="R64" i="48"/>
  <c r="S60" i="48"/>
  <c r="O60" i="48"/>
  <c r="G67" i="52"/>
  <c r="G68" i="52"/>
  <c r="D68" i="52"/>
  <c r="H3" i="39"/>
  <c r="H46" i="39"/>
  <c r="H47" i="39"/>
  <c r="U9" i="33"/>
  <c r="T8" i="48"/>
  <c r="F251" i="40"/>
  <c r="G39" i="52"/>
  <c r="G42" i="52"/>
  <c r="G72" i="52"/>
  <c r="D72" i="52"/>
  <c r="D77" i="52"/>
  <c r="P68" i="31"/>
  <c r="P72" i="31"/>
  <c r="P83" i="31"/>
  <c r="P88" i="31"/>
  <c r="E117" i="28"/>
  <c r="E44" i="39"/>
  <c r="E34" i="39"/>
  <c r="F34" i="39"/>
  <c r="P33" i="48"/>
  <c r="G284" i="40"/>
  <c r="G251" i="40"/>
  <c r="G254" i="40"/>
  <c r="F23" i="28"/>
  <c r="K41" i="52"/>
  <c r="J253" i="40"/>
  <c r="AX68" i="31"/>
  <c r="AX72" i="31"/>
  <c r="AX83" i="31"/>
  <c r="E158" i="39"/>
  <c r="F158" i="39"/>
  <c r="E18" i="39"/>
  <c r="F83" i="39"/>
  <c r="J40" i="42"/>
  <c r="J310" i="38"/>
  <c r="J3" i="42"/>
  <c r="J39" i="42"/>
  <c r="N196" i="38"/>
  <c r="N200" i="38"/>
  <c r="N202" i="38"/>
  <c r="N208" i="38"/>
  <c r="U91" i="40"/>
  <c r="U87" i="40"/>
  <c r="U88" i="40"/>
  <c r="U83" i="40"/>
  <c r="U84" i="40"/>
  <c r="U90" i="40"/>
  <c r="U92" i="40"/>
  <c r="O320" i="38"/>
  <c r="O40" i="52"/>
  <c r="E167" i="39"/>
  <c r="F156" i="39"/>
  <c r="AV68" i="31"/>
  <c r="AV72" i="31"/>
  <c r="AV83" i="31"/>
  <c r="E156" i="39"/>
  <c r="F167" i="39"/>
  <c r="N145" i="40"/>
  <c r="N146" i="40"/>
  <c r="N212" i="40"/>
  <c r="M62" i="28"/>
  <c r="M63" i="28"/>
  <c r="M64" i="28"/>
  <c r="G184" i="40"/>
  <c r="G195" i="40"/>
  <c r="G185" i="40"/>
  <c r="F111" i="39"/>
  <c r="E111" i="39"/>
  <c r="P30" i="48"/>
  <c r="I51" i="28"/>
  <c r="I52" i="28"/>
  <c r="L43" i="42"/>
  <c r="I188" i="41"/>
  <c r="I198" i="41"/>
  <c r="I204" i="41"/>
  <c r="I206" i="41"/>
  <c r="L5" i="42"/>
  <c r="L44" i="42"/>
  <c r="O42" i="42"/>
  <c r="N241" i="40"/>
  <c r="N242" i="40"/>
  <c r="O4" i="42"/>
  <c r="O41" i="42"/>
  <c r="G23" i="28"/>
  <c r="I280" i="40"/>
  <c r="K193" i="40"/>
  <c r="K194" i="40"/>
  <c r="I11" i="52"/>
  <c r="I56" i="52"/>
  <c r="I57" i="52"/>
  <c r="I67" i="52"/>
  <c r="I68" i="52"/>
  <c r="U207" i="38"/>
  <c r="U222" i="38"/>
  <c r="U196" i="38"/>
  <c r="U200" i="38"/>
  <c r="U202" i="38"/>
  <c r="U206" i="38"/>
  <c r="U218" i="38"/>
  <c r="G118" i="28"/>
  <c r="T86" i="31"/>
  <c r="G253" i="40"/>
  <c r="H41" i="52"/>
  <c r="I3" i="39"/>
  <c r="D310" i="38"/>
  <c r="D312" i="38"/>
  <c r="D313" i="38"/>
  <c r="G55" i="39"/>
  <c r="G58" i="39"/>
  <c r="G60" i="39"/>
  <c r="S19" i="32"/>
  <c r="I189" i="40"/>
  <c r="I191" i="40"/>
  <c r="J188" i="40"/>
  <c r="J191" i="40"/>
  <c r="K188" i="40"/>
  <c r="K191" i="40"/>
  <c r="L188" i="40"/>
  <c r="L191" i="40"/>
  <c r="M188" i="40"/>
  <c r="M191" i="40"/>
  <c r="N188" i="40"/>
  <c r="N191" i="40"/>
  <c r="O188" i="40"/>
  <c r="O191" i="40"/>
  <c r="P188" i="40"/>
  <c r="P191" i="40"/>
  <c r="Q188" i="40"/>
  <c r="Q191" i="40"/>
  <c r="R188" i="40"/>
  <c r="R191" i="40"/>
  <c r="S188" i="40"/>
  <c r="S191" i="40"/>
  <c r="T188" i="40"/>
  <c r="T191" i="40"/>
  <c r="U188" i="40"/>
  <c r="U191" i="40"/>
  <c r="V188" i="40"/>
  <c r="V191" i="40"/>
  <c r="V193" i="40"/>
  <c r="V194" i="40"/>
  <c r="J195" i="40"/>
  <c r="J185" i="40"/>
  <c r="O180" i="40"/>
  <c r="O181" i="40"/>
  <c r="O176" i="40"/>
  <c r="O177" i="40"/>
  <c r="O183" i="40"/>
  <c r="O185" i="40"/>
  <c r="O202" i="40"/>
  <c r="O203" i="40"/>
  <c r="O258" i="40"/>
  <c r="E168" i="39"/>
  <c r="F157" i="39"/>
  <c r="AW68" i="31"/>
  <c r="AW72" i="31"/>
  <c r="AW83" i="31"/>
  <c r="E157" i="39"/>
  <c r="F168" i="39"/>
  <c r="D17" i="42"/>
  <c r="G15" i="42"/>
  <c r="D18" i="42"/>
  <c r="E64" i="39"/>
  <c r="F44" i="39"/>
  <c r="F64" i="39"/>
  <c r="P47" i="48"/>
  <c r="D11" i="52"/>
  <c r="S195" i="40"/>
  <c r="S185" i="40"/>
  <c r="S199" i="40"/>
  <c r="S180" i="40"/>
  <c r="S181" i="40"/>
  <c r="S176" i="40"/>
  <c r="S177" i="40"/>
  <c r="S183" i="40"/>
  <c r="S253" i="40"/>
  <c r="AE68" i="31"/>
  <c r="AE72" i="31"/>
  <c r="AE83" i="31"/>
  <c r="E103" i="39"/>
  <c r="F103" i="39"/>
  <c r="Y59" i="32"/>
  <c r="Y51" i="32"/>
  <c r="W51" i="32"/>
  <c r="W59" i="32"/>
  <c r="D3" i="42"/>
  <c r="I40" i="42"/>
  <c r="N195" i="40"/>
  <c r="N185" i="40"/>
  <c r="K43" i="42"/>
  <c r="J43" i="32"/>
  <c r="H185" i="41"/>
  <c r="H188" i="41"/>
  <c r="H198" i="41"/>
  <c r="H204" i="41"/>
  <c r="H206" i="41"/>
  <c r="K5" i="42"/>
  <c r="K44" i="42"/>
  <c r="D9" i="52"/>
  <c r="H9" i="52"/>
  <c r="H12" i="52"/>
  <c r="F243" i="41"/>
  <c r="F247" i="41"/>
  <c r="D247" i="41"/>
  <c r="D253" i="41"/>
  <c r="O218" i="38"/>
  <c r="O207" i="38"/>
  <c r="H46" i="42"/>
  <c r="H6" i="42"/>
  <c r="H45" i="42"/>
  <c r="K195" i="40"/>
  <c r="I83" i="31"/>
  <c r="I84" i="31"/>
  <c r="G180" i="40"/>
  <c r="G181" i="40"/>
  <c r="G176" i="40"/>
  <c r="G177" i="40"/>
  <c r="G183" i="40"/>
  <c r="G199" i="40"/>
  <c r="G207" i="40"/>
  <c r="G41" i="52"/>
  <c r="F253" i="40"/>
  <c r="L207" i="40"/>
  <c r="L199" i="40"/>
  <c r="G87" i="40"/>
  <c r="G88" i="40"/>
  <c r="G83" i="40"/>
  <c r="G84" i="40"/>
  <c r="G90" i="40"/>
  <c r="G137" i="40"/>
  <c r="G147" i="40"/>
  <c r="P92" i="40"/>
  <c r="P91" i="40"/>
  <c r="M13" i="42"/>
  <c r="L87" i="40"/>
  <c r="L88" i="40"/>
  <c r="L83" i="40"/>
  <c r="L84" i="40"/>
  <c r="L90" i="40"/>
  <c r="L137" i="40"/>
  <c r="L251" i="40"/>
  <c r="L254" i="40"/>
  <c r="L284" i="40"/>
  <c r="L285" i="40"/>
  <c r="D268" i="40"/>
  <c r="H73" i="52"/>
  <c r="H71" i="52"/>
  <c r="T68" i="31"/>
  <c r="T72" i="31"/>
  <c r="T83" i="31"/>
  <c r="T88" i="31"/>
  <c r="E118" i="28"/>
  <c r="I147" i="40"/>
  <c r="I87" i="40"/>
  <c r="I88" i="40"/>
  <c r="I83" i="40"/>
  <c r="I84" i="40"/>
  <c r="I90" i="40"/>
  <c r="I137" i="40"/>
  <c r="I151" i="40"/>
  <c r="E42" i="39"/>
  <c r="F39" i="39"/>
  <c r="F42" i="39"/>
  <c r="P35" i="48"/>
  <c r="E137" i="39"/>
  <c r="E134" i="39"/>
  <c r="F137" i="39"/>
  <c r="J180" i="40"/>
  <c r="J181" i="40"/>
  <c r="J176" i="40"/>
  <c r="J177" i="40"/>
  <c r="J183" i="40"/>
  <c r="J199" i="40"/>
  <c r="J207" i="40"/>
  <c r="N180" i="40"/>
  <c r="N181" i="40"/>
  <c r="N176" i="40"/>
  <c r="N177" i="40"/>
  <c r="N183" i="40"/>
  <c r="N199" i="40"/>
  <c r="N207" i="40"/>
  <c r="I16" i="39"/>
  <c r="I19" i="39"/>
  <c r="I20" i="39"/>
  <c r="I18" i="39"/>
  <c r="I17" i="39"/>
  <c r="I52" i="39"/>
  <c r="G13" i="42"/>
  <c r="D13" i="42"/>
  <c r="O157" i="40"/>
  <c r="F115" i="39"/>
  <c r="E115" i="39"/>
  <c r="AF68" i="31"/>
  <c r="AF72" i="31"/>
  <c r="AF83" i="31"/>
  <c r="E104" i="39"/>
  <c r="F104" i="39"/>
  <c r="D12" i="42"/>
  <c r="I12" i="42"/>
  <c r="I15" i="42"/>
  <c r="I223" i="40"/>
  <c r="I268" i="40"/>
  <c r="I269" i="40"/>
  <c r="I279" i="40"/>
  <c r="I283" i="40"/>
  <c r="I285" i="40"/>
  <c r="J13" i="42"/>
  <c r="F137" i="40"/>
  <c r="F151" i="40"/>
  <c r="F161" i="40"/>
  <c r="F241" i="40"/>
  <c r="D241" i="40"/>
  <c r="D246" i="40"/>
  <c r="M18" i="33"/>
  <c r="R15" i="48"/>
  <c r="T81" i="48"/>
  <c r="U81" i="48"/>
  <c r="G12" i="52"/>
  <c r="D12" i="52"/>
  <c r="AC69" i="31"/>
  <c r="AD69" i="31"/>
  <c r="J47" i="39"/>
  <c r="J8" i="39"/>
  <c r="Z69" i="31"/>
  <c r="Z71" i="31"/>
  <c r="J6" i="39"/>
  <c r="AD71" i="31"/>
  <c r="AG68" i="31"/>
  <c r="Y71" i="31"/>
  <c r="AE69" i="31"/>
  <c r="AE70" i="31"/>
  <c r="AD70" i="31"/>
  <c r="AE71" i="31"/>
  <c r="J7" i="39"/>
  <c r="AF70" i="31"/>
  <c r="J10" i="39"/>
  <c r="Y70" i="31"/>
  <c r="J9" i="39"/>
  <c r="Y69" i="31"/>
  <c r="AF71" i="31"/>
  <c r="AA71" i="31"/>
  <c r="Z70" i="31"/>
  <c r="AA69" i="31"/>
  <c r="AC71" i="31"/>
  <c r="AF69" i="31"/>
  <c r="AA70" i="31"/>
  <c r="AC70" i="31"/>
  <c r="O45" i="42"/>
  <c r="O6" i="42"/>
  <c r="O46" i="42"/>
  <c r="P196" i="38"/>
  <c r="P200" i="38"/>
  <c r="P202" i="38"/>
  <c r="P208" i="38"/>
  <c r="P225" i="38"/>
  <c r="P228" i="38"/>
  <c r="P230" i="38"/>
  <c r="P277" i="38"/>
  <c r="P309" i="38"/>
  <c r="P29" i="52"/>
  <c r="P30" i="52"/>
  <c r="BA80" i="31"/>
  <c r="BA81" i="31"/>
  <c r="W147" i="40"/>
  <c r="W87" i="40"/>
  <c r="W88" i="40"/>
  <c r="W83" i="40"/>
  <c r="W84" i="40"/>
  <c r="W90" i="40"/>
  <c r="W137" i="40"/>
  <c r="W151" i="40"/>
  <c r="R40" i="48"/>
  <c r="AP71" i="31"/>
  <c r="L47" i="39"/>
  <c r="K185" i="40"/>
  <c r="G47" i="39"/>
  <c r="AP70" i="31"/>
  <c r="T92" i="40"/>
  <c r="T87" i="40"/>
  <c r="T88" i="40"/>
  <c r="T83" i="40"/>
  <c r="T84" i="40"/>
  <c r="T90" i="40"/>
  <c r="T91" i="40"/>
  <c r="AI83" i="31"/>
  <c r="F195" i="40"/>
  <c r="F184" i="40"/>
  <c r="F180" i="40"/>
  <c r="F181" i="40"/>
  <c r="F176" i="40"/>
  <c r="F177" i="40"/>
  <c r="F183" i="40"/>
  <c r="F185" i="40"/>
  <c r="J196" i="38"/>
  <c r="J200" i="38"/>
  <c r="J202" i="38"/>
  <c r="J206" i="38"/>
  <c r="J222" i="38"/>
  <c r="J230" i="38"/>
  <c r="J277" i="38"/>
  <c r="J309" i="38"/>
  <c r="J29" i="52"/>
  <c r="I45" i="42"/>
  <c r="I222" i="38"/>
  <c r="I230" i="38"/>
  <c r="I277" i="38"/>
  <c r="I309" i="38"/>
  <c r="I310" i="38"/>
  <c r="I3" i="42"/>
  <c r="I6" i="42"/>
  <c r="I46" i="42"/>
  <c r="O83" i="48"/>
  <c r="R83" i="48"/>
  <c r="S83" i="48"/>
  <c r="N87" i="40"/>
  <c r="N88" i="40"/>
  <c r="N83" i="40"/>
  <c r="N84" i="40"/>
  <c r="N90" i="40"/>
  <c r="N137" i="40"/>
  <c r="N151" i="40"/>
  <c r="N161" i="40"/>
  <c r="N209" i="40"/>
  <c r="Y91" i="40"/>
  <c r="Y87" i="40"/>
  <c r="Y88" i="40"/>
  <c r="Y83" i="40"/>
  <c r="Y84" i="40"/>
  <c r="Y90" i="40"/>
  <c r="Y92" i="40"/>
  <c r="E112" i="39"/>
  <c r="F112" i="39"/>
  <c r="AC68" i="31"/>
  <c r="AC72" i="31"/>
  <c r="AC83" i="31"/>
  <c r="E101" i="39"/>
  <c r="F101" i="39"/>
  <c r="K199" i="40"/>
  <c r="K207" i="40"/>
  <c r="AQ80" i="31"/>
  <c r="AQ81" i="31"/>
  <c r="I195" i="40"/>
  <c r="I180" i="40"/>
  <c r="I181" i="40"/>
  <c r="I176" i="40"/>
  <c r="I177" i="40"/>
  <c r="I183" i="40"/>
  <c r="I185" i="40"/>
  <c r="I187" i="41"/>
  <c r="L11" i="52"/>
  <c r="L56" i="52"/>
  <c r="L57" i="52"/>
  <c r="L67" i="52"/>
  <c r="L68" i="52"/>
  <c r="I149" i="40"/>
  <c r="AD51" i="32"/>
  <c r="AD59" i="32"/>
  <c r="J33" i="32"/>
  <c r="T33" i="32"/>
  <c r="T102" i="48"/>
  <c r="U102" i="48"/>
  <c r="F68" i="31"/>
  <c r="L185" i="40"/>
  <c r="L180" i="40"/>
  <c r="L181" i="40"/>
  <c r="L176" i="40"/>
  <c r="L177" i="40"/>
  <c r="L183" i="40"/>
  <c r="L195" i="40"/>
  <c r="O75" i="48"/>
  <c r="S73" i="48"/>
  <c r="R75" i="48"/>
  <c r="S69" i="48"/>
  <c r="T199" i="40"/>
  <c r="T185" i="40"/>
  <c r="T195" i="40"/>
  <c r="T180" i="40"/>
  <c r="T181" i="40"/>
  <c r="T176" i="40"/>
  <c r="T177" i="40"/>
  <c r="T183" i="40"/>
  <c r="T253" i="40"/>
  <c r="J13" i="32"/>
  <c r="F187" i="41"/>
  <c r="F232" i="41"/>
  <c r="F233" i="41"/>
  <c r="D233" i="41"/>
  <c r="H11" i="52"/>
  <c r="H56" i="52"/>
  <c r="H57" i="52"/>
  <c r="H67" i="52"/>
  <c r="H68" i="52"/>
  <c r="H42" i="42"/>
  <c r="G240" i="40"/>
  <c r="G242" i="40"/>
  <c r="H4" i="42"/>
  <c r="H41" i="42"/>
  <c r="G11" i="52"/>
  <c r="G56" i="52"/>
  <c r="G57" i="52"/>
  <c r="D57" i="52"/>
  <c r="H196" i="38"/>
  <c r="G196" i="38"/>
  <c r="Q92" i="40"/>
  <c r="Q87" i="40"/>
  <c r="Q88" i="40"/>
  <c r="Q83" i="40"/>
  <c r="Q84" i="40"/>
  <c r="Q90" i="40"/>
  <c r="Q91" i="40"/>
  <c r="P147" i="40"/>
  <c r="P87" i="40"/>
  <c r="P88" i="40"/>
  <c r="P83" i="40"/>
  <c r="P84" i="40"/>
  <c r="P90" i="40"/>
  <c r="P137" i="40"/>
  <c r="P151" i="40"/>
  <c r="AJ68" i="31"/>
  <c r="AJ72" i="31"/>
  <c r="AJ83" i="31"/>
  <c r="E126" i="39"/>
  <c r="F126" i="39"/>
  <c r="F134" i="39"/>
  <c r="I26" i="32"/>
  <c r="G26" i="32"/>
  <c r="F26" i="32"/>
  <c r="M80" i="31"/>
  <c r="M81" i="31"/>
  <c r="Z51" i="32"/>
  <c r="Z59" i="32"/>
  <c r="G43" i="32"/>
  <c r="F43" i="32"/>
  <c r="F62" i="39"/>
  <c r="E11" i="33"/>
  <c r="P10" i="48"/>
  <c r="D285" i="40"/>
  <c r="I13" i="32"/>
  <c r="F223" i="40"/>
  <c r="F268" i="40"/>
  <c r="F269" i="40"/>
  <c r="F279" i="40"/>
  <c r="F283" i="40"/>
  <c r="F285" i="40"/>
  <c r="D288" i="40"/>
  <c r="AO80" i="31"/>
  <c r="AO81" i="31"/>
  <c r="G234" i="40"/>
  <c r="H22" i="52"/>
  <c r="H28" i="52"/>
  <c r="H30" i="52"/>
  <c r="F142" i="40"/>
  <c r="F143" i="40"/>
  <c r="G140" i="40"/>
  <c r="G143" i="40"/>
  <c r="H140" i="40"/>
  <c r="H143" i="40"/>
  <c r="I140" i="40"/>
  <c r="I143" i="40"/>
  <c r="J140" i="40"/>
  <c r="J143" i="40"/>
  <c r="K140" i="40"/>
  <c r="K143" i="40"/>
  <c r="L140" i="40"/>
  <c r="L143" i="40"/>
  <c r="M140" i="40"/>
  <c r="M143" i="40"/>
  <c r="N140" i="40"/>
  <c r="N143" i="40"/>
  <c r="O140" i="40"/>
  <c r="O143" i="40"/>
  <c r="P140" i="40"/>
  <c r="P143" i="40"/>
  <c r="Q140" i="40"/>
  <c r="Q143" i="40"/>
  <c r="R140" i="40"/>
  <c r="R143" i="40"/>
  <c r="S140" i="40"/>
  <c r="S143" i="40"/>
  <c r="T140" i="40"/>
  <c r="T143" i="40"/>
  <c r="U140" i="40"/>
  <c r="U143" i="40"/>
  <c r="V140" i="40"/>
  <c r="V143" i="40"/>
  <c r="W140" i="40"/>
  <c r="W143" i="40"/>
  <c r="X140" i="40"/>
  <c r="X143" i="40"/>
  <c r="Y140" i="40"/>
  <c r="Y143" i="40"/>
  <c r="Z140" i="40"/>
  <c r="Z143" i="40"/>
  <c r="I209" i="40"/>
  <c r="I141" i="40"/>
  <c r="I155" i="40"/>
  <c r="I158" i="40"/>
  <c r="I161" i="40"/>
  <c r="I241" i="40"/>
  <c r="D355" i="38"/>
  <c r="D356" i="38"/>
  <c r="I196" i="38"/>
  <c r="I200" i="38"/>
  <c r="I202" i="38"/>
  <c r="I206" i="38"/>
  <c r="I320" i="38"/>
  <c r="I322" i="38"/>
  <c r="I352" i="38"/>
  <c r="I353" i="38"/>
  <c r="D353" i="38"/>
  <c r="F91" i="40"/>
  <c r="E16" i="28"/>
  <c r="F87" i="40"/>
  <c r="F88" i="40"/>
  <c r="F83" i="40"/>
  <c r="F84" i="40"/>
  <c r="F90" i="40"/>
  <c r="F92" i="40"/>
  <c r="X185" i="40"/>
  <c r="X195" i="40"/>
  <c r="X253" i="40"/>
  <c r="X180" i="40"/>
  <c r="X181" i="40"/>
  <c r="X176" i="40"/>
  <c r="X177" i="40"/>
  <c r="X183" i="40"/>
  <c r="X199" i="40"/>
  <c r="U72" i="48"/>
  <c r="U71" i="48"/>
  <c r="U69" i="48"/>
  <c r="U73" i="48"/>
  <c r="J68" i="31"/>
  <c r="J72" i="31"/>
  <c r="J80" i="31"/>
  <c r="J81" i="31"/>
  <c r="J35" i="32"/>
  <c r="J45" i="32"/>
  <c r="G187" i="41"/>
  <c r="G188" i="41"/>
  <c r="G197" i="41"/>
  <c r="J17" i="32"/>
  <c r="J26" i="32"/>
  <c r="T75" i="48"/>
  <c r="U70" i="48"/>
  <c r="R199" i="40"/>
  <c r="R185" i="40"/>
  <c r="R253" i="40"/>
  <c r="K180" i="40"/>
  <c r="K181" i="40"/>
  <c r="K176" i="40"/>
  <c r="K177" i="40"/>
  <c r="K183" i="40"/>
  <c r="G52" i="39"/>
  <c r="K52" i="39"/>
  <c r="R180" i="40"/>
  <c r="R181" i="40"/>
  <c r="R176" i="40"/>
  <c r="R177" i="40"/>
  <c r="R183" i="40"/>
  <c r="R195" i="40"/>
  <c r="K142" i="40"/>
  <c r="J142" i="40"/>
  <c r="Z142" i="40"/>
  <c r="X142" i="40"/>
  <c r="V142" i="40"/>
  <c r="O142" i="40"/>
  <c r="Y142" i="40"/>
  <c r="T142" i="40"/>
  <c r="G142" i="40"/>
  <c r="L142" i="40"/>
  <c r="M142" i="40"/>
  <c r="P142" i="40"/>
  <c r="S142" i="40"/>
  <c r="R142" i="40"/>
  <c r="I142" i="40"/>
  <c r="N142" i="40"/>
  <c r="Q142" i="40"/>
  <c r="H142" i="40"/>
  <c r="U142" i="40"/>
  <c r="K18" i="39"/>
  <c r="K87" i="40"/>
  <c r="K88" i="40"/>
  <c r="K83" i="40"/>
  <c r="K84" i="40"/>
  <c r="K90" i="40"/>
  <c r="G18" i="39"/>
  <c r="G23" i="39"/>
  <c r="G26" i="39"/>
  <c r="G28" i="39"/>
  <c r="S17" i="32"/>
  <c r="W142" i="40"/>
  <c r="G113" i="28"/>
  <c r="G68" i="31"/>
  <c r="M68" i="31"/>
  <c r="M72" i="31"/>
  <c r="M83" i="31"/>
  <c r="M86" i="31"/>
  <c r="F99" i="39"/>
  <c r="F110" i="39"/>
  <c r="K208" i="38"/>
  <c r="F31" i="39"/>
  <c r="F63" i="39"/>
  <c r="AA68" i="31"/>
  <c r="AA72" i="31"/>
  <c r="AA83" i="31"/>
  <c r="E99" i="39"/>
  <c r="E110" i="39"/>
  <c r="O39" i="42"/>
  <c r="K196" i="38"/>
  <c r="K200" i="38"/>
  <c r="K202" i="38"/>
  <c r="K206" i="38"/>
  <c r="F36" i="39"/>
  <c r="I36" i="39"/>
  <c r="O196" i="38"/>
  <c r="O200" i="38"/>
  <c r="O202" i="38"/>
  <c r="O206" i="38"/>
  <c r="O222" i="38"/>
  <c r="O230" i="38"/>
  <c r="O277" i="38"/>
  <c r="O309" i="38"/>
  <c r="O310" i="38"/>
  <c r="O3" i="42"/>
  <c r="O40" i="42"/>
  <c r="H223" i="40"/>
  <c r="H268" i="40"/>
  <c r="H269" i="40"/>
  <c r="H279" i="40"/>
  <c r="H280" i="40"/>
  <c r="AN80" i="31"/>
  <c r="AN81" i="31"/>
  <c r="I33" i="32"/>
  <c r="I43" i="32"/>
  <c r="G221" i="40"/>
  <c r="G224" i="40"/>
  <c r="G233" i="40"/>
  <c r="I17" i="32"/>
  <c r="I68" i="31"/>
  <c r="I72" i="31"/>
  <c r="I80" i="31"/>
  <c r="I81" i="31"/>
  <c r="I35" i="32"/>
  <c r="I45" i="32"/>
  <c r="G223" i="40"/>
  <c r="G268" i="40"/>
  <c r="G269" i="40"/>
  <c r="G279" i="40"/>
  <c r="G280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tc={F4F72B6A-A07D-4DD2-8985-118116D7A7DC}</author>
    <author>tc={BCA36DA0-20CC-4328-804A-960C567E6C25}</author>
    <author>tc={07E7D3B8-8961-4546-8830-A36697507518}</author>
  </authors>
  <commentList>
    <comment ref="G110" authorId="0" shapeId="0" xr:uid="{F4F72B6A-A07D-4DD2-8985-118116D7A7D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0 - we don't have a 2nd hotel. 21c has conference space in Bentonville; while small (480 max people), we could include the revenue in Phase I.</t>
      </text>
    </comment>
    <comment ref="F147" authorId="1" shapeId="0" xr:uid="{BCA36DA0-20CC-4328-804A-960C567E6C25}">
      <text>
        <t>[Threaded comment]
Your version of Excel allows you to read this threaded comment; however, any edits to it will get removed if the file is opened in a newer version of Excel. Learn more: https://go.microsoft.com/fwlink/?linkid=870924
Comment:
    Public Spaces can be funded via Miami Forever Bond.  How to handle maintenance PSF - $7 CAM??</t>
      </text>
    </comment>
    <comment ref="N179" authorId="2" shapeId="0" xr:uid="{07E7D3B8-8961-4546-8830-A36697507518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this be 0.0%?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tc={E7459EC3-3244-4F6A-A7D5-8C9178112E04}</author>
  </authors>
  <commentList>
    <comment ref="I156" authorId="0" shapeId="0" xr:uid="{E7459EC3-3244-4F6A-A7D5-8C9178112E04}">
      <text>
        <t>[Threaded comment]
Your version of Excel allows you to read this threaded comment; however, any edits to it will get removed if the file is opened in a newer version of Excel. Learn more: https://go.microsoft.com/fwlink/?linkid=870924
Comment:
    i think this is the proceeds from refinancing construction debt with permanent debt.  This was wrong in cincystitch.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tc={397EDE8B-C0FD-4157-90AE-40EEB2B3E881}</author>
    <author>Michael Eriksen</author>
  </authors>
  <commentList>
    <comment ref="I155" authorId="0" shapeId="0" xr:uid="{397EDE8B-C0FD-4157-90AE-40EEB2B3E881}">
      <text>
        <t>[Threaded comment]
Your version of Excel allows you to read this threaded comment; however, any edits to it will get removed if the file is opened in a newer version of Excel. Learn more: https://go.microsoft.com/fwlink/?linkid=870924
Comment:
    where does this number come from?  seemingly it comes from op zone.  there is a similar payment in phase 3 around this time.  i think this is incorrect</t>
      </text>
    </comment>
    <comment ref="A187" authorId="1" shapeId="0" xr:uid="{3077DF58-B1D2-4480-9C85-7A9211CDD1C3}">
      <text>
        <r>
          <rPr>
            <b/>
            <sz val="9"/>
            <color indexed="81"/>
            <rFont val="Tahoma"/>
            <family val="2"/>
          </rPr>
          <t>Michael Eriksen:</t>
        </r>
        <r>
          <rPr>
            <sz val="9"/>
            <color indexed="81"/>
            <rFont val="Tahoma"/>
            <family val="2"/>
          </rPr>
          <t xml:space="preserve">
I think this was an artifact of the old workshop when hotel was in phase 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tc={0A188A55-9845-471A-A8E3-7BA0E4E2CDA1}</author>
  </authors>
  <commentList>
    <comment ref="I156" authorId="0" shapeId="0" xr:uid="{0A188A55-9845-471A-A8E3-7BA0E4E2CDA1}">
      <text>
        <t>[Threaded comment]
Your version of Excel allows you to read this threaded comment; however, any edits to it will get removed if the file is opened in a newer version of Excel. Learn more: https://go.microsoft.com/fwlink/?linkid=870924
Comment:
    i do not understand where this number comes program.  seeming it is linked to op zone equity.  this explains why levered irr is so good as compared to unlevered.</t>
      </text>
    </comment>
  </commentList>
</comments>
</file>

<file path=xl/sharedStrings.xml><?xml version="1.0" encoding="utf-8"?>
<sst xmlns="http://schemas.openxmlformats.org/spreadsheetml/2006/main" count="3011" uniqueCount="771">
  <si>
    <t>Combined Pre-Tax Returns</t>
  </si>
  <si>
    <t>Levered IRR</t>
  </si>
  <si>
    <t>Unlevered IRR</t>
  </si>
  <si>
    <t>Phase I</t>
  </si>
  <si>
    <t>Phase II</t>
  </si>
  <si>
    <t>Phase III</t>
  </si>
  <si>
    <t>Project (Unlevered) Returns</t>
  </si>
  <si>
    <t>Total Cost less Subsidies</t>
  </si>
  <si>
    <t>Budget</t>
  </si>
  <si>
    <t>Total Value</t>
  </si>
  <si>
    <t>Loan Sizing</t>
  </si>
  <si>
    <t>Yield-to-Cost</t>
  </si>
  <si>
    <t>Blended Exit Cap</t>
  </si>
  <si>
    <t>Equity Returns</t>
  </si>
  <si>
    <t>Equity Multiple</t>
  </si>
  <si>
    <t>Phase</t>
  </si>
  <si>
    <t>Development Mix</t>
  </si>
  <si>
    <t>Global</t>
  </si>
  <si>
    <t>Timing Assumptions</t>
  </si>
  <si>
    <t>I</t>
  </si>
  <si>
    <t>II</t>
  </si>
  <si>
    <t>III</t>
  </si>
  <si>
    <t>NSF</t>
  </si>
  <si>
    <t>Check</t>
  </si>
  <si>
    <t>Predevelopment Closing</t>
  </si>
  <si>
    <t>Affordable Residential</t>
  </si>
  <si>
    <t>Predevelopment Period</t>
  </si>
  <si>
    <t>Market Rate Residential</t>
  </si>
  <si>
    <t>Construction Closing</t>
  </si>
  <si>
    <t>Retail</t>
  </si>
  <si>
    <t>Construction Period</t>
  </si>
  <si>
    <t>Hotel</t>
  </si>
  <si>
    <t>Construction Completion</t>
  </si>
  <si>
    <t>Nader Museum</t>
  </si>
  <si>
    <t>Lease-up Period</t>
  </si>
  <si>
    <t>Office</t>
  </si>
  <si>
    <t>Stabilization</t>
  </si>
  <si>
    <t>Light Industrial/Flex</t>
  </si>
  <si>
    <t>Partnership Hold Period</t>
  </si>
  <si>
    <t>Structural Parking</t>
  </si>
  <si>
    <t>Project Sale</t>
  </si>
  <si>
    <t>Surface Parking</t>
  </si>
  <si>
    <t>Total NSF</t>
  </si>
  <si>
    <t>LIHTC Affordable Unit Mix (50% AMI)</t>
  </si>
  <si>
    <t>GSF</t>
  </si>
  <si>
    <t>Studio Units</t>
  </si>
  <si>
    <t>Average Size</t>
  </si>
  <si>
    <t>Rent PSF</t>
  </si>
  <si>
    <t>Rent PU</t>
  </si>
  <si>
    <t>1-BR Units</t>
  </si>
  <si>
    <t>Community Facility</t>
  </si>
  <si>
    <t>2-BR Units</t>
  </si>
  <si>
    <t>Total GSF</t>
  </si>
  <si>
    <t>Units</t>
  </si>
  <si>
    <t>3-BR Units</t>
  </si>
  <si>
    <t>Live-Work Units (4-BR)</t>
  </si>
  <si>
    <t>Operating Assumptions</t>
  </si>
  <si>
    <t>Vacancy</t>
  </si>
  <si>
    <t>Annual LIHTC Affordable Gross Rent</t>
  </si>
  <si>
    <t>Affordable Residential Vacancy</t>
  </si>
  <si>
    <t>Total RSF</t>
  </si>
  <si>
    <t>Market Rate Residential Vacancy</t>
  </si>
  <si>
    <t>Total Units</t>
  </si>
  <si>
    <t>Retail Vacancy</t>
  </si>
  <si>
    <t>Blended Rent PSF</t>
  </si>
  <si>
    <t>Community Facility Vacancy</t>
  </si>
  <si>
    <t>Blended Rent PU</t>
  </si>
  <si>
    <t>Office Vacancy</t>
  </si>
  <si>
    <t>Industrial Vacancy</t>
  </si>
  <si>
    <t>Market Resi Mix</t>
  </si>
  <si>
    <t>Parking Vacancy</t>
  </si>
  <si>
    <t>Rent Growth</t>
  </si>
  <si>
    <t>Affordable Residential Growth</t>
  </si>
  <si>
    <t>Market Rate Residential Growth</t>
  </si>
  <si>
    <t>Retail Growth</t>
  </si>
  <si>
    <t>every…</t>
  </si>
  <si>
    <t>Hotel Growth</t>
  </si>
  <si>
    <t>Community Facility Growth</t>
  </si>
  <si>
    <t>Office Growth</t>
  </si>
  <si>
    <t>Industrial Growth</t>
  </si>
  <si>
    <t>Parking Growth</t>
  </si>
  <si>
    <t>Expense Growth</t>
  </si>
  <si>
    <t>Live Work Units</t>
  </si>
  <si>
    <t>Annual Market Resi Gross Rent</t>
  </si>
  <si>
    <t>Cost Growth</t>
  </si>
  <si>
    <t>Inflation</t>
  </si>
  <si>
    <t>Years to Inflate</t>
  </si>
  <si>
    <t>Amenity Fees</t>
  </si>
  <si>
    <t>CAM + Expense Reimbursement Rate</t>
  </si>
  <si>
    <t>Laundry-Amenity / Aff. Occ. Mo.</t>
  </si>
  <si>
    <t>Retail Reimbursement</t>
  </si>
  <si>
    <t>Laundry-Amenity / MR Occ. Mo.</t>
  </si>
  <si>
    <t>Community Facility Reimbursement</t>
  </si>
  <si>
    <t>Office Reimbursement</t>
  </si>
  <si>
    <t>Hotel Mix</t>
  </si>
  <si>
    <t>I - Boutique Hotel</t>
  </si>
  <si>
    <t>II - Limited-Service Hotel</t>
  </si>
  <si>
    <t>III - Full Service Hotel</t>
  </si>
  <si>
    <t>Industrial Reimbursement</t>
  </si>
  <si>
    <t>Keys</t>
  </si>
  <si>
    <t>Operating Expenses and Replacement Reserves PU (Annual)</t>
  </si>
  <si>
    <t>RevPAR</t>
  </si>
  <si>
    <t>Occupancy</t>
  </si>
  <si>
    <t>Stabilized ADR</t>
  </si>
  <si>
    <t>Parking</t>
  </si>
  <si>
    <t>Annual Hotel Revenue</t>
  </si>
  <si>
    <t>Hotel Operating Expenses</t>
  </si>
  <si>
    <t>Total Keys</t>
  </si>
  <si>
    <t>Departmental Expenses (% of Relevant Revenue)</t>
  </si>
  <si>
    <t>Blended RevPAR PSF</t>
  </si>
  <si>
    <t>Room Expenses</t>
  </si>
  <si>
    <t>F&amp;B</t>
  </si>
  <si>
    <t>F&amp;B + Other Expenses</t>
  </si>
  <si>
    <t>Per Occupied Room Night</t>
  </si>
  <si>
    <t>Undistributed Expenses (% of Total Revenue)</t>
  </si>
  <si>
    <t>Annual per Key</t>
  </si>
  <si>
    <t>G&amp;A</t>
  </si>
  <si>
    <t>Miscellaneous</t>
  </si>
  <si>
    <t>Telecom</t>
  </si>
  <si>
    <t>Marketing</t>
  </si>
  <si>
    <t>Franchise Fees</t>
  </si>
  <si>
    <t>Annual F&amp;B Revenue</t>
  </si>
  <si>
    <t>Utility Costs</t>
  </si>
  <si>
    <t>Conference Space</t>
  </si>
  <si>
    <t>Maintenance</t>
  </si>
  <si>
    <t>Square Footage</t>
  </si>
  <si>
    <t>Insurance</t>
  </si>
  <si>
    <t>Number of Events per Year</t>
  </si>
  <si>
    <t>Management Fees</t>
  </si>
  <si>
    <t>Guests / Event</t>
  </si>
  <si>
    <t>Reserves (% of Total Revenue)</t>
  </si>
  <si>
    <t>Revenue / Guest</t>
  </si>
  <si>
    <t>FF&amp;E Reserve</t>
  </si>
  <si>
    <t>Annual Revenue PSF</t>
  </si>
  <si>
    <t>Conference Space (% of Relevant Revenue)</t>
  </si>
  <si>
    <t>Annual Conference Revenue</t>
  </si>
  <si>
    <t>Expenses</t>
  </si>
  <si>
    <t>Ramp-Up</t>
  </si>
  <si>
    <t>Year 1 Occupancy</t>
  </si>
  <si>
    <t>Year 1 ADR</t>
  </si>
  <si>
    <t>Operating Expenses and Replacement Reserves PSF</t>
  </si>
  <si>
    <t>Year 2 Occupancy</t>
  </si>
  <si>
    <t>Year 2 ADR</t>
  </si>
  <si>
    <t>Museum</t>
  </si>
  <si>
    <t>Retail Mix</t>
  </si>
  <si>
    <t>Traditional Retail</t>
  </si>
  <si>
    <t>Exit Assumptions</t>
  </si>
  <si>
    <t>Annual Rent</t>
  </si>
  <si>
    <t>Cap Rate</t>
  </si>
  <si>
    <t>Other</t>
  </si>
  <si>
    <t>Food Hall</t>
  </si>
  <si>
    <t>Annual Retail Rent</t>
  </si>
  <si>
    <t>Sale Costs</t>
  </si>
  <si>
    <t>Financing</t>
  </si>
  <si>
    <t>LIBOR Forecast (Construction)</t>
  </si>
  <si>
    <t>Community Facility Mix</t>
  </si>
  <si>
    <t>Construction Loan</t>
  </si>
  <si>
    <t>LTC</t>
  </si>
  <si>
    <t>Rate</t>
  </si>
  <si>
    <t>Public Spaces</t>
  </si>
  <si>
    <t>All-in Rate</t>
  </si>
  <si>
    <t>Origination Fee</t>
  </si>
  <si>
    <t>Average Utilization (Draw)</t>
  </si>
  <si>
    <t>Permanent Senior Bank Loan</t>
  </si>
  <si>
    <t>LTV</t>
  </si>
  <si>
    <t>DSCR</t>
  </si>
  <si>
    <t>Annual Community Facility Rent</t>
  </si>
  <si>
    <t>Amortization</t>
  </si>
  <si>
    <t>EB-5 Loan</t>
  </si>
  <si>
    <t>Office Mix</t>
  </si>
  <si>
    <t>Conventional Office</t>
  </si>
  <si>
    <t>IO</t>
  </si>
  <si>
    <t>Tax-Exempt Industrial Revenue Bond Loan</t>
  </si>
  <si>
    <t>TIID Loan (Tranportation Infrastructure Improvement District)</t>
  </si>
  <si>
    <t>Annual Office Rent</t>
  </si>
  <si>
    <t>Average Utilization</t>
  </si>
  <si>
    <t>Miami Forever Bond</t>
  </si>
  <si>
    <t>Amount</t>
  </si>
  <si>
    <t>Low-Income Housing Tax Credit Equity</t>
  </si>
  <si>
    <t>Parking Mix</t>
  </si>
  <si>
    <t>9% Credit Allocation / Affordable Unit</t>
  </si>
  <si>
    <t>Structural Parking - Revenue</t>
  </si>
  <si>
    <t>Total Allocation</t>
  </si>
  <si>
    <t>Spaces</t>
  </si>
  <si>
    <t>Credit Pricing</t>
  </si>
  <si>
    <t>SF / Space</t>
  </si>
  <si>
    <t>Historic Tax Credit Equity</t>
  </si>
  <si>
    <t>Credit as % of Qualified Rehabilitation Expenditures (QREs)</t>
  </si>
  <si>
    <t>QREs (Gut Rehab Hard Costs, Associated Developer Fee)</t>
  </si>
  <si>
    <t>Monthly Rent / Space</t>
  </si>
  <si>
    <t>Credits</t>
  </si>
  <si>
    <t>Structural Parking - Non-Revenue</t>
  </si>
  <si>
    <t>Federal New Markets Tax Credit Equity</t>
  </si>
  <si>
    <t>Allocation</t>
  </si>
  <si>
    <t>Pricing</t>
  </si>
  <si>
    <t>Florida State New Markets Tax Credit Equity</t>
  </si>
  <si>
    <t>Surface Parking - Revenue</t>
  </si>
  <si>
    <t>Opportunity Zones</t>
  </si>
  <si>
    <t>Marginal Tax Rate</t>
  </si>
  <si>
    <t>Depreciable Life</t>
  </si>
  <si>
    <t>Depreciable % of costs</t>
  </si>
  <si>
    <t>Surface Parking - Non-Revenue</t>
  </si>
  <si>
    <t>Annual Parking Rent</t>
  </si>
  <si>
    <t>Total RSF - Structural</t>
  </si>
  <si>
    <t>Total RSF - Surface</t>
  </si>
  <si>
    <t>Light Industrial/Flex Mix</t>
  </si>
  <si>
    <t>Urban Fulfillment Center</t>
  </si>
  <si>
    <t>Annual Industrial Rent</t>
  </si>
  <si>
    <t>Project Timeline</t>
  </si>
  <si>
    <t>Financial Performance</t>
  </si>
  <si>
    <t>Total</t>
  </si>
  <si>
    <t>Total Stabilized Value</t>
  </si>
  <si>
    <t>Development Mix - Residential Mix (Units)</t>
  </si>
  <si>
    <t>Avg Unit Size (sqft）</t>
  </si>
  <si>
    <t>Market Rate</t>
  </si>
  <si>
    <t>Financing Assumption</t>
  </si>
  <si>
    <t>Permanent Bank Loan</t>
  </si>
  <si>
    <t>Subtotal</t>
  </si>
  <si>
    <t>Rate (30 year am.)</t>
  </si>
  <si>
    <t>Affordable Housing Units</t>
  </si>
  <si>
    <t>Stabilized Mixed-Use Component NOI</t>
  </si>
  <si>
    <t>Estimated Mixed-Use Component Value</t>
  </si>
  <si>
    <t>Maximum LTV</t>
  </si>
  <si>
    <t>Maximum Loan by LTV Test</t>
  </si>
  <si>
    <t>Minimum DSCR</t>
  </si>
  <si>
    <t>Maximum Loan by DSCR Test</t>
  </si>
  <si>
    <t>Development Mix - Commercial (sqft)</t>
  </si>
  <si>
    <t>Rate (I/O)</t>
  </si>
  <si>
    <t>Stabilized Hotel Component NOI</t>
  </si>
  <si>
    <t>Estimated Hotel Component Value</t>
  </si>
  <si>
    <t>Conventional Retail</t>
  </si>
  <si>
    <t>IRB Loan</t>
  </si>
  <si>
    <t>Light Industrial</t>
  </si>
  <si>
    <t>Stabilized Industrial Component NOI</t>
  </si>
  <si>
    <t>Estimated Industrial Component Value</t>
  </si>
  <si>
    <t>Development Mix - Others</t>
  </si>
  <si>
    <t>Avg Unit Size (sqft)</t>
  </si>
  <si>
    <t>Hotel (Rooms)</t>
  </si>
  <si>
    <t>Boutique Hotel</t>
  </si>
  <si>
    <t>Limited Service Hotel</t>
  </si>
  <si>
    <t>Construction Loan Amount</t>
  </si>
  <si>
    <t>Full Service Hotel</t>
  </si>
  <si>
    <t>Total Permanent Loan Amount</t>
  </si>
  <si>
    <t>Projected Annual Debt Service</t>
  </si>
  <si>
    <t>Community Space (sqft)</t>
  </si>
  <si>
    <t>Sources &amp; Uses</t>
  </si>
  <si>
    <t xml:space="preserve"> </t>
  </si>
  <si>
    <t>%</t>
  </si>
  <si>
    <t>Predevelopment</t>
  </si>
  <si>
    <t>Sources</t>
  </si>
  <si>
    <t>Parking (space)</t>
  </si>
  <si>
    <t>Opportunity Zone Fund Equity</t>
  </si>
  <si>
    <t>Total Sources</t>
  </si>
  <si>
    <t>Uses</t>
  </si>
  <si>
    <t>Acquisition Costs</t>
  </si>
  <si>
    <t>Infrastructure Costs</t>
  </si>
  <si>
    <t>Market Rent Assumption - Residential</t>
  </si>
  <si>
    <t>Market Rent</t>
  </si>
  <si>
    <t>Rental Growth</t>
  </si>
  <si>
    <t>Hard Costs (Demolition)</t>
  </si>
  <si>
    <t>(%)</t>
  </si>
  <si>
    <t>（%）</t>
  </si>
  <si>
    <t>Soft Costs</t>
  </si>
  <si>
    <t>Financing Costs</t>
  </si>
  <si>
    <t>Reserves</t>
  </si>
  <si>
    <t>Developer Fee</t>
  </si>
  <si>
    <t>Total Uses</t>
  </si>
  <si>
    <t>Construction</t>
  </si>
  <si>
    <t>Blended</t>
  </si>
  <si>
    <t>Affordable Housing Units (50% AMI)</t>
  </si>
  <si>
    <t>Senior Construction Loan</t>
  </si>
  <si>
    <t>TIF Loan (TIID)</t>
  </si>
  <si>
    <t>New Markets Tax Credit Equity</t>
  </si>
  <si>
    <t>Market Rent Assumption - Commercial</t>
  </si>
  <si>
    <t>Lease Type</t>
  </si>
  <si>
    <t>Mod. Gross</t>
  </si>
  <si>
    <t>Hard Costs</t>
  </si>
  <si>
    <t>NNN</t>
  </si>
  <si>
    <t>Permanent</t>
  </si>
  <si>
    <t>Senior Permanent Bank Loan</t>
  </si>
  <si>
    <t>Market Rent Assumption - Hotel</t>
  </si>
  <si>
    <t>Type</t>
  </si>
  <si>
    <t>Full Service</t>
  </si>
  <si>
    <t>Limited Service</t>
  </si>
  <si>
    <t>Boutique</t>
  </si>
  <si>
    <t>Market Rent Assumption - Others</t>
  </si>
  <si>
    <t xml:space="preserve">Market Rent </t>
  </si>
  <si>
    <t>Per Unit</t>
  </si>
  <si>
    <t>Ground</t>
  </si>
  <si>
    <t>Predevelopment Sources</t>
  </si>
  <si>
    <t>Predevelopment Uses</t>
  </si>
  <si>
    <t>PSF</t>
  </si>
  <si>
    <t>Construction Sources</t>
  </si>
  <si>
    <t>Permanent Sources</t>
  </si>
  <si>
    <t>Senior Permanent Loan</t>
  </si>
  <si>
    <t>TIF Loan (Transportation Infrastructure Improvement Dist.)</t>
  </si>
  <si>
    <t>Industrial Revenue Bond Loan</t>
  </si>
  <si>
    <t>Federal Low-Income Housing Tax Credit Equity</t>
  </si>
  <si>
    <t>TIF Loan (Transportation Infrastructure I.D.)</t>
  </si>
  <si>
    <t>Federal and State New Markets Tax Credit Equity</t>
  </si>
  <si>
    <t>Historic Tax Credits</t>
  </si>
  <si>
    <t>Construction Uses</t>
  </si>
  <si>
    <t>Permanent Uses</t>
  </si>
  <si>
    <t>Expenditures during Construction (excluding Predevelopment)</t>
  </si>
  <si>
    <t>Sources ($mm)</t>
  </si>
  <si>
    <t>Uses ($mm)</t>
  </si>
  <si>
    <t>Senior Bank Loan</t>
  </si>
  <si>
    <t>Acquisition</t>
  </si>
  <si>
    <t>Senior EB-5 Loan</t>
  </si>
  <si>
    <t>Infrastructure</t>
  </si>
  <si>
    <t>Senior IRB Loan</t>
  </si>
  <si>
    <t>TIID Loan</t>
  </si>
  <si>
    <t>LIHTC Equity</t>
  </si>
  <si>
    <t>NMTC Equity</t>
  </si>
  <si>
    <t>HTC Equity</t>
  </si>
  <si>
    <t>Fund Equity</t>
  </si>
  <si>
    <t>Combined Breakdown by Asset Type</t>
  </si>
  <si>
    <t>Phase I Breakdown by Asset Type</t>
  </si>
  <si>
    <t>Phase II Breakdown by Asset Type</t>
  </si>
  <si>
    <t>Phase III Breakdown by Asset Type</t>
  </si>
  <si>
    <t>Square Footages</t>
  </si>
  <si>
    <t>Gross Square Footage</t>
  </si>
  <si>
    <t xml:space="preserve">   For Sale Market Rate Housing</t>
  </si>
  <si>
    <t>Overall Percentage</t>
  </si>
  <si>
    <t>Site Acquisition Price</t>
  </si>
  <si>
    <t>Acquisition Subtotal</t>
  </si>
  <si>
    <t>Roads &amp; Transit Station</t>
  </si>
  <si>
    <t>Utilities</t>
  </si>
  <si>
    <t>Public Park Space</t>
  </si>
  <si>
    <t>Hard Costs Subtotal</t>
  </si>
  <si>
    <t>Unit Cost</t>
  </si>
  <si>
    <t>Demolition</t>
  </si>
  <si>
    <t>Industrial</t>
  </si>
  <si>
    <r>
      <t>Owner's Contingency</t>
    </r>
    <r>
      <rPr>
        <vertAlign val="superscript"/>
        <sz val="12"/>
        <color theme="1"/>
        <rFont val="Arial"/>
        <family val="2"/>
      </rPr>
      <t>1</t>
    </r>
  </si>
  <si>
    <t>1. Customary to exclude demolition from owner's contingency</t>
  </si>
  <si>
    <t>% before Closing</t>
  </si>
  <si>
    <t>Architectural &amp; Engineering</t>
  </si>
  <si>
    <t>Permits</t>
  </si>
  <si>
    <t>Environmental/Geotechnical</t>
  </si>
  <si>
    <t>Bank Legal</t>
  </si>
  <si>
    <t>Developer Legal</t>
  </si>
  <si>
    <t>Taxes During Construction</t>
  </si>
  <si>
    <t>Accounting</t>
  </si>
  <si>
    <t>Title &amp; Survey</t>
  </si>
  <si>
    <t>Appraisal</t>
  </si>
  <si>
    <t>Construction Monitoring &amp; Testing</t>
  </si>
  <si>
    <t>Construction Inspections</t>
  </si>
  <si>
    <t>LEED Certification Fee</t>
  </si>
  <si>
    <t>Soft Cost Contingency</t>
  </si>
  <si>
    <t>Soft Costs Subtotal</t>
  </si>
  <si>
    <t>Construction Senior Loan Origination Fee</t>
  </si>
  <si>
    <t>Construction Senior Loan Capitalized Interest</t>
  </si>
  <si>
    <t>TIID Loan Origination Fee</t>
  </si>
  <si>
    <t>TIID Loan Capitalized Interest</t>
  </si>
  <si>
    <t>Financing Costs Subtotal</t>
  </si>
  <si>
    <t>Capitalized Operating Reserve</t>
  </si>
  <si>
    <t>Lease-Up Reserve</t>
  </si>
  <si>
    <t>Reserves Subtotal</t>
  </si>
  <si>
    <t>Developer Fee Subtotal</t>
  </si>
  <si>
    <t>Total Development Budget</t>
  </si>
  <si>
    <t>Total Development Budget (excl Parking Hard Costs)</t>
  </si>
  <si>
    <t>TDC PSF</t>
  </si>
  <si>
    <t>Hard Cost PSF</t>
  </si>
  <si>
    <t>TDC PU</t>
  </si>
  <si>
    <t>Hard Cost PU</t>
  </si>
  <si>
    <t>Hard Cost Total</t>
  </si>
  <si>
    <t>PGSF</t>
  </si>
  <si>
    <t>Gross Square Footages</t>
  </si>
  <si>
    <t>Efficiency</t>
  </si>
  <si>
    <t>Net Square Footages</t>
  </si>
  <si>
    <t xml:space="preserve">Parcel Area  </t>
  </si>
  <si>
    <t>Original Site or Developable</t>
  </si>
  <si>
    <t>Site Area</t>
  </si>
  <si>
    <t>Public Space</t>
  </si>
  <si>
    <t>Building Square Footage</t>
  </si>
  <si>
    <t>Parking Square Footage</t>
  </si>
  <si>
    <t>(-) Parking</t>
  </si>
  <si>
    <t>Resi</t>
  </si>
  <si>
    <t>Blend excl. Parking</t>
  </si>
  <si>
    <t>Acquisition Cost</t>
  </si>
  <si>
    <t>Parcel Area 1</t>
  </si>
  <si>
    <t>Original Site</t>
  </si>
  <si>
    <t>Parcel Area 2</t>
  </si>
  <si>
    <t>Parcel Area 3</t>
  </si>
  <si>
    <t>Parcel Area 4</t>
  </si>
  <si>
    <t>Parcel Area 5 A</t>
  </si>
  <si>
    <t>Parcel Area 5</t>
  </si>
  <si>
    <t>5A</t>
  </si>
  <si>
    <t>Parcel Area 6</t>
  </si>
  <si>
    <t>Parcel Area 7</t>
  </si>
  <si>
    <t>Parcel Area 8</t>
  </si>
  <si>
    <t>Parcel Area 8 A</t>
  </si>
  <si>
    <t>Parcel Area 9</t>
  </si>
  <si>
    <t>Parcel Area 1(A)</t>
  </si>
  <si>
    <t>Ramp</t>
  </si>
  <si>
    <t>Developable</t>
  </si>
  <si>
    <t>Studio</t>
  </si>
  <si>
    <t>1-BR</t>
  </si>
  <si>
    <t>2-BR</t>
  </si>
  <si>
    <t>3-BR</t>
  </si>
  <si>
    <t>Live-Work</t>
  </si>
  <si>
    <t/>
  </si>
  <si>
    <t>MR Resi</t>
  </si>
  <si>
    <t>Public Benefit Space</t>
  </si>
  <si>
    <t>SF</t>
  </si>
  <si>
    <t>NPV</t>
  </si>
  <si>
    <t>New Transit Station</t>
  </si>
  <si>
    <t>Market Ramp</t>
  </si>
  <si>
    <t>Affordable Housing</t>
  </si>
  <si>
    <t>Structural</t>
  </si>
  <si>
    <t>Surface</t>
  </si>
  <si>
    <t xml:space="preserve">PARCEL </t>
  </si>
  <si>
    <t>Wynwood or Edgewater</t>
  </si>
  <si>
    <t># on Map</t>
  </si>
  <si>
    <t>Required</t>
  </si>
  <si>
    <t>Lot Size</t>
  </si>
  <si>
    <t xml:space="preserve">2019 Land Value	</t>
  </si>
  <si>
    <t>2019 Building Value</t>
  </si>
  <si>
    <t>Extra Feature Value</t>
  </si>
  <si>
    <t>2019 Market Value</t>
  </si>
  <si>
    <t>Muni Zone</t>
  </si>
  <si>
    <t>Acquitsition Cost</t>
  </si>
  <si>
    <t>Millage Rate</t>
  </si>
  <si>
    <t>Wynwood</t>
  </si>
  <si>
    <t>ACQUIRED</t>
  </si>
  <si>
    <t>T6-8-O</t>
  </si>
  <si>
    <t>Parcel #</t>
  </si>
  <si>
    <t>ACQUISITION TOTALS</t>
  </si>
  <si>
    <t>T5-O</t>
  </si>
  <si>
    <t>Taxes Per Phase</t>
  </si>
  <si>
    <t>OWN</t>
  </si>
  <si>
    <t>Acquisition Cost Market</t>
  </si>
  <si>
    <t>Market Land Value</t>
  </si>
  <si>
    <t>Total Taxes</t>
  </si>
  <si>
    <t>Area 1 Totals:</t>
  </si>
  <si>
    <t>Area 2 Totals:</t>
  </si>
  <si>
    <t>Area 3 Totals:</t>
  </si>
  <si>
    <t>Edgewater</t>
  </si>
  <si>
    <t>T6-12-O</t>
  </si>
  <si>
    <t>Area 4 Totals:</t>
  </si>
  <si>
    <t>Area 5 Totals:</t>
  </si>
  <si>
    <t>25 (split)</t>
  </si>
  <si>
    <t>Area 6 Totals:</t>
  </si>
  <si>
    <t>2731 NE 2ND</t>
  </si>
  <si>
    <t>T6-36-A0</t>
  </si>
  <si>
    <t>2800 BISCAYNE*</t>
  </si>
  <si>
    <t>2805 NE 2ND</t>
  </si>
  <si>
    <t>Area 7 Totals:</t>
  </si>
  <si>
    <t>2545 N MIAMI</t>
  </si>
  <si>
    <t>T6-8-0</t>
  </si>
  <si>
    <t>2534 N MIAMI</t>
  </si>
  <si>
    <t>2600 N MIAMI</t>
  </si>
  <si>
    <t>2610 N MIAMI</t>
  </si>
  <si>
    <t>2618 N MIAMI</t>
  </si>
  <si>
    <t>2632 N MIAMI</t>
  </si>
  <si>
    <t>Area 8 Totals:</t>
  </si>
  <si>
    <t>Property Not Acquired Within Study Area</t>
  </si>
  <si>
    <t>T6-8-O; T6-12-O</t>
  </si>
  <si>
    <t>BLOCK</t>
  </si>
  <si>
    <t>Property Address</t>
  </si>
  <si>
    <t>Study Area Parcel #</t>
  </si>
  <si>
    <t>LAND SF</t>
  </si>
  <si>
    <t>BLDG(S) SF</t>
  </si>
  <si>
    <t xml:space="preserve">STORIES </t>
  </si>
  <si>
    <t>ESTIMATED CF (SF*STORIES*12)</t>
  </si>
  <si>
    <t>COST PER UNIT (RSMEANS)</t>
  </si>
  <si>
    <t xml:space="preserve">UNIT </t>
  </si>
  <si>
    <t xml:space="preserve"> TOTAL (G*D) </t>
  </si>
  <si>
    <t>29th W</t>
  </si>
  <si>
    <t>28 NE 29 ST</t>
  </si>
  <si>
    <t>CF</t>
  </si>
  <si>
    <t>50 NE 29 ST</t>
  </si>
  <si>
    <t>80 NE 29 ST; 82 NE 29 ST</t>
  </si>
  <si>
    <t>2811 N MIAMI AVE
Miami, FL 33137-3931</t>
  </si>
  <si>
    <t>25 NE 28 ST</t>
  </si>
  <si>
    <t>31 NE 28 ST</t>
  </si>
  <si>
    <t>101 NE 28 ST</t>
  </si>
  <si>
    <t>29th West Block Total</t>
  </si>
  <si>
    <t>28th W</t>
  </si>
  <si>
    <t>2751 N MIAMI AVE
Miami, FL 33137-4439</t>
  </si>
  <si>
    <t>28 NE 28 ST
Miami, FL 33137-4411</t>
  </si>
  <si>
    <t>42 NE 28 ST</t>
  </si>
  <si>
    <t>100 NE 28 ST</t>
  </si>
  <si>
    <t>45 NE 27 ST</t>
  </si>
  <si>
    <t>85 NE 27 ST</t>
  </si>
  <si>
    <t>28th West Block Total</t>
  </si>
  <si>
    <t>27th W</t>
  </si>
  <si>
    <t>2637 N MIAMI AV</t>
  </si>
  <si>
    <t>62 NE 27 ST</t>
  </si>
  <si>
    <t>2605 N MIAMI AVE</t>
  </si>
  <si>
    <t>21 NE 26 ST</t>
  </si>
  <si>
    <t>35 NE 26 ST
Miami, FL 33137-4405</t>
  </si>
  <si>
    <t>45 NE 26 ST
Miami, FL 33137-4405</t>
  </si>
  <si>
    <t>27th West Block Total</t>
  </si>
  <si>
    <t>28th E</t>
  </si>
  <si>
    <t>127 NE 27 ST</t>
  </si>
  <si>
    <t>148 NE 28 ST</t>
  </si>
  <si>
    <t>125 NE 26 ST</t>
  </si>
  <si>
    <t>28th East Block Total</t>
  </si>
  <si>
    <t>27th E</t>
  </si>
  <si>
    <t>130 NE 27 ST</t>
  </si>
  <si>
    <t>150 NE 27 ST</t>
  </si>
  <si>
    <t>156 NE 27 ST</t>
  </si>
  <si>
    <t>186 NE 27 ST
Miami, FL 33137-4421</t>
  </si>
  <si>
    <t>E21</t>
  </si>
  <si>
    <t>192 NE 27 ST
Miami, FL 33137-4421</t>
  </si>
  <si>
    <t>E22</t>
  </si>
  <si>
    <t>157 NE 26 ST</t>
  </si>
  <si>
    <t>161 NE 26 ST</t>
  </si>
  <si>
    <t>167 NE 26 ST</t>
  </si>
  <si>
    <t>189 NE 26 ST</t>
  </si>
  <si>
    <t>27th East Block Total</t>
  </si>
  <si>
    <t>TOTAL</t>
  </si>
  <si>
    <t>Infrastructure Budget - Itemized</t>
  </si>
  <si>
    <t>Source</t>
  </si>
  <si>
    <t>Public Landscape &amp; Park</t>
  </si>
  <si>
    <t>High End</t>
  </si>
  <si>
    <t>Private</t>
  </si>
  <si>
    <t>Low End</t>
  </si>
  <si>
    <t>Others</t>
  </si>
  <si>
    <t>Public</t>
  </si>
  <si>
    <t>Roads</t>
  </si>
  <si>
    <t>New Streets</t>
  </si>
  <si>
    <t>Existing Road Upgrade</t>
  </si>
  <si>
    <t>High</t>
  </si>
  <si>
    <t>Medium</t>
  </si>
  <si>
    <t>Low</t>
  </si>
  <si>
    <t>Canopies</t>
  </si>
  <si>
    <t>Dry Utility Construction</t>
  </si>
  <si>
    <t>Utilities Connection</t>
  </si>
  <si>
    <t>Infrastructure Cost - Private</t>
  </si>
  <si>
    <t>Infrastructure Cost - Public</t>
  </si>
  <si>
    <t>Public Realm Assumption</t>
  </si>
  <si>
    <t>Cost Per Unit</t>
  </si>
  <si>
    <t>Public Landscape</t>
  </si>
  <si>
    <t>Street</t>
  </si>
  <si>
    <t>Each</t>
  </si>
  <si>
    <r>
      <t>New Transit Station</t>
    </r>
    <r>
      <rPr>
        <vertAlign val="superscript"/>
        <sz val="12"/>
        <color rgb="FF000000"/>
        <rFont val="Arial"/>
        <family val="2"/>
      </rPr>
      <t>1</t>
    </r>
  </si>
  <si>
    <t>Per site</t>
  </si>
  <si>
    <t xml:space="preserve">I </t>
  </si>
  <si>
    <t>* To acquire from the city and county at $1 acquisiton cost each phase</t>
  </si>
  <si>
    <t>% NOI</t>
  </si>
  <si>
    <t>% Value</t>
  </si>
  <si>
    <t>Affordable Value</t>
  </si>
  <si>
    <t>Market Resi Value</t>
  </si>
  <si>
    <t>Retail Value</t>
  </si>
  <si>
    <t>Museum Value</t>
  </si>
  <si>
    <t>Office Value</t>
  </si>
  <si>
    <t>Parking Value</t>
  </si>
  <si>
    <t>LTV Constraint Max. Proceeds</t>
  </si>
  <si>
    <t>Affordable NOI</t>
  </si>
  <si>
    <t>Market Resi NOI</t>
  </si>
  <si>
    <t>Retail NOI</t>
  </si>
  <si>
    <t>Community Facility NOI</t>
  </si>
  <si>
    <t>Office NOI</t>
  </si>
  <si>
    <t>Parking NOI</t>
  </si>
  <si>
    <t>Max Annual Payment</t>
  </si>
  <si>
    <t>DSCR Constraint Max. Proceeds</t>
  </si>
  <si>
    <t>Max Permanent Loan Proceeds</t>
  </si>
  <si>
    <t>Hotel Value</t>
  </si>
  <si>
    <t>Hotel Cash Flow after Reserves</t>
  </si>
  <si>
    <t>Industrial Value</t>
  </si>
  <si>
    <t>Industrial NOI</t>
  </si>
  <si>
    <r>
      <t>Total Stabilized NOI</t>
    </r>
    <r>
      <rPr>
        <vertAlign val="superscript"/>
        <sz val="12"/>
        <rFont val="Arial"/>
        <family val="2"/>
      </rPr>
      <t>1</t>
    </r>
  </si>
  <si>
    <t>Total Loan Size</t>
  </si>
  <si>
    <t>1. Stabilized NOI incorporates hotel reserves (stabilized value is based on hotel EBITDA before reserves).</t>
  </si>
  <si>
    <t>Full Build-Out</t>
  </si>
  <si>
    <t>Cost</t>
  </si>
  <si>
    <t>Total Subsidies</t>
  </si>
  <si>
    <t>Yield-to-Cost after Subsidies</t>
  </si>
  <si>
    <t>Exit Cap Rate</t>
  </si>
  <si>
    <t>IRR</t>
  </si>
  <si>
    <t>Year from Completion</t>
  </si>
  <si>
    <t>Year from Stabilization</t>
  </si>
  <si>
    <t>Mixed-Use Component</t>
  </si>
  <si>
    <t>Space Absorbed</t>
  </si>
  <si>
    <t>Total On-Line Space EOP</t>
  </si>
  <si>
    <t>Units Brought On-Line</t>
  </si>
  <si>
    <t>Total On-Line Units</t>
  </si>
  <si>
    <t>% On-Line</t>
  </si>
  <si>
    <t>Revenue Growth Factor</t>
  </si>
  <si>
    <t>Expense Growth Factor</t>
  </si>
  <si>
    <t>Gross Revenue</t>
  </si>
  <si>
    <t>Less: Vacancy</t>
  </si>
  <si>
    <t>Net Revenue</t>
  </si>
  <si>
    <t>Operating Expenses and Replacement Reserves</t>
  </si>
  <si>
    <t>Total Expenses</t>
  </si>
  <si>
    <t>NOI</t>
  </si>
  <si>
    <t>Operating Margin</t>
  </si>
  <si>
    <t>Project Value</t>
  </si>
  <si>
    <t>Market Residential</t>
  </si>
  <si>
    <t>Amenity Fees and Laundry</t>
  </si>
  <si>
    <t>TIF and Taxes</t>
  </si>
  <si>
    <t>Expense / CAM Reimbursement</t>
  </si>
  <si>
    <t>Space Leased</t>
  </si>
  <si>
    <t>PILOT (including TIF) and Taxes</t>
  </si>
  <si>
    <t>Mixed-Use Component NOI</t>
  </si>
  <si>
    <t>Debt Service</t>
  </si>
  <si>
    <t>Senior Loan Balance BOP</t>
  </si>
  <si>
    <t>Funding</t>
  </si>
  <si>
    <t>Senior Loan Balance EOP</t>
  </si>
  <si>
    <t>Interest</t>
  </si>
  <si>
    <t>Total Debt Service</t>
  </si>
  <si>
    <t>Cash Flow after Debt Service</t>
  </si>
  <si>
    <t>Exit</t>
  </si>
  <si>
    <t>Gross Sale Proceeds</t>
  </si>
  <si>
    <r>
      <t>Plus: Refinance Proceeds</t>
    </r>
    <r>
      <rPr>
        <vertAlign val="superscript"/>
        <sz val="12"/>
        <rFont val="Arial"/>
        <family val="2"/>
      </rPr>
      <t>1</t>
    </r>
  </si>
  <si>
    <t>Less: Sale Costs</t>
  </si>
  <si>
    <t>Less: Outstanding Debt</t>
  </si>
  <si>
    <t>Net Sale Proceeds</t>
  </si>
  <si>
    <t>1. For simplicity, all refinance proceeds modelled as part of the mixed-income component.</t>
  </si>
  <si>
    <t>Total Cash Flow to Equity</t>
  </si>
  <si>
    <t>Hotel Component</t>
  </si>
  <si>
    <t>Rooms Absorbed</t>
  </si>
  <si>
    <t>Total Available Rooms</t>
  </si>
  <si>
    <t>% Available</t>
  </si>
  <si>
    <t>Base ADR</t>
  </si>
  <si>
    <t>Growth Factor</t>
  </si>
  <si>
    <t>Adjusted ADR</t>
  </si>
  <si>
    <t>Total Room Revenue</t>
  </si>
  <si>
    <t>F&amp;B and Miscellaneous Revenue</t>
  </si>
  <si>
    <t>Total Hotel Operational Revenue</t>
  </si>
  <si>
    <t>Conference Space Revenue</t>
  </si>
  <si>
    <t>Total Hotel Component Revenue</t>
  </si>
  <si>
    <t>Departmental Expenses</t>
  </si>
  <si>
    <t>Undistributed Expenses</t>
  </si>
  <si>
    <t>PILOT (including TIID) and Taxes</t>
  </si>
  <si>
    <t>Total Operating Expenses</t>
  </si>
  <si>
    <t>Hotel EBITDA (before Reserves)</t>
  </si>
  <si>
    <t>Light Industrial/Flex Component</t>
  </si>
  <si>
    <t>Capital Events</t>
  </si>
  <si>
    <t>Total Phase Cash Flows</t>
  </si>
  <si>
    <t>Total Loan Proceeds</t>
  </si>
  <si>
    <t>Total Debt Service and Origination Fees</t>
  </si>
  <si>
    <t>Levered Development Costs and Cash Flows</t>
  </si>
  <si>
    <t>Levered Development Costs</t>
  </si>
  <si>
    <t>Total Costs</t>
  </si>
  <si>
    <t>Draw Schedule</t>
  </si>
  <si>
    <t>IRB Bond Revenue</t>
  </si>
  <si>
    <t>TIID Bond Revenue</t>
  </si>
  <si>
    <t>Equity</t>
  </si>
  <si>
    <t>Total Draws</t>
  </si>
  <si>
    <t>Public Subsidies</t>
  </si>
  <si>
    <t>Equity Cash Flows</t>
  </si>
  <si>
    <t>Equity Draws</t>
  </si>
  <si>
    <t>Cash to Equity</t>
  </si>
  <si>
    <t>Total Equity Cash Flows</t>
  </si>
  <si>
    <t>PnL</t>
  </si>
  <si>
    <t>Unlevered Development Costs and Cash Flows</t>
  </si>
  <si>
    <t>Industrial Component</t>
  </si>
  <si>
    <t>Unlevered Development Costs</t>
  </si>
  <si>
    <t>IRB Revenue Bond</t>
  </si>
  <si>
    <t>Levered Cash Flows</t>
  </si>
  <si>
    <t>Total Levered Cash Flows</t>
  </si>
  <si>
    <t>Unlevered Cash Flows</t>
  </si>
  <si>
    <t>Total Unlevered Cash Flows</t>
  </si>
  <si>
    <t>OZ Unlevered Post-Tax Cash Flows</t>
  </si>
  <si>
    <t>Total OZ Unlevered Post-Tax Cash Flows</t>
  </si>
  <si>
    <t>OZ Unlevered Post-Tax IRR</t>
  </si>
  <si>
    <t>Pre-Tax Equivalent IRR</t>
  </si>
  <si>
    <t>OZ Levered Post-Tax Cash Flows</t>
  </si>
  <si>
    <t>Return of Equity and Exposure</t>
  </si>
  <si>
    <t>Phase I Equity Fundings</t>
  </si>
  <si>
    <t>Phase I Return of / on Equity</t>
  </si>
  <si>
    <t>Phase II Equity Fundings</t>
  </si>
  <si>
    <t>Phase II Return of / on Equity</t>
  </si>
  <si>
    <t>Phase III Equity Fundings</t>
  </si>
  <si>
    <t>Phase III Return of / on Equity</t>
  </si>
  <si>
    <t>Combined Equity Fundings</t>
  </si>
  <si>
    <t>Combined Return of / on Equity</t>
  </si>
  <si>
    <t>Total Equity Exposure</t>
  </si>
  <si>
    <t>Combined</t>
  </si>
  <si>
    <t>Unlevered</t>
  </si>
  <si>
    <t>Levered</t>
  </si>
  <si>
    <t>Public Benefits</t>
  </si>
  <si>
    <t>Public Parks</t>
  </si>
  <si>
    <t>Sports Museum and Community Recreation Space</t>
  </si>
  <si>
    <t>Discounted Rent at Charter School</t>
  </si>
  <si>
    <t>Discounted Rent at Test Kitchen</t>
  </si>
  <si>
    <t>Discounted Rent in Affordable Units</t>
  </si>
  <si>
    <t>Charter School Public Benefit Value</t>
  </si>
  <si>
    <t>Charter School Revenue</t>
  </si>
  <si>
    <t>Market Rate Equivalent Revenue</t>
  </si>
  <si>
    <t>Test Kitchen Public Benefit Value</t>
  </si>
  <si>
    <t>Affordable Housing Public Benefit Value</t>
  </si>
  <si>
    <t>Affordable Housing Revenue</t>
  </si>
  <si>
    <t>1. Summary Pro Forma</t>
  </si>
  <si>
    <t>Sale</t>
  </si>
  <si>
    <t>2020-2021</t>
  </si>
  <si>
    <t xml:space="preserve">Net Operating Income </t>
  </si>
  <si>
    <t>Market-Rate Rental Housing</t>
  </si>
  <si>
    <t>Market-Rate For Sale Housing</t>
  </si>
  <si>
    <t>-</t>
  </si>
  <si>
    <t>Workforce Rental Housing</t>
  </si>
  <si>
    <t>Affordable Rental Housing</t>
  </si>
  <si>
    <t>Affordable For-Sale Housing</t>
  </si>
  <si>
    <t>Office/Commercial</t>
  </si>
  <si>
    <t>Structured Parking</t>
  </si>
  <si>
    <t>Underground Parking</t>
  </si>
  <si>
    <t>Demolition (included in Hard Costs below)</t>
  </si>
  <si>
    <t>Remediation</t>
  </si>
  <si>
    <t>Development Fees</t>
  </si>
  <si>
    <t>Total Net Operating Income</t>
  </si>
  <si>
    <t>Less: Sales Cost</t>
  </si>
  <si>
    <t>Total Income</t>
  </si>
  <si>
    <t>Development Costs</t>
  </si>
  <si>
    <t>Land Acquisition</t>
  </si>
  <si>
    <t>Total Infrastructure</t>
  </si>
  <si>
    <t>Soft Costs and Reserves</t>
  </si>
  <si>
    <t>Total Unlevered Development Costs</t>
  </si>
  <si>
    <t>Tax Credits &amp; TIF Subsidies</t>
  </si>
  <si>
    <t>TDC Net of Subsidies</t>
  </si>
  <si>
    <t>Levered TDC Net of Subsidies</t>
  </si>
  <si>
    <t>Annual Cash Flow</t>
  </si>
  <si>
    <t>Net Operating Income</t>
  </si>
  <si>
    <t xml:space="preserve">Total Asset Value </t>
  </si>
  <si>
    <t>Total Costs of Sale</t>
  </si>
  <si>
    <t>Total Development Costs (net of Subsidies)</t>
  </si>
  <si>
    <t>Unlevered Net Cash Flow</t>
  </si>
  <si>
    <t>Capitalized Financing Costs</t>
  </si>
  <si>
    <t>Loan Funding and Refinancing</t>
  </si>
  <si>
    <t>Perm Loan Debt Service, Repayment, &amp; Origination Fees</t>
  </si>
  <si>
    <t>Levered Net Cash Flow</t>
  </si>
  <si>
    <t>Net Present Value</t>
  </si>
  <si>
    <t>Blended Perm Loan to Value Ratio (LVR)</t>
  </si>
  <si>
    <t>Unlevered IRR Before Taxes</t>
  </si>
  <si>
    <r>
      <t>Current Site Value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(start of Year 0)</t>
    </r>
  </si>
  <si>
    <t>Levered IRR Before Taxes</t>
  </si>
  <si>
    <t>Projected Site Value (end of Year 10)</t>
  </si>
  <si>
    <t>1. As the project is located in an Opportunity Zone, we expect an investor would evaluate the returns incorporating the post-tax benefit. For reference, therefore, we have provided the "pre-tax" equivalent IRR, or the IRR that would have to be achieved in the absence of Opportunity Zone benefits in order to achieve the same post-tax return.</t>
  </si>
  <si>
    <t>2. Multiyear Development Program</t>
  </si>
  <si>
    <t>Year-by-Year Cumulative Absorption</t>
  </si>
  <si>
    <t>Total Buildout</t>
  </si>
  <si>
    <t>Project Buildout by Development Units</t>
  </si>
  <si>
    <t>(units)</t>
  </si>
  <si>
    <t>N/A</t>
  </si>
  <si>
    <t>(rooms)</t>
  </si>
  <si>
    <t>(spaces)</t>
  </si>
  <si>
    <r>
      <t>Project Buildout by Area</t>
    </r>
    <r>
      <rPr>
        <b/>
        <vertAlign val="superscript"/>
        <sz val="12"/>
        <rFont val="Arial"/>
        <family val="2"/>
      </rPr>
      <t>3</t>
    </r>
  </si>
  <si>
    <t>(s.f.)</t>
  </si>
  <si>
    <t xml:space="preserve">3. All buildout figures presented are for net rentable square feet. See the Parcel Breakdown or Assumptions tab for the buildout by gross square footage. </t>
  </si>
  <si>
    <t>3. Unit Development and Infrastructure Costs</t>
  </si>
  <si>
    <t>4. Equity and Financing Sources</t>
  </si>
  <si>
    <t>Unit Hard Cost</t>
  </si>
  <si>
    <r>
      <t>Unit TDC</t>
    </r>
    <r>
      <rPr>
        <b/>
        <vertAlign val="superscript"/>
        <sz val="12"/>
        <rFont val="Arial"/>
        <family val="2"/>
      </rPr>
      <t>4</t>
    </r>
  </si>
  <si>
    <r>
      <t>TDC</t>
    </r>
    <r>
      <rPr>
        <b/>
        <vertAlign val="superscript"/>
        <sz val="12"/>
        <rFont val="Arial"/>
        <family val="2"/>
      </rPr>
      <t>4</t>
    </r>
  </si>
  <si>
    <t>Equity Sources (total)</t>
  </si>
  <si>
    <t>Construction Phase</t>
  </si>
  <si>
    <t>Permanent Phase</t>
  </si>
  <si>
    <t>Retail and Community Facility</t>
  </si>
  <si>
    <t>Financing Sources (total)</t>
  </si>
  <si>
    <t>Construction Loan / EB-5 Bridge</t>
  </si>
  <si>
    <t>EB-5 Senior Loan</t>
  </si>
  <si>
    <t xml:space="preserve"> Light Industrial/Flex</t>
  </si>
  <si>
    <t>4. TDC includes pro-rated acquisition and infrastructure costs, hard costs, soft costs, financing costs, reserves, and developer fee.</t>
  </si>
  <si>
    <t>Public Subsidies (total)</t>
  </si>
  <si>
    <t>Other Hardscaping (not incl. surf. pkg.)</t>
  </si>
  <si>
    <t>Landscaping</t>
  </si>
  <si>
    <t>Low-Income Housing Credit Equity</t>
  </si>
  <si>
    <t>Decking and Additional Support</t>
  </si>
  <si>
    <t>Resliency Fund</t>
  </si>
  <si>
    <t>Acquisition Taxes and Fees</t>
  </si>
  <si>
    <t>Total Infrastructure and Acquisition Costs</t>
  </si>
  <si>
    <t>Total Development Costs</t>
  </si>
  <si>
    <t>Master Proforma</t>
  </si>
  <si>
    <t>TIF Loan (Transportation Infr. Imp. Dist.)</t>
  </si>
  <si>
    <t xml:space="preserve">  </t>
  </si>
  <si>
    <t>8A</t>
  </si>
  <si>
    <t>TIF Loan TIID</t>
  </si>
  <si>
    <t>Acquisition Cost - Summary (Land Value)</t>
  </si>
  <si>
    <t>Acquisition Cost - Summary (Market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</si>
</sst>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&quot; years&quot;"/>
    <numFmt numFmtId="166" formatCode="0.0%"/>
    <numFmt numFmtId="167" formatCode="&quot;L + &quot;0"/>
    <numFmt numFmtId="168" formatCode="0.00&quot;x&quot;"/>
    <numFmt numFmtId="169" formatCode="0.0&quot;x&quot;"/>
    <numFmt numFmtId="170" formatCode="&quot;$&quot;#,##0.000_);[Red]\(&quot;$&quot;#,##0.000\)"/>
    <numFmt numFmtId="171" formatCode="&quot;$&quot;#,##0.0\ &quot;pgsf&quot;"/>
    <numFmt numFmtId="172" formatCode="&quot;$&quot;#,##0.00"/>
    <numFmt numFmtId="173" formatCode="0.0&quot; years&quot;"/>
    <numFmt numFmtId="174" formatCode="&quot;$&quot;#,##0.0_);[Red]\(&quot;$&quot;#,##0.0\)"/>
    <numFmt numFmtId="175" formatCode="_(* #,##0.0000_);_(* \(#,##0.0000\);_(* &quot;-&quot;??_);_(@_)"/>
    <numFmt numFmtId="176" formatCode="_(&quot;$&quot;* #,##0_);_(&quot;$&quot;* \(#,##0\);_(&quot;$&quot;* &quot;-&quot;??_);_(@_)"/>
    <numFmt numFmtId="177" formatCode="_-&quot;$&quot;* #,##0_-;\-&quot;$&quot;* #,##0_-;_-&quot;$&quot;* &quot;-&quot;??_-;_-@_-"/>
    <numFmt numFmtId="178" formatCode="0.0000%"/>
    <numFmt numFmtId="179" formatCode="&quot;$&quot;#,##0.00;[Red]&quot;$&quot;#,##0.00"/>
    <numFmt numFmtId="180" formatCode="&quot;$&quot;#,##0"/>
    <numFmt numFmtId="181" formatCode="#,##0_ ;\-#,##0\ "/>
    <numFmt numFmtId="182" formatCode="_([$$-409]* #,##0_);_([$$-409]* \(#,##0\);_([$$-409]* &quot;-&quot;??_);_(@_)"/>
  </numFmts>
  <fonts count="86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i/>
      <sz val="10"/>
      <name val="Arial"/>
      <family val="2"/>
    </font>
    <font>
      <i/>
      <sz val="12"/>
      <color theme="0" tint="-4.9989318521683403E-2"/>
      <name val="Arial"/>
      <family val="2"/>
    </font>
    <font>
      <b/>
      <i/>
      <sz val="12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u/>
      <sz val="12"/>
      <color rgb="FF0000FF"/>
      <name val="Arial"/>
      <family val="2"/>
    </font>
    <font>
      <vertAlign val="superscript"/>
      <sz val="12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i/>
      <sz val="12"/>
      <color rgb="FF0000FF"/>
      <name val="Arial"/>
      <family val="2"/>
    </font>
    <font>
      <vertAlign val="superscript"/>
      <sz val="12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71BC9"/>
      <name val="Calibri"/>
      <family val="2"/>
      <scheme val="minor"/>
    </font>
    <font>
      <sz val="12"/>
      <color rgb="FF000000"/>
      <name val="Arial"/>
      <family val="2"/>
    </font>
    <font>
      <sz val="12"/>
      <color rgb="FF271BC9"/>
      <name val="Arial"/>
      <family val="2"/>
    </font>
    <font>
      <u/>
      <sz val="10"/>
      <color theme="11"/>
      <name val="Arial"/>
      <family val="2"/>
    </font>
    <font>
      <vertAlign val="superscript"/>
      <sz val="12"/>
      <color rgb="FF000000"/>
      <name val="Arial"/>
      <family val="2"/>
    </font>
    <font>
      <i/>
      <sz val="12"/>
      <color rgb="FF00B05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u/>
      <sz val="12"/>
      <name val="Arial"/>
      <family val="2"/>
    </font>
    <font>
      <b/>
      <i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6"/>
      <color theme="3"/>
      <name val="Arial"/>
      <family val="2"/>
    </font>
    <font>
      <sz val="10"/>
      <name val="Montserrat"/>
      <family val="3"/>
    </font>
    <font>
      <b/>
      <sz val="10"/>
      <color theme="0"/>
      <name val="Montserrat"/>
      <family val="3"/>
    </font>
    <font>
      <sz val="10"/>
      <color theme="0"/>
      <name val="Montserrat"/>
      <family val="3"/>
    </font>
    <font>
      <sz val="10"/>
      <color theme="1"/>
      <name val="Montserrat"/>
      <family val="3"/>
    </font>
    <font>
      <b/>
      <sz val="10"/>
      <name val="Montserrat"/>
      <family val="3"/>
    </font>
    <font>
      <sz val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color rgb="FF30549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48"/>
      <name val="Arial"/>
      <family val="2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FFFF"/>
      <name val="Arial"/>
      <family val="2"/>
    </font>
    <font>
      <b/>
      <sz val="12"/>
      <color rgb="FF1F497D"/>
      <name val="Arial"/>
      <family val="2"/>
    </font>
    <font>
      <sz val="12"/>
      <color rgb="FF1F497D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004DD6"/>
      <name val="Arial"/>
      <family val="2"/>
    </font>
    <font>
      <sz val="11"/>
      <color rgb="FF004DD6"/>
      <name val="Calibri"/>
      <family val="2"/>
      <scheme val="minor"/>
    </font>
    <font>
      <b/>
      <sz val="11"/>
      <color rgb="FF004DD6"/>
      <name val="Calibri"/>
      <family val="2"/>
      <scheme val="minor"/>
    </font>
    <font>
      <sz val="10"/>
      <color rgb="FF004DD6"/>
      <name val="Arial"/>
      <family val="2"/>
    </font>
    <font>
      <sz val="12"/>
      <color rgb="FF004DD6"/>
      <name val="Arial"/>
      <family val="2"/>
    </font>
    <font>
      <b/>
      <sz val="12"/>
      <color rgb="FF004DD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87153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004D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FF8FD1"/>
        <bgColor indexed="64"/>
      </patternFill>
    </fill>
    <fill>
      <patternFill patternType="solid">
        <fgColor rgb="FF9FF5FF"/>
        <bgColor indexed="64"/>
      </patternFill>
    </fill>
    <fill>
      <patternFill patternType="solid">
        <fgColor rgb="FF004DD6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376F9D"/>
      </top>
      <bottom style="thin">
        <color rgb="FF376F9D"/>
      </bottom>
      <diagonal/>
    </border>
    <border>
      <left/>
      <right/>
      <top style="thin">
        <color rgb="FF376F9D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8">
    <xf numFmtId="0" fontId="0" fillId="0" borderId="0"/>
    <xf numFmtId="0" fontId="2" fillId="0" borderId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9" fontId="72" fillId="0" borderId="0" applyFont="0" applyFill="0" applyBorder="0" applyAlignment="0" applyProtection="0"/>
  </cellStyleXfs>
  <cellXfs count="993">
    <xf numFmtId="0" fontId="0" fillId="0" borderId="0" xfId="0"/>
    <xf numFmtId="0" fontId="2" fillId="0" borderId="0" xfId="0" applyFont="1"/>
    <xf numFmtId="9" fontId="0" fillId="0" borderId="0" xfId="0" applyNumberFormat="1"/>
    <xf numFmtId="8" fontId="2" fillId="0" borderId="0" xfId="0" applyNumberFormat="1" applyFont="1" applyAlignment="1">
      <alignment vertical="center"/>
    </xf>
    <xf numFmtId="8" fontId="0" fillId="0" borderId="0" xfId="0" applyNumberForma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5" fontId="5" fillId="0" borderId="0" xfId="0" applyNumberFormat="1" applyFont="1"/>
    <xf numFmtId="0" fontId="7" fillId="0" borderId="0" xfId="0" applyFont="1"/>
    <xf numFmtId="0" fontId="6" fillId="0" borderId="0" xfId="0" applyFont="1"/>
    <xf numFmtId="37" fontId="10" fillId="0" borderId="0" xfId="0" applyNumberFormat="1" applyFont="1"/>
    <xf numFmtId="37" fontId="8" fillId="0" borderId="0" xfId="0" applyNumberFormat="1" applyFont="1"/>
    <xf numFmtId="8" fontId="6" fillId="0" borderId="0" xfId="0" applyNumberFormat="1" applyFont="1"/>
    <xf numFmtId="5" fontId="8" fillId="2" borderId="0" xfId="0" applyNumberFormat="1" applyFont="1" applyFill="1"/>
    <xf numFmtId="37" fontId="13" fillId="0" borderId="0" xfId="0" applyNumberFormat="1" applyFont="1"/>
    <xf numFmtId="0" fontId="5" fillId="0" borderId="0" xfId="0" applyFont="1"/>
    <xf numFmtId="5" fontId="6" fillId="0" borderId="0" xfId="0" applyNumberFormat="1" applyFont="1"/>
    <xf numFmtId="0" fontId="8" fillId="2" borderId="8" xfId="0" applyFont="1" applyFill="1" applyBorder="1"/>
    <xf numFmtId="5" fontId="8" fillId="2" borderId="8" xfId="0" applyNumberFormat="1" applyFont="1" applyFill="1" applyBorder="1"/>
    <xf numFmtId="5" fontId="6" fillId="2" borderId="0" xfId="0" applyNumberFormat="1" applyFont="1" applyFill="1"/>
    <xf numFmtId="5" fontId="10" fillId="0" borderId="0" xfId="0" applyNumberFormat="1" applyFont="1"/>
    <xf numFmtId="0" fontId="6" fillId="0" borderId="0" xfId="0" applyFont="1"/>
    <xf numFmtId="37" fontId="6" fillId="0" borderId="0" xfId="0" applyNumberFormat="1" applyFont="1"/>
    <xf numFmtId="5" fontId="11" fillId="0" borderId="0" xfId="0" applyNumberFormat="1" applyFont="1"/>
    <xf numFmtId="9" fontId="10" fillId="0" borderId="0" xfId="0" applyNumberFormat="1" applyFont="1"/>
    <xf numFmtId="9" fontId="9" fillId="0" borderId="0" xfId="0" applyNumberFormat="1" applyFont="1"/>
    <xf numFmtId="5" fontId="8" fillId="0" borderId="0" xfId="0" applyNumberFormat="1" applyFont="1"/>
    <xf numFmtId="164" fontId="6" fillId="0" borderId="0" xfId="0" applyNumberFormat="1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37" fontId="6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7" fillId="0" borderId="0" xfId="0" applyNumberFormat="1" applyFont="1"/>
    <xf numFmtId="164" fontId="7" fillId="0" borderId="3" xfId="0" applyNumberFormat="1" applyFont="1" applyBorder="1"/>
    <xf numFmtId="9" fontId="6" fillId="0" borderId="0" xfId="0" applyNumberFormat="1" applyFont="1"/>
    <xf numFmtId="165" fontId="13" fillId="0" borderId="0" xfId="0" applyNumberFormat="1" applyFont="1"/>
    <xf numFmtId="168" fontId="13" fillId="0" borderId="0" xfId="0" applyNumberFormat="1" applyFont="1"/>
    <xf numFmtId="166" fontId="13" fillId="0" borderId="0" xfId="0" applyNumberFormat="1" applyFont="1"/>
    <xf numFmtId="166" fontId="6" fillId="0" borderId="0" xfId="0" applyNumberFormat="1" applyFont="1"/>
    <xf numFmtId="0" fontId="8" fillId="0" borderId="0" xfId="0" applyFont="1"/>
    <xf numFmtId="0" fontId="8" fillId="0" borderId="5" xfId="0" applyFont="1" applyBorder="1"/>
    <xf numFmtId="5" fontId="8" fillId="0" borderId="5" xfId="0" applyNumberFormat="1" applyFont="1" applyBorder="1"/>
    <xf numFmtId="0" fontId="8" fillId="0" borderId="1" xfId="0" applyFont="1" applyBorder="1"/>
    <xf numFmtId="5" fontId="6" fillId="2" borderId="8" xfId="0" applyNumberFormat="1" applyFont="1" applyFill="1" applyBorder="1"/>
    <xf numFmtId="37" fontId="8" fillId="0" borderId="3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6" fillId="2" borderId="8" xfId="0" applyFont="1" applyFill="1" applyBorder="1"/>
    <xf numFmtId="0" fontId="8" fillId="3" borderId="8" xfId="0" applyFont="1" applyFill="1" applyBorder="1"/>
    <xf numFmtId="5" fontId="8" fillId="3" borderId="8" xfId="0" applyNumberFormat="1" applyFont="1" applyFill="1" applyBorder="1"/>
    <xf numFmtId="0" fontId="16" fillId="0" borderId="0" xfId="0" applyFont="1"/>
    <xf numFmtId="0" fontId="8" fillId="3" borderId="0" xfId="0" applyFont="1" applyFill="1" applyBorder="1"/>
    <xf numFmtId="5" fontId="8" fillId="3" borderId="0" xfId="0" applyNumberFormat="1" applyFont="1" applyFill="1" applyBorder="1"/>
    <xf numFmtId="0" fontId="17" fillId="3" borderId="0" xfId="0" applyFont="1" applyFill="1" applyBorder="1"/>
    <xf numFmtId="9" fontId="8" fillId="3" borderId="0" xfId="0" applyNumberFormat="1" applyFont="1" applyFill="1" applyBorder="1"/>
    <xf numFmtId="9" fontId="17" fillId="3" borderId="0" xfId="0" applyNumberFormat="1" applyFont="1" applyFill="1" applyBorder="1"/>
    <xf numFmtId="0" fontId="9" fillId="0" borderId="0" xfId="0" applyFont="1"/>
    <xf numFmtId="37" fontId="9" fillId="0" borderId="0" xfId="0" applyNumberFormat="1" applyFont="1"/>
    <xf numFmtId="0" fontId="18" fillId="2" borderId="0" xfId="0" applyFont="1" applyFill="1"/>
    <xf numFmtId="0" fontId="19" fillId="2" borderId="0" xfId="0" applyFont="1" applyFill="1"/>
    <xf numFmtId="14" fontId="18" fillId="2" borderId="0" xfId="0" applyNumberFormat="1" applyFont="1" applyFill="1" applyAlignment="1">
      <alignment horizontal="center"/>
    </xf>
    <xf numFmtId="37" fontId="6" fillId="2" borderId="0" xfId="0" applyNumberFormat="1" applyFont="1" applyFill="1"/>
    <xf numFmtId="9" fontId="8" fillId="0" borderId="0" xfId="0" applyNumberFormat="1" applyFont="1"/>
    <xf numFmtId="9" fontId="13" fillId="0" borderId="0" xfId="0" applyNumberFormat="1" applyFont="1"/>
    <xf numFmtId="10" fontId="13" fillId="0" borderId="0" xfId="0" applyNumberFormat="1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Border="1"/>
    <xf numFmtId="0" fontId="22" fillId="0" borderId="1" xfId="0" applyFont="1" applyBorder="1"/>
    <xf numFmtId="5" fontId="23" fillId="0" borderId="1" xfId="0" applyNumberFormat="1" applyFont="1" applyBorder="1"/>
    <xf numFmtId="5" fontId="20" fillId="0" borderId="1" xfId="0" applyNumberFormat="1" applyFont="1" applyBorder="1"/>
    <xf numFmtId="0" fontId="11" fillId="0" borderId="1" xfId="0" applyFont="1" applyBorder="1"/>
    <xf numFmtId="5" fontId="8" fillId="0" borderId="1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right"/>
    </xf>
    <xf numFmtId="168" fontId="9" fillId="0" borderId="0" xfId="0" applyNumberFormat="1" applyFont="1"/>
    <xf numFmtId="5" fontId="27" fillId="0" borderId="0" xfId="0" applyNumberFormat="1" applyFont="1"/>
    <xf numFmtId="5" fontId="17" fillId="0" borderId="0" xfId="0" applyNumberFormat="1" applyFont="1"/>
    <xf numFmtId="5" fontId="9" fillId="0" borderId="0" xfId="0" applyNumberFormat="1" applyFont="1"/>
    <xf numFmtId="9" fontId="27" fillId="0" borderId="0" xfId="0" applyNumberFormat="1" applyFont="1"/>
    <xf numFmtId="0" fontId="17" fillId="2" borderId="8" xfId="0" applyFont="1" applyFill="1" applyBorder="1"/>
    <xf numFmtId="5" fontId="17" fillId="2" borderId="8" xfId="0" applyNumberFormat="1" applyFont="1" applyFill="1" applyBorder="1"/>
    <xf numFmtId="6" fontId="6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1" fillId="0" borderId="0" xfId="0" applyFont="1"/>
    <xf numFmtId="0" fontId="6" fillId="2" borderId="0" xfId="0" applyFont="1" applyFill="1"/>
    <xf numFmtId="0" fontId="15" fillId="0" borderId="0" xfId="0" applyFont="1"/>
    <xf numFmtId="37" fontId="10" fillId="2" borderId="0" xfId="0" applyNumberFormat="1" applyFont="1" applyFill="1"/>
    <xf numFmtId="0" fontId="29" fillId="0" borderId="0" xfId="0" applyFont="1" applyAlignment="1"/>
    <xf numFmtId="0" fontId="5" fillId="0" borderId="0" xfId="0" applyFont="1" applyAlignment="1">
      <alignment wrapText="1"/>
    </xf>
    <xf numFmtId="5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9" fontId="6" fillId="0" borderId="0" xfId="0" applyNumberFormat="1" applyFont="1" applyAlignment="1">
      <alignment vertical="center"/>
    </xf>
    <xf numFmtId="0" fontId="6" fillId="0" borderId="5" xfId="1" applyFont="1" applyBorder="1"/>
    <xf numFmtId="0" fontId="6" fillId="0" borderId="0" xfId="1" applyFont="1"/>
    <xf numFmtId="0" fontId="6" fillId="0" borderId="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1" xfId="1" applyFont="1" applyFill="1" applyBorder="1"/>
    <xf numFmtId="0" fontId="8" fillId="0" borderId="0" xfId="1" applyFont="1" applyBorder="1" applyAlignment="1">
      <alignment horizontal="left"/>
    </xf>
    <xf numFmtId="0" fontId="6" fillId="0" borderId="0" xfId="1" applyFont="1" applyFill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6" fillId="0" borderId="5" xfId="1" applyFont="1" applyFill="1" applyBorder="1" applyAlignment="1"/>
    <xf numFmtId="0" fontId="6" fillId="0" borderId="0" xfId="1" applyFont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Border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37" fontId="6" fillId="0" borderId="0" xfId="1" applyNumberFormat="1" applyFont="1" applyBorder="1" applyAlignment="1">
      <alignment horizontal="center"/>
    </xf>
    <xf numFmtId="0" fontId="6" fillId="0" borderId="1" xfId="1" applyFont="1" applyFill="1" applyBorder="1" applyAlignment="1"/>
    <xf numFmtId="0" fontId="8" fillId="0" borderId="5" xfId="1" applyFont="1" applyBorder="1"/>
    <xf numFmtId="0" fontId="6" fillId="0" borderId="5" xfId="1" applyFont="1" applyFill="1" applyBorder="1"/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5" fontId="8" fillId="2" borderId="3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 indent="1"/>
    </xf>
    <xf numFmtId="0" fontId="6" fillId="0" borderId="0" xfId="1" applyFont="1" applyAlignment="1">
      <alignment horizontal="left" indent="1"/>
    </xf>
    <xf numFmtId="0" fontId="6" fillId="0" borderId="0" xfId="1" applyFont="1" applyBorder="1" applyAlignment="1">
      <alignment horizontal="left" vertical="center" indent="2"/>
    </xf>
    <xf numFmtId="0" fontId="6" fillId="0" borderId="0" xfId="1" applyFont="1" applyAlignment="1">
      <alignment horizontal="left" indent="2"/>
    </xf>
    <xf numFmtId="0" fontId="8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37" fontId="6" fillId="2" borderId="5" xfId="1" applyNumberFormat="1" applyFont="1" applyFill="1" applyBorder="1" applyAlignment="1">
      <alignment horizontal="center"/>
    </xf>
    <xf numFmtId="37" fontId="6" fillId="2" borderId="0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1" xfId="1" applyFont="1" applyFill="1" applyBorder="1"/>
    <xf numFmtId="0" fontId="6" fillId="2" borderId="3" xfId="1" applyFont="1" applyFill="1" applyBorder="1"/>
    <xf numFmtId="37" fontId="8" fillId="2" borderId="3" xfId="1" applyNumberFormat="1" applyFont="1" applyFill="1" applyBorder="1" applyAlignment="1">
      <alignment horizontal="center"/>
    </xf>
    <xf numFmtId="9" fontId="12" fillId="0" borderId="0" xfId="1" applyNumberFormat="1" applyFont="1" applyBorder="1"/>
    <xf numFmtId="37" fontId="8" fillId="0" borderId="0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8" fillId="0" borderId="0" xfId="1" applyFont="1"/>
    <xf numFmtId="5" fontId="6" fillId="0" borderId="1" xfId="1" applyNumberFormat="1" applyFont="1" applyFill="1" applyBorder="1"/>
    <xf numFmtId="7" fontId="6" fillId="0" borderId="1" xfId="1" applyNumberFormat="1" applyFont="1" applyFill="1" applyBorder="1"/>
    <xf numFmtId="0" fontId="6" fillId="0" borderId="5" xfId="1" applyFont="1" applyBorder="1" applyAlignment="1">
      <alignment horizontal="center"/>
    </xf>
    <xf numFmtId="0" fontId="6" fillId="0" borderId="5" xfId="1" applyFont="1" applyBorder="1" applyAlignment="1"/>
    <xf numFmtId="0" fontId="6" fillId="2" borderId="0" xfId="0" applyFont="1" applyFill="1" applyBorder="1"/>
    <xf numFmtId="0" fontId="3" fillId="2" borderId="0" xfId="0" applyFont="1" applyFill="1" applyBorder="1" applyAlignment="1">
      <alignment wrapText="1"/>
    </xf>
    <xf numFmtId="5" fontId="6" fillId="2" borderId="0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3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indent="2"/>
    </xf>
    <xf numFmtId="37" fontId="6" fillId="2" borderId="0" xfId="0" applyNumberFormat="1" applyFont="1" applyFill="1" applyBorder="1"/>
    <xf numFmtId="37" fontId="8" fillId="2" borderId="0" xfId="0" applyNumberFormat="1" applyFont="1" applyFill="1" applyBorder="1"/>
    <xf numFmtId="166" fontId="27" fillId="2" borderId="0" xfId="0" applyNumberFormat="1" applyFont="1" applyFill="1"/>
    <xf numFmtId="166" fontId="35" fillId="2" borderId="0" xfId="0" applyNumberFormat="1" applyFont="1" applyFill="1"/>
    <xf numFmtId="9" fontId="12" fillId="2" borderId="0" xfId="0" applyNumberFormat="1" applyFont="1" applyFill="1" applyBorder="1" applyAlignment="1">
      <alignment horizontal="center" wrapText="1"/>
    </xf>
    <xf numFmtId="166" fontId="9" fillId="2" borderId="0" xfId="0" applyNumberFormat="1" applyFont="1" applyFill="1"/>
    <xf numFmtId="37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0" fontId="9" fillId="2" borderId="0" xfId="0" applyFont="1" applyFill="1" applyBorder="1"/>
    <xf numFmtId="10" fontId="9" fillId="2" borderId="0" xfId="0" applyNumberFormat="1" applyFont="1" applyFill="1" applyBorder="1"/>
    <xf numFmtId="37" fontId="6" fillId="0" borderId="3" xfId="0" applyNumberFormat="1" applyFont="1" applyBorder="1"/>
    <xf numFmtId="0" fontId="6" fillId="0" borderId="1" xfId="1" applyFont="1" applyBorder="1" applyAlignment="1">
      <alignment horizontal="left" indent="1"/>
    </xf>
    <xf numFmtId="0" fontId="30" fillId="0" borderId="0" xfId="1" applyFont="1" applyBorder="1" applyAlignment="1">
      <alignment horizontal="left" indent="2"/>
    </xf>
    <xf numFmtId="0" fontId="8" fillId="0" borderId="1" xfId="1" applyFont="1" applyBorder="1" applyAlignment="1">
      <alignment wrapText="1"/>
    </xf>
    <xf numFmtId="5" fontId="6" fillId="0" borderId="5" xfId="1" applyNumberFormat="1" applyFont="1" applyBorder="1" applyAlignment="1"/>
    <xf numFmtId="5" fontId="6" fillId="0" borderId="1" xfId="1" applyNumberFormat="1" applyFont="1" applyBorder="1" applyAlignment="1"/>
    <xf numFmtId="0" fontId="8" fillId="0" borderId="3" xfId="1" applyFont="1" applyBorder="1"/>
    <xf numFmtId="0" fontId="6" fillId="2" borderId="0" xfId="1" applyFont="1" applyFill="1" applyBorder="1"/>
    <xf numFmtId="37" fontId="8" fillId="2" borderId="0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42" fontId="9" fillId="2" borderId="0" xfId="1" applyNumberFormat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3" fontId="6" fillId="0" borderId="0" xfId="1" applyNumberFormat="1" applyFont="1" applyBorder="1" applyAlignment="1">
      <alignment horizontal="right"/>
    </xf>
    <xf numFmtId="0" fontId="8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4" fontId="9" fillId="0" borderId="0" xfId="0" applyNumberFormat="1" applyFont="1"/>
    <xf numFmtId="0" fontId="39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left"/>
    </xf>
    <xf numFmtId="0" fontId="37" fillId="2" borderId="5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42" fillId="2" borderId="14" xfId="0" applyFont="1" applyFill="1" applyBorder="1" applyAlignment="1">
      <alignment horizontal="left" indent="1"/>
    </xf>
    <xf numFmtId="0" fontId="42" fillId="2" borderId="14" xfId="0" applyFont="1" applyFill="1" applyBorder="1" applyAlignment="1">
      <alignment horizontal="left"/>
    </xf>
    <xf numFmtId="0" fontId="42" fillId="2" borderId="14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3" fontId="6" fillId="2" borderId="0" xfId="0" applyNumberFormat="1" applyFont="1" applyFill="1"/>
    <xf numFmtId="0" fontId="36" fillId="2" borderId="0" xfId="0" applyFont="1" applyFill="1" applyBorder="1" applyAlignment="1">
      <alignment horizontal="left" vertical="top"/>
    </xf>
    <xf numFmtId="3" fontId="36" fillId="2" borderId="0" xfId="0" applyNumberFormat="1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172" fontId="41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8" fillId="2" borderId="0" xfId="2" applyFont="1" applyFill="1"/>
    <xf numFmtId="0" fontId="6" fillId="0" borderId="14" xfId="0" applyFont="1" applyBorder="1" applyAlignment="1">
      <alignment horizontal="left" vertical="center"/>
    </xf>
    <xf numFmtId="5" fontId="6" fillId="2" borderId="15" xfId="0" applyNumberFormat="1" applyFont="1" applyFill="1" applyBorder="1"/>
    <xf numFmtId="5" fontId="6" fillId="2" borderId="5" xfId="0" applyNumberFormat="1" applyFont="1" applyFill="1" applyBorder="1"/>
    <xf numFmtId="5" fontId="6" fillId="2" borderId="1" xfId="0" applyNumberFormat="1" applyFont="1" applyFill="1" applyBorder="1"/>
    <xf numFmtId="5" fontId="6" fillId="2" borderId="18" xfId="0" applyNumberFormat="1" applyFont="1" applyFill="1" applyBorder="1"/>
    <xf numFmtId="0" fontId="4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1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/>
    <xf numFmtId="0" fontId="4" fillId="2" borderId="0" xfId="0" applyFont="1" applyFill="1"/>
    <xf numFmtId="3" fontId="5" fillId="2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indent="1"/>
    </xf>
    <xf numFmtId="166" fontId="6" fillId="2" borderId="0" xfId="0" applyNumberFormat="1" applyFont="1" applyFill="1"/>
    <xf numFmtId="166" fontId="6" fillId="0" borderId="0" xfId="0" applyNumberFormat="1" applyFont="1" applyAlignment="1">
      <alignment vertical="center"/>
    </xf>
    <xf numFmtId="174" fontId="46" fillId="0" borderId="0" xfId="0" applyNumberFormat="1" applyFont="1"/>
    <xf numFmtId="8" fontId="38" fillId="2" borderId="0" xfId="2" applyNumberFormat="1" applyFont="1" applyFill="1"/>
    <xf numFmtId="6" fontId="8" fillId="0" borderId="0" xfId="0" applyNumberFormat="1" applyFont="1"/>
    <xf numFmtId="9" fontId="12" fillId="0" borderId="0" xfId="0" applyNumberFormat="1" applyFont="1"/>
    <xf numFmtId="5" fontId="6" fillId="2" borderId="0" xfId="1" applyNumberFormat="1" applyFont="1" applyFill="1" applyBorder="1"/>
    <xf numFmtId="7" fontId="6" fillId="0" borderId="0" xfId="0" applyNumberFormat="1" applyFont="1"/>
    <xf numFmtId="0" fontId="20" fillId="0" borderId="0" xfId="0" applyFont="1" applyAlignment="1">
      <alignment horizontal="center"/>
    </xf>
    <xf numFmtId="0" fontId="5" fillId="2" borderId="0" xfId="0" applyFont="1" applyFill="1"/>
    <xf numFmtId="0" fontId="6" fillId="0" borderId="1" xfId="0" applyFont="1" applyBorder="1"/>
    <xf numFmtId="37" fontId="6" fillId="2" borderId="1" xfId="0" applyNumberFormat="1" applyFont="1" applyFill="1" applyBorder="1"/>
    <xf numFmtId="0" fontId="6" fillId="0" borderId="5" xfId="0" applyFont="1" applyBorder="1"/>
    <xf numFmtId="5" fontId="6" fillId="0" borderId="5" xfId="0" applyNumberFormat="1" applyFont="1" applyBorder="1"/>
    <xf numFmtId="14" fontId="9" fillId="2" borderId="0" xfId="0" applyNumberFormat="1" applyFont="1" applyFill="1" applyBorder="1"/>
    <xf numFmtId="37" fontId="8" fillId="2" borderId="1" xfId="0" applyNumberFormat="1" applyFont="1" applyFill="1" applyBorder="1"/>
    <xf numFmtId="0" fontId="8" fillId="0" borderId="0" xfId="0" applyFont="1" applyBorder="1"/>
    <xf numFmtId="0" fontId="8" fillId="2" borderId="0" xfId="1" applyFont="1" applyFill="1" applyBorder="1" applyAlignment="1">
      <alignment horizontal="center" vertical="center"/>
    </xf>
    <xf numFmtId="0" fontId="47" fillId="2" borderId="0" xfId="1" applyFont="1" applyFill="1"/>
    <xf numFmtId="0" fontId="12" fillId="2" borderId="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14" fontId="6" fillId="2" borderId="26" xfId="1" applyNumberFormat="1" applyFont="1" applyFill="1" applyBorder="1" applyAlignment="1">
      <alignment horizontal="center" vertical="center"/>
    </xf>
    <xf numFmtId="14" fontId="10" fillId="2" borderId="0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47" fillId="2" borderId="0" xfId="1" applyFont="1" applyFill="1" applyBorder="1"/>
    <xf numFmtId="0" fontId="47" fillId="2" borderId="26" xfId="1" applyFont="1" applyFill="1" applyBorder="1"/>
    <xf numFmtId="0" fontId="6" fillId="2" borderId="0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5" fontId="6" fillId="2" borderId="5" xfId="1" applyNumberFormat="1" applyFont="1" applyFill="1" applyBorder="1" applyAlignment="1">
      <alignment vertical="center"/>
    </xf>
    <xf numFmtId="5" fontId="6" fillId="2" borderId="30" xfId="1" applyNumberFormat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5" fontId="6" fillId="2" borderId="0" xfId="1" applyNumberFormat="1" applyFont="1" applyFill="1" applyBorder="1" applyAlignment="1">
      <alignment vertical="center"/>
    </xf>
    <xf numFmtId="5" fontId="6" fillId="2" borderId="26" xfId="1" applyNumberFormat="1" applyFont="1" applyFill="1" applyBorder="1" applyAlignment="1">
      <alignment vertical="center"/>
    </xf>
    <xf numFmtId="166" fontId="6" fillId="2" borderId="5" xfId="1" applyNumberFormat="1" applyFont="1" applyFill="1" applyBorder="1" applyAlignment="1">
      <alignment vertical="center"/>
    </xf>
    <xf numFmtId="166" fontId="6" fillId="2" borderId="30" xfId="1" applyNumberFormat="1" applyFont="1" applyFill="1" applyBorder="1" applyAlignment="1">
      <alignment vertical="center"/>
    </xf>
    <xf numFmtId="0" fontId="6" fillId="2" borderId="25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4" fontId="6" fillId="2" borderId="1" xfId="1" applyNumberFormat="1" applyFont="1" applyFill="1" applyBorder="1" applyAlignment="1">
      <alignment horizontal="center" vertical="center"/>
    </xf>
    <xf numFmtId="14" fontId="6" fillId="2" borderId="27" xfId="1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vertical="center"/>
    </xf>
    <xf numFmtId="166" fontId="6" fillId="2" borderId="27" xfId="1" applyNumberFormat="1" applyFont="1" applyFill="1" applyBorder="1" applyAlignment="1">
      <alignment vertical="center"/>
    </xf>
    <xf numFmtId="37" fontId="8" fillId="2" borderId="0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26" xfId="1" applyNumberFormat="1" applyFont="1" applyFill="1" applyBorder="1" applyAlignment="1">
      <alignment vertical="center"/>
    </xf>
    <xf numFmtId="0" fontId="8" fillId="2" borderId="24" xfId="1" applyFont="1" applyFill="1" applyBorder="1" applyAlignment="1">
      <alignment horizontal="left" vertical="center"/>
    </xf>
    <xf numFmtId="37" fontId="6" fillId="2" borderId="26" xfId="1" applyNumberFormat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 vertical="center" indent="1"/>
    </xf>
    <xf numFmtId="37" fontId="9" fillId="2" borderId="0" xfId="1" applyNumberFormat="1" applyFont="1" applyFill="1" applyBorder="1" applyAlignment="1">
      <alignment horizontal="center" vertical="center"/>
    </xf>
    <xf numFmtId="169" fontId="6" fillId="2" borderId="1" xfId="1" applyNumberFormat="1" applyFont="1" applyFill="1" applyBorder="1" applyAlignment="1">
      <alignment vertical="center"/>
    </xf>
    <xf numFmtId="169" fontId="6" fillId="2" borderId="27" xfId="1" applyNumberFormat="1" applyFont="1" applyFill="1" applyBorder="1" applyAlignment="1">
      <alignment vertical="center"/>
    </xf>
    <xf numFmtId="0" fontId="11" fillId="2" borderId="24" xfId="1" applyFont="1" applyFill="1" applyBorder="1"/>
    <xf numFmtId="0" fontId="5" fillId="2" borderId="0" xfId="1" applyFont="1" applyFill="1" applyBorder="1"/>
    <xf numFmtId="0" fontId="5" fillId="2" borderId="26" xfId="1" applyFont="1" applyFill="1" applyBorder="1"/>
    <xf numFmtId="0" fontId="6" fillId="2" borderId="4" xfId="1" applyFont="1" applyFill="1" applyBorder="1" applyAlignment="1">
      <alignment horizontal="left" vertical="center"/>
    </xf>
    <xf numFmtId="0" fontId="47" fillId="2" borderId="3" xfId="1" applyFont="1" applyFill="1" applyBorder="1"/>
    <xf numFmtId="37" fontId="8" fillId="2" borderId="3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28" xfId="1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left" indent="1"/>
    </xf>
    <xf numFmtId="10" fontId="5" fillId="2" borderId="0" xfId="1" applyNumberFormat="1" applyFont="1" applyFill="1" applyBorder="1"/>
    <xf numFmtId="10" fontId="5" fillId="2" borderId="26" xfId="1" applyNumberFormat="1" applyFont="1" applyFill="1" applyBorder="1"/>
    <xf numFmtId="5" fontId="5" fillId="2" borderId="0" xfId="1" applyNumberFormat="1" applyFont="1" applyFill="1" applyBorder="1"/>
    <xf numFmtId="5" fontId="5" fillId="2" borderId="26" xfId="1" applyNumberFormat="1" applyFont="1" applyFill="1" applyBorder="1"/>
    <xf numFmtId="9" fontId="5" fillId="2" borderId="0" xfId="1" applyNumberFormat="1" applyFont="1" applyFill="1" applyBorder="1"/>
    <xf numFmtId="9" fontId="5" fillId="2" borderId="26" xfId="1" applyNumberFormat="1" applyFont="1" applyFill="1" applyBorder="1"/>
    <xf numFmtId="0" fontId="6" fillId="2" borderId="0" xfId="1" applyFont="1" applyFill="1" applyAlignment="1">
      <alignment vertical="center"/>
    </xf>
    <xf numFmtId="5" fontId="6" fillId="2" borderId="0" xfId="1" applyNumberFormat="1" applyFont="1" applyFill="1" applyBorder="1" applyAlignment="1">
      <alignment horizontal="left" vertical="center" indent="1"/>
    </xf>
    <xf numFmtId="0" fontId="21" fillId="2" borderId="0" xfId="1" applyFont="1" applyFill="1" applyBorder="1" applyAlignment="1">
      <alignment horizontal="left" vertical="center" indent="1"/>
    </xf>
    <xf numFmtId="0" fontId="6" fillId="5" borderId="4" xfId="1" applyFont="1" applyFill="1" applyBorder="1" applyAlignment="1">
      <alignment horizontal="left" vertical="center"/>
    </xf>
    <xf numFmtId="0" fontId="48" fillId="5" borderId="3" xfId="1" applyFont="1" applyFill="1" applyBorder="1"/>
    <xf numFmtId="37" fontId="8" fillId="5" borderId="3" xfId="1" applyNumberFormat="1" applyFont="1" applyFill="1" applyBorder="1" applyAlignment="1">
      <alignment horizontal="center" vertical="center"/>
    </xf>
    <xf numFmtId="37" fontId="6" fillId="5" borderId="3" xfId="1" applyNumberFormat="1" applyFont="1" applyFill="1" applyBorder="1" applyAlignment="1">
      <alignment horizontal="center" vertical="center"/>
    </xf>
    <xf numFmtId="37" fontId="6" fillId="5" borderId="28" xfId="1" applyNumberFormat="1" applyFont="1" applyFill="1" applyBorder="1" applyAlignment="1">
      <alignment horizontal="center" vertical="center"/>
    </xf>
    <xf numFmtId="0" fontId="49" fillId="2" borderId="0" xfId="1" applyFont="1" applyFill="1"/>
    <xf numFmtId="5" fontId="11" fillId="2" borderId="0" xfId="1" applyNumberFormat="1" applyFont="1" applyFill="1" applyBorder="1"/>
    <xf numFmtId="5" fontId="11" fillId="2" borderId="26" xfId="1" applyNumberFormat="1" applyFont="1" applyFill="1" applyBorder="1"/>
    <xf numFmtId="0" fontId="11" fillId="2" borderId="25" xfId="1" applyFont="1" applyFill="1" applyBorder="1"/>
    <xf numFmtId="0" fontId="47" fillId="2" borderId="1" xfId="1" applyFont="1" applyFill="1" applyBorder="1"/>
    <xf numFmtId="5" fontId="11" fillId="2" borderId="1" xfId="1" applyNumberFormat="1" applyFont="1" applyFill="1" applyBorder="1"/>
    <xf numFmtId="5" fontId="11" fillId="2" borderId="27" xfId="1" applyNumberFormat="1" applyFont="1" applyFill="1" applyBorder="1"/>
    <xf numFmtId="0" fontId="21" fillId="2" borderId="24" xfId="1" applyFont="1" applyFill="1" applyBorder="1" applyAlignment="1">
      <alignment horizontal="left" vertical="center" indent="1"/>
    </xf>
    <xf numFmtId="5" fontId="6" fillId="2" borderId="0" xfId="1" applyNumberFormat="1" applyFont="1" applyFill="1" applyBorder="1" applyAlignment="1">
      <alignment horizontal="center" vertical="center"/>
    </xf>
    <xf numFmtId="9" fontId="9" fillId="2" borderId="0" xfId="1" applyNumberFormat="1" applyFont="1" applyFill="1" applyBorder="1" applyAlignment="1">
      <alignment horizontal="center" vertical="center"/>
    </xf>
    <xf numFmtId="9" fontId="9" fillId="2" borderId="26" xfId="1" applyNumberFormat="1" applyFont="1" applyFill="1" applyBorder="1" applyAlignment="1">
      <alignment horizontal="center" vertical="center"/>
    </xf>
    <xf numFmtId="5" fontId="9" fillId="2" borderId="0" xfId="1" applyNumberFormat="1" applyFont="1" applyFill="1" applyBorder="1" applyAlignment="1">
      <alignment horizontal="center" vertical="center"/>
    </xf>
    <xf numFmtId="5" fontId="9" fillId="2" borderId="26" xfId="1" applyNumberFormat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50" fillId="2" borderId="0" xfId="1" applyFont="1" applyFill="1" applyBorder="1" applyAlignment="1">
      <alignment horizontal="center" vertical="center"/>
    </xf>
    <xf numFmtId="0" fontId="50" fillId="2" borderId="26" xfId="1" applyFont="1" applyFill="1" applyBorder="1" applyAlignment="1">
      <alignment horizontal="center" vertical="center"/>
    </xf>
    <xf numFmtId="0" fontId="8" fillId="5" borderId="29" xfId="1" applyFont="1" applyFill="1" applyBorder="1" applyAlignment="1">
      <alignment horizontal="left" vertical="center"/>
    </xf>
    <xf numFmtId="0" fontId="47" fillId="2" borderId="5" xfId="1" applyFont="1" applyFill="1" applyBorder="1"/>
    <xf numFmtId="0" fontId="47" fillId="2" borderId="30" xfId="1" applyFont="1" applyFill="1" applyBorder="1"/>
    <xf numFmtId="0" fontId="6" fillId="5" borderId="24" xfId="1" applyFont="1" applyFill="1" applyBorder="1" applyAlignment="1">
      <alignment horizontal="left" vertical="center" indent="1"/>
    </xf>
    <xf numFmtId="5" fontId="5" fillId="2" borderId="0" xfId="1" applyNumberFormat="1" applyFont="1" applyFill="1" applyBorder="1" applyAlignment="1">
      <alignment horizontal="center"/>
    </xf>
    <xf numFmtId="9" fontId="5" fillId="2" borderId="0" xfId="1" applyNumberFormat="1" applyFont="1" applyFill="1" applyBorder="1" applyAlignment="1">
      <alignment horizontal="center"/>
    </xf>
    <xf numFmtId="9" fontId="5" fillId="2" borderId="26" xfId="1" applyNumberFormat="1" applyFont="1" applyFill="1" applyBorder="1" applyAlignment="1">
      <alignment horizontal="center"/>
    </xf>
    <xf numFmtId="0" fontId="49" fillId="2" borderId="0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51" fillId="2" borderId="26" xfId="1" applyFont="1" applyFill="1" applyBorder="1" applyAlignment="1">
      <alignment horizontal="center"/>
    </xf>
    <xf numFmtId="5" fontId="5" fillId="2" borderId="3" xfId="1" applyNumberFormat="1" applyFont="1" applyFill="1" applyBorder="1" applyAlignment="1">
      <alignment horizontal="center"/>
    </xf>
    <xf numFmtId="5" fontId="5" fillId="2" borderId="28" xfId="1" applyNumberFormat="1" applyFont="1" applyFill="1" applyBorder="1" applyAlignment="1">
      <alignment horizontal="center"/>
    </xf>
    <xf numFmtId="0" fontId="5" fillId="2" borderId="5" xfId="1" applyFont="1" applyFill="1" applyBorder="1"/>
    <xf numFmtId="0" fontId="5" fillId="2" borderId="30" xfId="1" applyFont="1" applyFill="1" applyBorder="1"/>
    <xf numFmtId="9" fontId="6" fillId="2" borderId="0" xfId="1" applyNumberFormat="1" applyFont="1" applyFill="1" applyBorder="1" applyAlignment="1">
      <alignment horizontal="center" vertical="center"/>
    </xf>
    <xf numFmtId="9" fontId="6" fillId="2" borderId="26" xfId="1" applyNumberFormat="1" applyFont="1" applyFill="1" applyBorder="1" applyAlignment="1">
      <alignment horizontal="center" vertical="center"/>
    </xf>
    <xf numFmtId="9" fontId="5" fillId="2" borderId="3" xfId="1" applyNumberFormat="1" applyFont="1" applyFill="1" applyBorder="1" applyAlignment="1">
      <alignment horizontal="center"/>
    </xf>
    <xf numFmtId="9" fontId="6" fillId="2" borderId="28" xfId="1" applyNumberFormat="1" applyFont="1" applyFill="1" applyBorder="1" applyAlignment="1">
      <alignment horizontal="center" vertical="center"/>
    </xf>
    <xf numFmtId="9" fontId="5" fillId="2" borderId="28" xfId="1" applyNumberFormat="1" applyFont="1" applyFill="1" applyBorder="1" applyAlignment="1">
      <alignment horizontal="center"/>
    </xf>
    <xf numFmtId="5" fontId="5" fillId="2" borderId="26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5" fontId="5" fillId="2" borderId="1" xfId="1" applyNumberFormat="1" applyFont="1" applyFill="1" applyBorder="1" applyAlignment="1">
      <alignment horizontal="center"/>
    </xf>
    <xf numFmtId="5" fontId="5" fillId="2" borderId="27" xfId="1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left" vertical="center" indent="1"/>
    </xf>
    <xf numFmtId="0" fontId="8" fillId="5" borderId="24" xfId="1" applyFont="1" applyFill="1" applyBorder="1" applyAlignment="1">
      <alignment horizontal="left" vertical="center"/>
    </xf>
    <xf numFmtId="0" fontId="48" fillId="5" borderId="0" xfId="1" applyFont="1" applyFill="1"/>
    <xf numFmtId="37" fontId="8" fillId="5" borderId="0" xfId="1" applyNumberFormat="1" applyFont="1" applyFill="1" applyAlignment="1">
      <alignment horizontal="center" vertical="center"/>
    </xf>
    <xf numFmtId="0" fontId="48" fillId="5" borderId="26" xfId="1" applyFont="1" applyFill="1" applyBorder="1"/>
    <xf numFmtId="37" fontId="9" fillId="5" borderId="0" xfId="1" applyNumberFormat="1" applyFont="1" applyFill="1" applyAlignment="1">
      <alignment horizontal="center" vertical="center"/>
    </xf>
    <xf numFmtId="37" fontId="6" fillId="5" borderId="0" xfId="1" applyNumberFormat="1" applyFont="1" applyFill="1" applyAlignment="1">
      <alignment horizontal="center" vertical="center"/>
    </xf>
    <xf numFmtId="9" fontId="6" fillId="5" borderId="0" xfId="1" applyNumberFormat="1" applyFont="1" applyFill="1" applyAlignment="1">
      <alignment horizontal="center" vertical="center"/>
    </xf>
    <xf numFmtId="9" fontId="6" fillId="5" borderId="26" xfId="1" applyNumberFormat="1" applyFont="1" applyFill="1" applyBorder="1" applyAlignment="1">
      <alignment horizontal="center" vertical="center"/>
    </xf>
    <xf numFmtId="9" fontId="6" fillId="5" borderId="3" xfId="1" applyNumberFormat="1" applyFont="1" applyFill="1" applyBorder="1" applyAlignment="1">
      <alignment horizontal="center" vertical="center"/>
    </xf>
    <xf numFmtId="9" fontId="6" fillId="5" borderId="28" xfId="1" applyNumberFormat="1" applyFont="1" applyFill="1" applyBorder="1" applyAlignment="1">
      <alignment horizontal="center" vertical="center"/>
    </xf>
    <xf numFmtId="37" fontId="6" fillId="6" borderId="3" xfId="1" applyNumberFormat="1" applyFont="1" applyFill="1" applyBorder="1" applyAlignment="1">
      <alignment horizontal="center" vertical="center"/>
    </xf>
    <xf numFmtId="0" fontId="6" fillId="0" borderId="0" xfId="0" applyNumberFormat="1" applyFont="1"/>
    <xf numFmtId="0" fontId="54" fillId="0" borderId="0" xfId="0" applyFont="1"/>
    <xf numFmtId="0" fontId="54" fillId="2" borderId="0" xfId="0" applyFont="1" applyFill="1"/>
    <xf numFmtId="0" fontId="55" fillId="2" borderId="0" xfId="0" applyFont="1" applyFill="1" applyAlignment="1">
      <alignment horizontal="center"/>
    </xf>
    <xf numFmtId="0" fontId="57" fillId="4" borderId="0" xfId="0" applyFont="1" applyFill="1"/>
    <xf numFmtId="164" fontId="58" fillId="4" borderId="0" xfId="0" applyNumberFormat="1" applyFont="1" applyFill="1"/>
    <xf numFmtId="164" fontId="54" fillId="4" borderId="0" xfId="0" applyNumberFormat="1" applyFont="1" applyFill="1"/>
    <xf numFmtId="5" fontId="54" fillId="2" borderId="0" xfId="0" applyNumberFormat="1" applyFont="1" applyFill="1"/>
    <xf numFmtId="0" fontId="57" fillId="0" borderId="0" xfId="0" applyFont="1"/>
    <xf numFmtId="164" fontId="58" fillId="0" borderId="0" xfId="0" applyNumberFormat="1" applyFont="1"/>
    <xf numFmtId="164" fontId="54" fillId="2" borderId="0" xfId="0" applyNumberFormat="1" applyFont="1" applyFill="1"/>
    <xf numFmtId="164" fontId="54" fillId="0" borderId="0" xfId="0" applyNumberFormat="1" applyFont="1"/>
    <xf numFmtId="0" fontId="55" fillId="7" borderId="0" xfId="0" applyFont="1" applyFill="1" applyBorder="1"/>
    <xf numFmtId="0" fontId="56" fillId="7" borderId="0" xfId="0" applyFont="1" applyFill="1"/>
    <xf numFmtId="0" fontId="55" fillId="7" borderId="0" xfId="0" applyFont="1" applyFill="1" applyBorder="1" applyAlignment="1">
      <alignment horizontal="center"/>
    </xf>
    <xf numFmtId="0" fontId="55" fillId="7" borderId="0" xfId="0" applyFont="1" applyFill="1"/>
    <xf numFmtId="0" fontId="55" fillId="7" borderId="8" xfId="0" applyFont="1" applyFill="1" applyBorder="1"/>
    <xf numFmtId="164" fontId="55" fillId="7" borderId="8" xfId="0" applyNumberFormat="1" applyFont="1" applyFill="1" applyBorder="1"/>
    <xf numFmtId="164" fontId="56" fillId="7" borderId="8" xfId="0" applyNumberFormat="1" applyFont="1" applyFill="1" applyBorder="1"/>
    <xf numFmtId="168" fontId="5" fillId="2" borderId="0" xfId="1" applyNumberFormat="1" applyFont="1" applyFill="1" applyBorder="1"/>
    <xf numFmtId="0" fontId="29" fillId="2" borderId="0" xfId="1" applyFont="1" applyFill="1"/>
    <xf numFmtId="7" fontId="47" fillId="2" borderId="0" xfId="1" applyNumberFormat="1" applyFont="1" applyFill="1"/>
    <xf numFmtId="0" fontId="6" fillId="0" borderId="1" xfId="1" applyFont="1" applyBorder="1"/>
    <xf numFmtId="0" fontId="6" fillId="2" borderId="4" xfId="1" applyFont="1" applyFill="1" applyBorder="1" applyAlignment="1">
      <alignment horizontal="left" vertical="center" indent="1"/>
    </xf>
    <xf numFmtId="0" fontId="8" fillId="2" borderId="3" xfId="1" applyFont="1" applyFill="1" applyBorder="1" applyAlignment="1">
      <alignment horizontal="center" vertical="center"/>
    </xf>
    <xf numFmtId="5" fontId="6" fillId="2" borderId="3" xfId="1" applyNumberFormat="1" applyFont="1" applyFill="1" applyBorder="1" applyAlignment="1">
      <alignment horizontal="center" vertical="center"/>
    </xf>
    <xf numFmtId="5" fontId="9" fillId="2" borderId="3" xfId="1" applyNumberFormat="1" applyFont="1" applyFill="1" applyBorder="1" applyAlignment="1">
      <alignment horizontal="center" vertical="center"/>
    </xf>
    <xf numFmtId="5" fontId="9" fillId="2" borderId="28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6" fillId="6" borderId="0" xfId="1" applyNumberFormat="1" applyFont="1" applyFill="1" applyAlignment="1">
      <alignment horizontal="center" vertical="center"/>
    </xf>
    <xf numFmtId="164" fontId="6" fillId="6" borderId="3" xfId="1" applyNumberFormat="1" applyFont="1" applyFill="1" applyBorder="1" applyAlignment="1">
      <alignment horizontal="center" vertical="center"/>
    </xf>
    <xf numFmtId="164" fontId="48" fillId="6" borderId="0" xfId="1" applyNumberFormat="1" applyFont="1" applyFill="1"/>
    <xf numFmtId="0" fontId="29" fillId="2" borderId="0" xfId="0" applyFont="1" applyFill="1" applyBorder="1" applyAlignment="1">
      <alignment horizontal="left" indent="1"/>
    </xf>
    <xf numFmtId="8" fontId="6" fillId="2" borderId="0" xfId="1" applyNumberFormat="1" applyFont="1" applyFill="1" applyBorder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wrapText="1"/>
    </xf>
    <xf numFmtId="0" fontId="61" fillId="0" borderId="0" xfId="0" applyFont="1"/>
    <xf numFmtId="0" fontId="62" fillId="0" borderId="0" xfId="0" applyFont="1" applyAlignment="1">
      <alignment horizontal="left"/>
    </xf>
    <xf numFmtId="0" fontId="63" fillId="8" borderId="0" xfId="0" applyFont="1" applyFill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/>
    <xf numFmtId="6" fontId="64" fillId="0" borderId="0" xfId="0" applyNumberFormat="1" applyFont="1" applyAlignment="1">
      <alignment horizontal="right" vertical="top"/>
    </xf>
    <xf numFmtId="0" fontId="64" fillId="0" borderId="33" xfId="0" applyFont="1" applyBorder="1"/>
    <xf numFmtId="6" fontId="64" fillId="0" borderId="33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76" fontId="62" fillId="0" borderId="0" xfId="6" applyNumberFormat="1" applyFont="1" applyFill="1" applyAlignment="1">
      <alignment horizontal="right"/>
    </xf>
    <xf numFmtId="6" fontId="64" fillId="0" borderId="0" xfId="0" applyNumberFormat="1" applyFont="1" applyAlignment="1">
      <alignment horizontal="right"/>
    </xf>
    <xf numFmtId="6" fontId="64" fillId="0" borderId="33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6" fontId="64" fillId="0" borderId="0" xfId="0" applyNumberFormat="1" applyFont="1" applyAlignment="1">
      <alignment horizontal="right" vertical="top" indent="1"/>
    </xf>
    <xf numFmtId="6" fontId="64" fillId="0" borderId="0" xfId="0" applyNumberFormat="1" applyFont="1" applyAlignment="1">
      <alignment horizontal="right" indent="1"/>
    </xf>
    <xf numFmtId="6" fontId="64" fillId="0" borderId="34" xfId="0" applyNumberFormat="1" applyFont="1" applyBorder="1" applyAlignment="1">
      <alignment horizontal="right" indent="1"/>
    </xf>
    <xf numFmtId="0" fontId="64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176" fontId="62" fillId="0" borderId="0" xfId="6" applyNumberFormat="1" applyFont="1" applyFill="1" applyAlignment="1">
      <alignment horizontal="right" wrapText="1" indent="1"/>
    </xf>
    <xf numFmtId="0" fontId="62" fillId="0" borderId="0" xfId="0" applyFont="1" applyAlignment="1">
      <alignment horizontal="left" wrapText="1"/>
    </xf>
    <xf numFmtId="6" fontId="64" fillId="0" borderId="38" xfId="0" applyNumberFormat="1" applyFont="1" applyBorder="1" applyAlignment="1">
      <alignment horizontal="right" indent="1"/>
    </xf>
    <xf numFmtId="6" fontId="64" fillId="0" borderId="39" xfId="0" applyNumberFormat="1" applyFont="1" applyBorder="1" applyAlignment="1">
      <alignment horizontal="right"/>
    </xf>
    <xf numFmtId="0" fontId="65" fillId="0" borderId="0" xfId="0" applyFont="1"/>
    <xf numFmtId="0" fontId="66" fillId="0" borderId="0" xfId="0" applyFont="1"/>
    <xf numFmtId="175" fontId="62" fillId="0" borderId="0" xfId="5" applyNumberFormat="1" applyFont="1" applyFill="1" applyAlignment="1">
      <alignment horizontal="right"/>
    </xf>
    <xf numFmtId="3" fontId="64" fillId="0" borderId="33" xfId="0" applyNumberFormat="1" applyFont="1" applyBorder="1" applyAlignment="1">
      <alignment horizontal="right"/>
    </xf>
    <xf numFmtId="3" fontId="64" fillId="0" borderId="0" xfId="0" applyNumberFormat="1" applyFont="1" applyAlignment="1">
      <alignment horizontal="right"/>
    </xf>
    <xf numFmtId="0" fontId="64" fillId="0" borderId="33" xfId="0" applyFont="1" applyBorder="1" applyAlignment="1">
      <alignment horizontal="right"/>
    </xf>
    <xf numFmtId="3" fontId="64" fillId="0" borderId="0" xfId="0" applyNumberFormat="1" applyFont="1" applyAlignment="1">
      <alignment horizontal="right" vertical="top"/>
    </xf>
    <xf numFmtId="3" fontId="64" fillId="0" borderId="33" xfId="0" applyNumberFormat="1" applyFont="1" applyBorder="1" applyAlignment="1">
      <alignment horizontal="right" vertical="top"/>
    </xf>
    <xf numFmtId="4" fontId="64" fillId="0" borderId="0" xfId="0" applyNumberFormat="1" applyFont="1" applyAlignment="1">
      <alignment horizontal="right"/>
    </xf>
    <xf numFmtId="0" fontId="0" fillId="0" borderId="0" xfId="0" applyAlignment="1"/>
    <xf numFmtId="0" fontId="66" fillId="0" borderId="0" xfId="0" applyFont="1" applyAlignment="1">
      <alignment vertical="center"/>
    </xf>
    <xf numFmtId="0" fontId="0" fillId="0" borderId="0" xfId="0" applyAlignment="1">
      <alignment wrapText="1"/>
    </xf>
    <xf numFmtId="4" fontId="0" fillId="0" borderId="0" xfId="0" applyNumberFormat="1"/>
    <xf numFmtId="3" fontId="0" fillId="0" borderId="0" xfId="0" applyNumberFormat="1"/>
    <xf numFmtId="0" fontId="66" fillId="0" borderId="0" xfId="0" applyFont="1" applyBorder="1"/>
    <xf numFmtId="8" fontId="66" fillId="0" borderId="0" xfId="0" applyNumberFormat="1" applyFont="1" applyBorder="1"/>
    <xf numFmtId="6" fontId="0" fillId="0" borderId="0" xfId="0" applyNumberFormat="1"/>
    <xf numFmtId="0" fontId="65" fillId="0" borderId="43" xfId="0" applyFont="1" applyBorder="1" applyAlignment="1">
      <alignment wrapText="1"/>
    </xf>
    <xf numFmtId="0" fontId="3" fillId="9" borderId="0" xfId="0" applyFont="1" applyFill="1"/>
    <xf numFmtId="0" fontId="4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1" xfId="0" applyFont="1" applyFill="1" applyBorder="1"/>
    <xf numFmtId="0" fontId="8" fillId="10" borderId="5" xfId="1" applyFont="1" applyFill="1" applyBorder="1" applyAlignment="1">
      <alignment horizontal="center"/>
    </xf>
    <xf numFmtId="0" fontId="8" fillId="10" borderId="0" xfId="1" applyFont="1" applyFill="1" applyBorder="1" applyAlignment="1">
      <alignment horizontal="center"/>
    </xf>
    <xf numFmtId="0" fontId="6" fillId="10" borderId="0" xfId="1" applyFont="1" applyFill="1" applyBorder="1"/>
    <xf numFmtId="5" fontId="6" fillId="10" borderId="0" xfId="1" applyNumberFormat="1" applyFont="1" applyFill="1" applyBorder="1" applyAlignment="1">
      <alignment horizontal="center"/>
    </xf>
    <xf numFmtId="37" fontId="6" fillId="10" borderId="0" xfId="1" applyNumberFormat="1" applyFont="1" applyFill="1" applyBorder="1" applyAlignment="1">
      <alignment horizontal="center"/>
    </xf>
    <xf numFmtId="37" fontId="6" fillId="10" borderId="5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center"/>
    </xf>
    <xf numFmtId="0" fontId="6" fillId="0" borderId="3" xfId="1" applyFont="1" applyFill="1" applyBorder="1"/>
    <xf numFmtId="0" fontId="8" fillId="0" borderId="0" xfId="1" applyFont="1" applyFill="1" applyBorder="1" applyAlignment="1">
      <alignment horizontal="left"/>
    </xf>
    <xf numFmtId="0" fontId="6" fillId="0" borderId="6" xfId="1" applyFont="1" applyFill="1" applyBorder="1"/>
    <xf numFmtId="0" fontId="6" fillId="0" borderId="2" xfId="1" applyFont="1" applyFill="1" applyBorder="1" applyAlignment="1"/>
    <xf numFmtId="0" fontId="8" fillId="11" borderId="5" xfId="1" applyFont="1" applyFill="1" applyBorder="1" applyAlignment="1">
      <alignment horizontal="left"/>
    </xf>
    <xf numFmtId="0" fontId="6" fillId="11" borderId="3" xfId="1" applyFont="1" applyFill="1" applyBorder="1"/>
    <xf numFmtId="37" fontId="8" fillId="11" borderId="3" xfId="1" applyNumberFormat="1" applyFont="1" applyFill="1" applyBorder="1" applyAlignment="1">
      <alignment horizontal="center"/>
    </xf>
    <xf numFmtId="0" fontId="8" fillId="11" borderId="3" xfId="1" applyFont="1" applyFill="1" applyBorder="1" applyAlignment="1">
      <alignment horizontal="left"/>
    </xf>
    <xf numFmtId="0" fontId="8" fillId="11" borderId="1" xfId="1" applyFont="1" applyFill="1" applyBorder="1" applyAlignment="1">
      <alignment horizontal="left"/>
    </xf>
    <xf numFmtId="0" fontId="8" fillId="11" borderId="3" xfId="1" applyFont="1" applyFill="1" applyBorder="1" applyAlignment="1"/>
    <xf numFmtId="0" fontId="6" fillId="11" borderId="3" xfId="1" applyFont="1" applyFill="1" applyBorder="1" applyAlignment="1"/>
    <xf numFmtId="0" fontId="8" fillId="12" borderId="5" xfId="1" applyFont="1" applyFill="1" applyBorder="1" applyAlignment="1">
      <alignment horizontal="center"/>
    </xf>
    <xf numFmtId="0" fontId="8" fillId="12" borderId="0" xfId="1" applyFont="1" applyFill="1" applyBorder="1" applyAlignment="1">
      <alignment horizontal="center"/>
    </xf>
    <xf numFmtId="5" fontId="6" fillId="12" borderId="0" xfId="1" applyNumberFormat="1" applyFont="1" applyFill="1" applyBorder="1" applyAlignment="1">
      <alignment horizontal="center"/>
    </xf>
    <xf numFmtId="37" fontId="6" fillId="12" borderId="0" xfId="1" applyNumberFormat="1" applyFont="1" applyFill="1" applyBorder="1" applyAlignment="1">
      <alignment horizontal="center"/>
    </xf>
    <xf numFmtId="37" fontId="6" fillId="12" borderId="5" xfId="1" applyNumberFormat="1" applyFont="1" applyFill="1" applyBorder="1" applyAlignment="1">
      <alignment horizontal="center"/>
    </xf>
    <xf numFmtId="0" fontId="8" fillId="13" borderId="5" xfId="1" applyFont="1" applyFill="1" applyBorder="1" applyAlignment="1">
      <alignment horizontal="center"/>
    </xf>
    <xf numFmtId="0" fontId="8" fillId="13" borderId="0" xfId="1" applyFont="1" applyFill="1" applyBorder="1" applyAlignment="1">
      <alignment horizontal="center"/>
    </xf>
    <xf numFmtId="0" fontId="6" fillId="13" borderId="0" xfId="1" applyFont="1" applyFill="1" applyBorder="1"/>
    <xf numFmtId="5" fontId="6" fillId="13" borderId="0" xfId="1" applyNumberFormat="1" applyFont="1" applyFill="1" applyBorder="1" applyAlignment="1">
      <alignment horizontal="center"/>
    </xf>
    <xf numFmtId="37" fontId="6" fillId="13" borderId="0" xfId="1" applyNumberFormat="1" applyFont="1" applyFill="1" applyBorder="1" applyAlignment="1">
      <alignment horizontal="center"/>
    </xf>
    <xf numFmtId="37" fontId="6" fillId="13" borderId="5" xfId="1" applyNumberFormat="1" applyFont="1" applyFill="1" applyBorder="1" applyAlignment="1">
      <alignment horizontal="center"/>
    </xf>
    <xf numFmtId="0" fontId="8" fillId="14" borderId="5" xfId="1" applyFont="1" applyFill="1" applyBorder="1" applyAlignment="1">
      <alignment horizontal="center"/>
    </xf>
    <xf numFmtId="0" fontId="8" fillId="14" borderId="0" xfId="1" applyFont="1" applyFill="1" applyBorder="1" applyAlignment="1">
      <alignment horizontal="center"/>
    </xf>
    <xf numFmtId="0" fontId="6" fillId="14" borderId="0" xfId="1" applyFont="1" applyFill="1" applyBorder="1"/>
    <xf numFmtId="5" fontId="6" fillId="14" borderId="0" xfId="1" applyNumberFormat="1" applyFont="1" applyFill="1" applyBorder="1" applyAlignment="1">
      <alignment horizontal="center"/>
    </xf>
    <xf numFmtId="37" fontId="6" fillId="14" borderId="0" xfId="1" applyNumberFormat="1" applyFont="1" applyFill="1" applyBorder="1" applyAlignment="1">
      <alignment horizontal="center"/>
    </xf>
    <xf numFmtId="37" fontId="6" fillId="14" borderId="5" xfId="1" applyNumberFormat="1" applyFont="1" applyFill="1" applyBorder="1" applyAlignment="1">
      <alignment horizontal="center"/>
    </xf>
    <xf numFmtId="0" fontId="6" fillId="11" borderId="5" xfId="0" applyFont="1" applyFill="1" applyBorder="1" applyAlignment="1">
      <alignment vertical="center"/>
    </xf>
    <xf numFmtId="166" fontId="6" fillId="11" borderId="5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166" fontId="6" fillId="11" borderId="1" xfId="0" applyNumberFormat="1" applyFont="1" applyFill="1" applyBorder="1" applyAlignment="1">
      <alignment vertical="center"/>
    </xf>
    <xf numFmtId="5" fontId="6" fillId="11" borderId="5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5" fontId="6" fillId="11" borderId="0" xfId="0" applyNumberFormat="1" applyFont="1" applyFill="1" applyBorder="1" applyAlignment="1">
      <alignment vertical="center"/>
    </xf>
    <xf numFmtId="166" fontId="6" fillId="11" borderId="0" xfId="0" applyNumberFormat="1" applyFont="1" applyFill="1" applyBorder="1" applyAlignment="1">
      <alignment vertical="center"/>
    </xf>
    <xf numFmtId="169" fontId="6" fillId="11" borderId="1" xfId="0" applyNumberFormat="1" applyFont="1" applyFill="1" applyBorder="1" applyAlignment="1">
      <alignment vertical="center"/>
    </xf>
    <xf numFmtId="0" fontId="3" fillId="9" borderId="29" xfId="1" applyFont="1" applyFill="1" applyBorder="1"/>
    <xf numFmtId="0" fontId="3" fillId="9" borderId="5" xfId="1" applyFont="1" applyFill="1" applyBorder="1"/>
    <xf numFmtId="0" fontId="3" fillId="9" borderId="24" xfId="1" applyFont="1" applyFill="1" applyBorder="1"/>
    <xf numFmtId="0" fontId="3" fillId="9" borderId="0" xfId="1" applyFont="1" applyFill="1" applyBorder="1"/>
    <xf numFmtId="0" fontId="3" fillId="9" borderId="0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0" xfId="1" applyFont="1" applyFill="1" applyBorder="1" applyAlignment="1">
      <alignment horizontal="center" vertical="center"/>
    </xf>
    <xf numFmtId="0" fontId="3" fillId="9" borderId="26" xfId="1" applyFont="1" applyFill="1" applyBorder="1" applyAlignment="1">
      <alignment horizontal="center" vertical="center"/>
    </xf>
    <xf numFmtId="0" fontId="3" fillId="9" borderId="5" xfId="1" applyFont="1" applyFill="1" applyBorder="1" applyAlignment="1"/>
    <xf numFmtId="0" fontId="3" fillId="9" borderId="25" xfId="1" applyFont="1" applyFill="1" applyBorder="1"/>
    <xf numFmtId="0" fontId="3" fillId="9" borderId="1" xfId="1" applyFont="1" applyFill="1" applyBorder="1"/>
    <xf numFmtId="0" fontId="3" fillId="9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/>
    </xf>
    <xf numFmtId="0" fontId="3" fillId="9" borderId="27" xfId="1" applyFont="1" applyFill="1" applyBorder="1" applyAlignment="1">
      <alignment horizontal="center" vertical="center"/>
    </xf>
    <xf numFmtId="0" fontId="52" fillId="15" borderId="29" xfId="1" applyFont="1" applyFill="1" applyBorder="1"/>
    <xf numFmtId="0" fontId="52" fillId="15" borderId="5" xfId="1" applyFont="1" applyFill="1" applyBorder="1"/>
    <xf numFmtId="0" fontId="52" fillId="15" borderId="24" xfId="1" applyFont="1" applyFill="1" applyBorder="1"/>
    <xf numFmtId="0" fontId="52" fillId="15" borderId="0" xfId="1" applyFont="1" applyFill="1" applyBorder="1"/>
    <xf numFmtId="0" fontId="52" fillId="15" borderId="0" xfId="1" applyFont="1" applyFill="1" applyBorder="1" applyAlignment="1">
      <alignment horizontal="center" vertical="center" wrapText="1"/>
    </xf>
    <xf numFmtId="0" fontId="52" fillId="15" borderId="0" xfId="1" applyFont="1" applyFill="1" applyBorder="1" applyAlignment="1">
      <alignment horizontal="center" vertical="center"/>
    </xf>
    <xf numFmtId="0" fontId="52" fillId="15" borderId="26" xfId="1" applyFont="1" applyFill="1" applyBorder="1" applyAlignment="1">
      <alignment horizontal="center" vertical="center"/>
    </xf>
    <xf numFmtId="0" fontId="52" fillId="15" borderId="5" xfId="1" applyFont="1" applyFill="1" applyBorder="1" applyAlignment="1"/>
    <xf numFmtId="0" fontId="52" fillId="15" borderId="31" xfId="1" applyFont="1" applyFill="1" applyBorder="1" applyAlignment="1"/>
    <xf numFmtId="0" fontId="52" fillId="15" borderId="0" xfId="1" applyFont="1" applyFill="1"/>
    <xf numFmtId="0" fontId="52" fillId="15" borderId="0" xfId="1" applyFont="1" applyFill="1" applyAlignment="1">
      <alignment horizontal="center" vertical="center" wrapText="1"/>
    </xf>
    <xf numFmtId="0" fontId="52" fillId="15" borderId="0" xfId="1" applyFont="1" applyFill="1" applyAlignment="1">
      <alignment horizontal="center" vertical="center"/>
    </xf>
    <xf numFmtId="0" fontId="3" fillId="9" borderId="1" xfId="1" applyFont="1" applyFill="1" applyBorder="1" applyAlignment="1">
      <alignment horizontal="center"/>
    </xf>
    <xf numFmtId="0" fontId="3" fillId="9" borderId="27" xfId="1" applyFont="1" applyFill="1" applyBorder="1" applyAlignment="1">
      <alignment horizontal="center"/>
    </xf>
    <xf numFmtId="0" fontId="3" fillId="9" borderId="0" xfId="0" applyFont="1" applyFill="1" applyBorder="1"/>
    <xf numFmtId="0" fontId="4" fillId="9" borderId="0" xfId="0" applyFont="1" applyFill="1" applyBorder="1"/>
    <xf numFmtId="0" fontId="3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3" fillId="9" borderId="0" xfId="0" applyFont="1" applyFill="1" applyAlignment="1">
      <alignment horizontal="right"/>
    </xf>
    <xf numFmtId="0" fontId="11" fillId="11" borderId="5" xfId="0" applyFont="1" applyFill="1" applyBorder="1"/>
    <xf numFmtId="164" fontId="6" fillId="11" borderId="5" xfId="0" applyNumberFormat="1" applyFont="1" applyFill="1" applyBorder="1"/>
    <xf numFmtId="0" fontId="11" fillId="11" borderId="0" xfId="0" applyFont="1" applyFill="1" applyBorder="1"/>
    <xf numFmtId="164" fontId="6" fillId="11" borderId="0" xfId="0" applyNumberFormat="1" applyFont="1" applyFill="1" applyBorder="1"/>
    <xf numFmtId="5" fontId="6" fillId="11" borderId="0" xfId="0" applyNumberFormat="1" applyFont="1" applyFill="1" applyBorder="1"/>
    <xf numFmtId="0" fontId="6" fillId="11" borderId="0" xfId="0" applyFont="1" applyFill="1" applyBorder="1"/>
    <xf numFmtId="0" fontId="11" fillId="11" borderId="1" xfId="0" applyFont="1" applyFill="1" applyBorder="1"/>
    <xf numFmtId="5" fontId="6" fillId="11" borderId="1" xfId="0" applyNumberFormat="1" applyFont="1" applyFill="1" applyBorder="1"/>
    <xf numFmtId="0" fontId="6" fillId="11" borderId="1" xfId="0" applyFont="1" applyFill="1" applyBorder="1"/>
    <xf numFmtId="0" fontId="3" fillId="9" borderId="0" xfId="0" applyFont="1" applyFill="1" applyAlignment="1">
      <alignment horizontal="center" wrapText="1"/>
    </xf>
    <xf numFmtId="0" fontId="11" fillId="11" borderId="3" xfId="0" applyFont="1" applyFill="1" applyBorder="1"/>
    <xf numFmtId="0" fontId="8" fillId="11" borderId="3" xfId="0" applyFont="1" applyFill="1" applyBorder="1"/>
    <xf numFmtId="37" fontId="8" fillId="11" borderId="3" xfId="0" applyNumberFormat="1" applyFont="1" applyFill="1" applyBorder="1"/>
    <xf numFmtId="0" fontId="8" fillId="11" borderId="3" xfId="0" applyFont="1" applyFill="1" applyBorder="1" applyAlignment="1">
      <alignment horizontal="right"/>
    </xf>
    <xf numFmtId="5" fontId="8" fillId="11" borderId="3" xfId="0" applyNumberFormat="1" applyFont="1" applyFill="1" applyBorder="1"/>
    <xf numFmtId="0" fontId="6" fillId="0" borderId="0" xfId="0" applyFont="1" applyFill="1"/>
    <xf numFmtId="0" fontId="3" fillId="9" borderId="0" xfId="0" applyFont="1" applyFill="1" applyBorder="1" applyAlignment="1">
      <alignment wrapText="1"/>
    </xf>
    <xf numFmtId="0" fontId="3" fillId="9" borderId="11" xfId="0" applyFont="1" applyFill="1" applyBorder="1" applyAlignment="1">
      <alignment wrapText="1"/>
    </xf>
    <xf numFmtId="0" fontId="3" fillId="9" borderId="12" xfId="0" applyFont="1" applyFill="1" applyBorder="1" applyAlignment="1">
      <alignment wrapText="1"/>
    </xf>
    <xf numFmtId="0" fontId="3" fillId="9" borderId="13" xfId="0" applyFont="1" applyFill="1" applyBorder="1" applyAlignment="1">
      <alignment wrapText="1"/>
    </xf>
    <xf numFmtId="0" fontId="6" fillId="11" borderId="8" xfId="0" applyFont="1" applyFill="1" applyBorder="1"/>
    <xf numFmtId="5" fontId="8" fillId="11" borderId="8" xfId="0" applyNumberFormat="1" applyFont="1" applyFill="1" applyBorder="1"/>
    <xf numFmtId="5" fontId="6" fillId="11" borderId="8" xfId="0" applyNumberFormat="1" applyFont="1" applyFill="1" applyBorder="1"/>
    <xf numFmtId="9" fontId="6" fillId="11" borderId="8" xfId="0" applyNumberFormat="1" applyFont="1" applyFill="1" applyBorder="1"/>
    <xf numFmtId="0" fontId="42" fillId="2" borderId="45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right"/>
    </xf>
    <xf numFmtId="0" fontId="6" fillId="12" borderId="0" xfId="0" applyFont="1" applyFill="1" applyAlignment="1">
      <alignment horizontal="right"/>
    </xf>
    <xf numFmtId="37" fontId="6" fillId="12" borderId="0" xfId="0" applyNumberFormat="1" applyFont="1" applyFill="1"/>
    <xf numFmtId="5" fontId="6" fillId="12" borderId="0" xfId="0" applyNumberFormat="1" applyFont="1" applyFill="1"/>
    <xf numFmtId="37" fontId="8" fillId="12" borderId="0" xfId="0" applyNumberFormat="1" applyFont="1" applyFill="1"/>
    <xf numFmtId="0" fontId="6" fillId="14" borderId="0" xfId="0" applyFont="1" applyFill="1" applyAlignment="1">
      <alignment horizontal="right"/>
    </xf>
    <xf numFmtId="0" fontId="5" fillId="14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37" fontId="6" fillId="14" borderId="0" xfId="0" applyNumberFormat="1" applyFont="1" applyFill="1"/>
    <xf numFmtId="5" fontId="6" fillId="14" borderId="0" xfId="0" applyNumberFormat="1" applyFont="1" applyFill="1"/>
    <xf numFmtId="37" fontId="8" fillId="14" borderId="0" xfId="0" applyNumberFormat="1" applyFont="1" applyFill="1"/>
    <xf numFmtId="0" fontId="6" fillId="14" borderId="0" xfId="0" applyFont="1" applyFill="1" applyBorder="1" applyAlignment="1">
      <alignment horizontal="left" vertical="center"/>
    </xf>
    <xf numFmtId="0" fontId="5" fillId="13" borderId="0" xfId="0" applyFont="1" applyFill="1" applyBorder="1" applyAlignment="1">
      <alignment horizontal="left" vertical="center"/>
    </xf>
    <xf numFmtId="0" fontId="6" fillId="13" borderId="0" xfId="0" applyFont="1" applyFill="1" applyAlignment="1">
      <alignment horizontal="right"/>
    </xf>
    <xf numFmtId="37" fontId="6" fillId="13" borderId="0" xfId="0" applyNumberFormat="1" applyFont="1" applyFill="1"/>
    <xf numFmtId="5" fontId="6" fillId="13" borderId="0" xfId="0" applyNumberFormat="1" applyFont="1" applyFill="1"/>
    <xf numFmtId="37" fontId="8" fillId="13" borderId="0" xfId="0" applyNumberFormat="1" applyFont="1" applyFill="1"/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1" xfId="0" applyFont="1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6" fontId="0" fillId="0" borderId="15" xfId="0" applyNumberFormat="1" applyBorder="1"/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Border="1" applyAlignment="1">
      <alignment vertical="center"/>
    </xf>
    <xf numFmtId="6" fontId="64" fillId="0" borderId="0" xfId="0" applyNumberFormat="1" applyFont="1" applyBorder="1" applyAlignment="1">
      <alignment horizontal="right" indent="1"/>
    </xf>
    <xf numFmtId="3" fontId="64" fillId="0" borderId="0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 horizontal="right" vertical="top"/>
    </xf>
    <xf numFmtId="6" fontId="64" fillId="0" borderId="0" xfId="0" applyNumberFormat="1" applyFont="1" applyBorder="1" applyAlignment="1">
      <alignment horizontal="right"/>
    </xf>
    <xf numFmtId="6" fontId="64" fillId="0" borderId="0" xfId="0" applyNumberFormat="1" applyFont="1" applyBorder="1" applyAlignment="1">
      <alignment horizontal="right" vertical="top"/>
    </xf>
    <xf numFmtId="6" fontId="64" fillId="0" borderId="34" xfId="0" applyNumberFormat="1" applyFont="1" applyBorder="1" applyAlignment="1">
      <alignment horizontal="right" vertical="top" indent="1"/>
    </xf>
    <xf numFmtId="0" fontId="64" fillId="0" borderId="0" xfId="0" applyFont="1" applyBorder="1"/>
    <xf numFmtId="6" fontId="0" fillId="0" borderId="0" xfId="0" applyNumberFormat="1" applyBorder="1" applyAlignment="1">
      <alignment horizontal="right" vertical="center"/>
    </xf>
    <xf numFmtId="3" fontId="64" fillId="0" borderId="47" xfId="0" applyNumberFormat="1" applyFont="1" applyBorder="1" applyAlignment="1">
      <alignment horizontal="right" vertical="top"/>
    </xf>
    <xf numFmtId="6" fontId="64" fillId="0" borderId="47" xfId="0" applyNumberFormat="1" applyFont="1" applyBorder="1" applyAlignment="1">
      <alignment horizontal="right"/>
    </xf>
    <xf numFmtId="0" fontId="70" fillId="0" borderId="0" xfId="0" applyFont="1"/>
    <xf numFmtId="0" fontId="70" fillId="0" borderId="0" xfId="0" applyFont="1" applyAlignment="1">
      <alignment vertical="center"/>
    </xf>
    <xf numFmtId="0" fontId="2" fillId="0" borderId="42" xfId="0" applyFont="1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3" fontId="64" fillId="0" borderId="0" xfId="0" applyNumberFormat="1" applyFont="1" applyBorder="1" applyAlignment="1">
      <alignment horizontal="right" vertical="center"/>
    </xf>
    <xf numFmtId="6" fontId="64" fillId="0" borderId="0" xfId="0" applyNumberFormat="1" applyFont="1" applyBorder="1" applyAlignment="1">
      <alignment horizontal="right" vertical="center"/>
    </xf>
    <xf numFmtId="6" fontId="64" fillId="0" borderId="0" xfId="0" applyNumberFormat="1" applyFont="1" applyAlignment="1">
      <alignment horizontal="right" vertical="center"/>
    </xf>
    <xf numFmtId="0" fontId="64" fillId="0" borderId="0" xfId="0" applyFont="1" applyAlignment="1">
      <alignment vertical="center"/>
    </xf>
    <xf numFmtId="6" fontId="2" fillId="0" borderId="15" xfId="0" applyNumberFormat="1" applyFont="1" applyBorder="1"/>
    <xf numFmtId="3" fontId="64" fillId="0" borderId="39" xfId="0" applyNumberFormat="1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3" fontId="69" fillId="0" borderId="0" xfId="0" applyNumberFormat="1" applyFont="1" applyBorder="1" applyAlignment="1">
      <alignment horizontal="right" vertical="top"/>
    </xf>
    <xf numFmtId="6" fontId="69" fillId="0" borderId="0" xfId="0" applyNumberFormat="1" applyFont="1" applyBorder="1" applyAlignment="1">
      <alignment horizontal="right"/>
    </xf>
    <xf numFmtId="6" fontId="69" fillId="0" borderId="0" xfId="0" applyNumberFormat="1" applyFont="1" applyBorder="1" applyAlignment="1">
      <alignment horizontal="right" indent="1"/>
    </xf>
    <xf numFmtId="0" fontId="69" fillId="0" borderId="0" xfId="0" applyFont="1" applyBorder="1"/>
    <xf numFmtId="6" fontId="64" fillId="0" borderId="48" xfId="0" applyNumberFormat="1" applyFont="1" applyBorder="1" applyAlignment="1">
      <alignment horizontal="right"/>
    </xf>
    <xf numFmtId="0" fontId="25" fillId="9" borderId="0" xfId="0" applyFont="1" applyFill="1" applyBorder="1" applyAlignment="1">
      <alignment horizontal="center" wrapText="1"/>
    </xf>
    <xf numFmtId="0" fontId="6" fillId="9" borderId="0" xfId="0" applyFont="1" applyFill="1"/>
    <xf numFmtId="6" fontId="0" fillId="0" borderId="20" xfId="0" applyNumberFormat="1" applyBorder="1"/>
    <xf numFmtId="6" fontId="0" fillId="0" borderId="42" xfId="0" applyNumberFormat="1" applyBorder="1" applyAlignment="1">
      <alignment horizontal="center"/>
    </xf>
    <xf numFmtId="0" fontId="6" fillId="14" borderId="0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6" fillId="13" borderId="0" xfId="1" applyFont="1" applyFill="1" applyBorder="1" applyAlignment="1">
      <alignment horizontal="center"/>
    </xf>
    <xf numFmtId="14" fontId="3" fillId="9" borderId="0" xfId="0" applyNumberFormat="1" applyFont="1" applyFill="1" applyAlignment="1">
      <alignment horizontal="center"/>
    </xf>
    <xf numFmtId="37" fontId="6" fillId="0" borderId="0" xfId="0" applyNumberFormat="1" applyFont="1" applyFill="1"/>
    <xf numFmtId="9" fontId="12" fillId="16" borderId="0" xfId="0" applyNumberFormat="1" applyFont="1" applyFill="1" applyBorder="1" applyAlignment="1">
      <alignment horizontal="center" wrapText="1"/>
    </xf>
    <xf numFmtId="0" fontId="6" fillId="0" borderId="0" xfId="0" quotePrefix="1" applyFont="1"/>
    <xf numFmtId="37" fontId="5" fillId="0" borderId="0" xfId="0" applyNumberFormat="1" applyFont="1" applyFill="1" applyBorder="1"/>
    <xf numFmtId="0" fontId="6" fillId="0" borderId="24" xfId="1" applyFont="1" applyFill="1" applyBorder="1" applyAlignment="1">
      <alignment horizontal="left" vertical="center" indent="1"/>
    </xf>
    <xf numFmtId="0" fontId="8" fillId="0" borderId="0" xfId="0" applyFont="1" applyFill="1"/>
    <xf numFmtId="0" fontId="52" fillId="15" borderId="0" xfId="0" applyFont="1" applyFill="1"/>
    <xf numFmtId="0" fontId="73" fillId="15" borderId="0" xfId="0" applyFont="1" applyFill="1"/>
    <xf numFmtId="14" fontId="52" fillId="1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74" fillId="5" borderId="0" xfId="0" applyFont="1" applyFill="1"/>
    <xf numFmtId="0" fontId="75" fillId="5" borderId="0" xfId="0" applyFont="1" applyFill="1"/>
    <xf numFmtId="14" fontId="74" fillId="5" borderId="0" xfId="0" applyNumberFormat="1" applyFont="1" applyFill="1" applyAlignment="1">
      <alignment horizontal="center"/>
    </xf>
    <xf numFmtId="0" fontId="42" fillId="0" borderId="0" xfId="0" applyFont="1"/>
    <xf numFmtId="37" fontId="6" fillId="5" borderId="0" xfId="0" applyNumberFormat="1" applyFont="1" applyFill="1"/>
    <xf numFmtId="0" fontId="6" fillId="5" borderId="8" xfId="0" applyFont="1" applyFill="1" applyBorder="1"/>
    <xf numFmtId="5" fontId="6" fillId="5" borderId="8" xfId="0" applyNumberFormat="1" applyFont="1" applyFill="1" applyBorder="1"/>
    <xf numFmtId="0" fontId="65" fillId="0" borderId="0" xfId="0" applyFont="1" applyAlignment="1"/>
    <xf numFmtId="178" fontId="0" fillId="0" borderId="0" xfId="7" applyNumberFormat="1" applyFont="1" applyAlignment="1"/>
    <xf numFmtId="179" fontId="0" fillId="0" borderId="0" xfId="0" applyNumberFormat="1"/>
    <xf numFmtId="0" fontId="6" fillId="5" borderId="25" xfId="1" applyFont="1" applyFill="1" applyBorder="1" applyAlignment="1">
      <alignment horizontal="left" vertical="center"/>
    </xf>
    <xf numFmtId="0" fontId="48" fillId="5" borderId="1" xfId="1" applyFont="1" applyFill="1" applyBorder="1"/>
    <xf numFmtId="37" fontId="8" fillId="5" borderId="1" xfId="1" applyNumberFormat="1" applyFont="1" applyFill="1" applyBorder="1" applyAlignment="1">
      <alignment horizontal="center" vertical="center"/>
    </xf>
    <xf numFmtId="37" fontId="6" fillId="5" borderId="1" xfId="1" applyNumberFormat="1" applyFont="1" applyFill="1" applyBorder="1" applyAlignment="1">
      <alignment horizontal="center" vertical="center"/>
    </xf>
    <xf numFmtId="37" fontId="6" fillId="5" borderId="27" xfId="1" applyNumberFormat="1" applyFont="1" applyFill="1" applyBorder="1" applyAlignment="1">
      <alignment horizontal="center" vertical="center"/>
    </xf>
    <xf numFmtId="37" fontId="9" fillId="2" borderId="1" xfId="1" applyNumberFormat="1" applyFont="1" applyFill="1" applyBorder="1" applyAlignment="1">
      <alignment horizontal="center" vertical="center"/>
    </xf>
    <xf numFmtId="37" fontId="8" fillId="2" borderId="1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27" xfId="1" applyNumberFormat="1" applyFont="1" applyFill="1" applyBorder="1" applyAlignment="1">
      <alignment horizontal="center" vertical="center"/>
    </xf>
    <xf numFmtId="5" fontId="5" fillId="0" borderId="8" xfId="0" applyNumberFormat="1" applyFont="1" applyFill="1" applyBorder="1"/>
    <xf numFmtId="5" fontId="6" fillId="5" borderId="0" xfId="0" applyNumberFormat="1" applyFont="1" applyFill="1" applyBorder="1"/>
    <xf numFmtId="0" fontId="8" fillId="17" borderId="3" xfId="0" applyFont="1" applyFill="1" applyBorder="1"/>
    <xf numFmtId="5" fontId="8" fillId="17" borderId="3" xfId="0" applyNumberFormat="1" applyFont="1" applyFill="1" applyBorder="1"/>
    <xf numFmtId="180" fontId="8" fillId="17" borderId="3" xfId="0" applyNumberFormat="1" applyFont="1" applyFill="1" applyBorder="1"/>
    <xf numFmtId="0" fontId="17" fillId="17" borderId="0" xfId="0" applyFont="1" applyFill="1"/>
    <xf numFmtId="0" fontId="8" fillId="17" borderId="0" xfId="0" applyFont="1" applyFill="1"/>
    <xf numFmtId="9" fontId="8" fillId="17" borderId="0" xfId="0" applyNumberFormat="1" applyFont="1" applyFill="1"/>
    <xf numFmtId="9" fontId="8" fillId="17" borderId="0" xfId="7" applyFont="1" applyFill="1"/>
    <xf numFmtId="5" fontId="8" fillId="17" borderId="0" xfId="0" applyNumberFormat="1" applyFont="1" applyFill="1"/>
    <xf numFmtId="0" fontId="8" fillId="17" borderId="8" xfId="0" applyFont="1" applyFill="1" applyBorder="1"/>
    <xf numFmtId="5" fontId="8" fillId="17" borderId="8" xfId="0" applyNumberFormat="1" applyFont="1" applyFill="1" applyBorder="1"/>
    <xf numFmtId="0" fontId="8" fillId="11" borderId="8" xfId="0" applyFont="1" applyFill="1" applyBorder="1"/>
    <xf numFmtId="0" fontId="17" fillId="11" borderId="0" xfId="0" applyFont="1" applyFill="1" applyBorder="1"/>
    <xf numFmtId="0" fontId="8" fillId="11" borderId="0" xfId="0" applyFont="1" applyFill="1" applyBorder="1"/>
    <xf numFmtId="9" fontId="8" fillId="11" borderId="0" xfId="0" applyNumberFormat="1" applyFont="1" applyFill="1" applyBorder="1"/>
    <xf numFmtId="9" fontId="17" fillId="11" borderId="0" xfId="0" applyNumberFormat="1" applyFont="1" applyFill="1" applyBorder="1"/>
    <xf numFmtId="5" fontId="8" fillId="11" borderId="0" xfId="0" applyNumberFormat="1" applyFont="1" applyFill="1" applyBorder="1"/>
    <xf numFmtId="0" fontId="5" fillId="0" borderId="0" xfId="0" applyFont="1" applyFill="1"/>
    <xf numFmtId="0" fontId="25" fillId="9" borderId="0" xfId="0" applyFont="1" applyFill="1"/>
    <xf numFmtId="0" fontId="26" fillId="9" borderId="0" xfId="0" applyFont="1" applyFill="1"/>
    <xf numFmtId="0" fontId="25" fillId="9" borderId="0" xfId="0" applyFont="1" applyFill="1" applyAlignment="1">
      <alignment horizontal="center"/>
    </xf>
    <xf numFmtId="172" fontId="8" fillId="11" borderId="0" xfId="0" applyNumberFormat="1" applyFont="1" applyFill="1" applyBorder="1"/>
    <xf numFmtId="172" fontId="6" fillId="2" borderId="8" xfId="0" applyNumberFormat="1" applyFont="1" applyFill="1" applyBorder="1"/>
    <xf numFmtId="37" fontId="6" fillId="5" borderId="0" xfId="0" applyNumberFormat="1" applyFont="1" applyFill="1" applyAlignment="1">
      <alignment horizontal="right"/>
    </xf>
    <xf numFmtId="179" fontId="2" fillId="0" borderId="0" xfId="0" applyNumberFormat="1" applyFont="1"/>
    <xf numFmtId="179" fontId="65" fillId="0" borderId="0" xfId="0" applyNumberFormat="1" applyFont="1"/>
    <xf numFmtId="179" fontId="0" fillId="0" borderId="1" xfId="0" applyNumberFormat="1" applyBorder="1"/>
    <xf numFmtId="5" fontId="8" fillId="2" borderId="0" xfId="0" applyNumberFormat="1" applyFont="1" applyFill="1" applyBorder="1"/>
    <xf numFmtId="5" fontId="8" fillId="5" borderId="0" xfId="0" applyNumberFormat="1" applyFont="1" applyFill="1" applyBorder="1"/>
    <xf numFmtId="5" fontId="6" fillId="2" borderId="8" xfId="0" applyNumberFormat="1" applyFont="1" applyFill="1" applyBorder="1" applyAlignment="1">
      <alignment horizontal="right"/>
    </xf>
    <xf numFmtId="0" fontId="8" fillId="11" borderId="5" xfId="0" applyFont="1" applyFill="1" applyBorder="1"/>
    <xf numFmtId="166" fontId="8" fillId="11" borderId="5" xfId="0" applyNumberFormat="1" applyFont="1" applyFill="1" applyBorder="1"/>
    <xf numFmtId="0" fontId="8" fillId="11" borderId="1" xfId="0" applyFont="1" applyFill="1" applyBorder="1"/>
    <xf numFmtId="169" fontId="8" fillId="11" borderId="1" xfId="0" applyNumberFormat="1" applyFont="1" applyFill="1" applyBorder="1"/>
    <xf numFmtId="166" fontId="8" fillId="11" borderId="1" xfId="0" applyNumberFormat="1" applyFont="1" applyFill="1" applyBorder="1"/>
    <xf numFmtId="0" fontId="8" fillId="0" borderId="8" xfId="0" applyFont="1" applyFill="1" applyBorder="1"/>
    <xf numFmtId="5" fontId="8" fillId="0" borderId="8" xfId="0" applyNumberFormat="1" applyFont="1" applyFill="1" applyBorder="1"/>
    <xf numFmtId="37" fontId="5" fillId="0" borderId="0" xfId="0" applyNumberFormat="1" applyFont="1"/>
    <xf numFmtId="181" fontId="5" fillId="0" borderId="0" xfId="0" applyNumberFormat="1" applyFont="1"/>
    <xf numFmtId="37" fontId="5" fillId="5" borderId="0" xfId="0" applyNumberFormat="1" applyFont="1" applyFill="1"/>
    <xf numFmtId="0" fontId="5" fillId="5" borderId="8" xfId="0" applyFont="1" applyFill="1" applyBorder="1"/>
    <xf numFmtId="5" fontId="5" fillId="5" borderId="8" xfId="0" applyNumberFormat="1" applyFont="1" applyFill="1" applyBorder="1"/>
    <xf numFmtId="5" fontId="5" fillId="5" borderId="8" xfId="0" applyNumberFormat="1" applyFont="1" applyFill="1" applyBorder="1" applyAlignment="1">
      <alignment horizontal="center"/>
    </xf>
    <xf numFmtId="0" fontId="11" fillId="17" borderId="8" xfId="0" applyFont="1" applyFill="1" applyBorder="1"/>
    <xf numFmtId="5" fontId="11" fillId="17" borderId="8" xfId="0" applyNumberFormat="1" applyFont="1" applyFill="1" applyBorder="1"/>
    <xf numFmtId="0" fontId="76" fillId="17" borderId="0" xfId="0" applyFont="1" applyFill="1"/>
    <xf numFmtId="0" fontId="11" fillId="17" borderId="0" xfId="0" applyFont="1" applyFill="1"/>
    <xf numFmtId="9" fontId="11" fillId="17" borderId="0" xfId="0" applyNumberFormat="1" applyFont="1" applyFill="1"/>
    <xf numFmtId="9" fontId="76" fillId="17" borderId="0" xfId="0" applyNumberFormat="1" applyFont="1" applyFill="1"/>
    <xf numFmtId="5" fontId="11" fillId="17" borderId="0" xfId="0" applyNumberFormat="1" applyFont="1" applyFill="1"/>
    <xf numFmtId="5" fontId="11" fillId="17" borderId="0" xfId="0" applyNumberFormat="1" applyFont="1" applyFill="1" applyAlignment="1">
      <alignment horizontal="center"/>
    </xf>
    <xf numFmtId="9" fontId="5" fillId="0" borderId="0" xfId="0" applyNumberFormat="1" applyFont="1"/>
    <xf numFmtId="5" fontId="11" fillId="17" borderId="8" xfId="0" applyNumberFormat="1" applyFont="1" applyFill="1" applyBorder="1" applyAlignment="1">
      <alignment horizontal="center"/>
    </xf>
    <xf numFmtId="0" fontId="11" fillId="5" borderId="0" xfId="0" applyFont="1" applyFill="1"/>
    <xf numFmtId="0" fontId="5" fillId="5" borderId="0" xfId="0" applyFont="1" applyFill="1"/>
    <xf numFmtId="14" fontId="11" fillId="5" borderId="0" xfId="0" applyNumberFormat="1" applyFont="1" applyFill="1" applyAlignment="1">
      <alignment horizontal="center"/>
    </xf>
    <xf numFmtId="37" fontId="5" fillId="0" borderId="0" xfId="0" applyNumberFormat="1" applyFont="1" applyFill="1"/>
    <xf numFmtId="0" fontId="18" fillId="0" borderId="0" xfId="0" applyFont="1" applyFill="1"/>
    <xf numFmtId="37" fontId="5" fillId="2" borderId="0" xfId="0" applyNumberFormat="1" applyFont="1" applyFill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8" fillId="0" borderId="0" xfId="0" applyNumberFormat="1" applyFont="1" applyFill="1"/>
    <xf numFmtId="5" fontId="8" fillId="11" borderId="0" xfId="0" applyNumberFormat="1" applyFont="1" applyFill="1" applyBorder="1" applyAlignment="1">
      <alignment horizontal="center"/>
    </xf>
    <xf numFmtId="9" fontId="76" fillId="11" borderId="0" xfId="0" applyNumberFormat="1" applyFont="1" applyFill="1" applyBorder="1"/>
    <xf numFmtId="172" fontId="6" fillId="0" borderId="0" xfId="0" applyNumberFormat="1" applyFont="1"/>
    <xf numFmtId="37" fontId="77" fillId="0" borderId="0" xfId="0" applyNumberFormat="1" applyFont="1" applyFill="1"/>
    <xf numFmtId="172" fontId="6" fillId="2" borderId="0" xfId="0" applyNumberFormat="1" applyFont="1" applyFill="1"/>
    <xf numFmtId="0" fontId="5" fillId="2" borderId="24" xfId="1" applyFont="1" applyFill="1" applyBorder="1" applyAlignment="1">
      <alignment horizontal="left" vertical="center" inden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5" fontId="11" fillId="0" borderId="0" xfId="0" applyNumberFormat="1" applyFont="1" applyBorder="1" applyAlignment="1">
      <alignment horizontal="center" vertical="center"/>
    </xf>
    <xf numFmtId="5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5" fontId="11" fillId="0" borderId="3" xfId="0" applyNumberFormat="1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center" vertical="center"/>
    </xf>
    <xf numFmtId="37" fontId="11" fillId="0" borderId="5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5" fontId="11" fillId="0" borderId="1" xfId="0" applyNumberFormat="1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5" fillId="0" borderId="3" xfId="0" applyFont="1" applyBorder="1" applyAlignment="1">
      <alignment vertical="center"/>
    </xf>
    <xf numFmtId="37" fontId="11" fillId="0" borderId="3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10" fontId="11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8" fontId="5" fillId="0" borderId="0" xfId="0" applyNumberFormat="1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2" borderId="24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37" fontId="11" fillId="2" borderId="0" xfId="1" applyNumberFormat="1" applyFont="1" applyFill="1" applyBorder="1" applyAlignment="1">
      <alignment horizontal="center" vertical="center"/>
    </xf>
    <xf numFmtId="37" fontId="7" fillId="2" borderId="0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37" fontId="11" fillId="2" borderId="3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37" fontId="5" fillId="2" borderId="0" xfId="1" applyNumberFormat="1" applyFont="1" applyFill="1" applyBorder="1" applyAlignment="1">
      <alignment horizontal="center" vertical="center"/>
    </xf>
    <xf numFmtId="37" fontId="5" fillId="2" borderId="26" xfId="1" applyNumberFormat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left" vertical="center"/>
    </xf>
    <xf numFmtId="0" fontId="47" fillId="5" borderId="3" xfId="1" applyFont="1" applyFill="1" applyBorder="1"/>
    <xf numFmtId="37" fontId="11" fillId="5" borderId="3" xfId="1" applyNumberFormat="1" applyFont="1" applyFill="1" applyBorder="1" applyAlignment="1">
      <alignment horizontal="center" vertical="center"/>
    </xf>
    <xf numFmtId="37" fontId="5" fillId="5" borderId="3" xfId="1" applyNumberFormat="1" applyFont="1" applyFill="1" applyBorder="1" applyAlignment="1">
      <alignment horizontal="center" vertical="center"/>
    </xf>
    <xf numFmtId="37" fontId="5" fillId="5" borderId="28" xfId="1" applyNumberFormat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left" vertical="center"/>
    </xf>
    <xf numFmtId="37" fontId="11" fillId="2" borderId="5" xfId="1" applyNumberFormat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left" vertical="center" indent="1"/>
    </xf>
    <xf numFmtId="0" fontId="11" fillId="5" borderId="29" xfId="1" applyFont="1" applyFill="1" applyBorder="1" applyAlignment="1">
      <alignment horizontal="left" vertical="center"/>
    </xf>
    <xf numFmtId="164" fontId="5" fillId="2" borderId="5" xfId="1" applyNumberFormat="1" applyFont="1" applyFill="1" applyBorder="1"/>
    <xf numFmtId="166" fontId="5" fillId="0" borderId="0" xfId="0" applyNumberFormat="1" applyFont="1"/>
    <xf numFmtId="0" fontId="5" fillId="9" borderId="0" xfId="0" applyFont="1" applyFill="1"/>
    <xf numFmtId="14" fontId="11" fillId="9" borderId="0" xfId="0" applyNumberFormat="1" applyFont="1" applyFill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5" fontId="5" fillId="2" borderId="0" xfId="0" applyNumberFormat="1" applyFont="1" applyFill="1" applyBorder="1"/>
    <xf numFmtId="3" fontId="71" fillId="2" borderId="0" xfId="0" applyNumberFormat="1" applyFont="1" applyFill="1" applyAlignment="1">
      <alignment horizontal="right"/>
    </xf>
    <xf numFmtId="5" fontId="8" fillId="11" borderId="1" xfId="0" applyNumberFormat="1" applyFont="1" applyFill="1" applyBorder="1"/>
    <xf numFmtId="0" fontId="6" fillId="2" borderId="14" xfId="0" applyFont="1" applyFill="1" applyBorder="1" applyAlignment="1">
      <alignment horizontal="left"/>
    </xf>
    <xf numFmtId="177" fontId="6" fillId="2" borderId="15" xfId="0" applyNumberFormat="1" applyFont="1" applyFill="1" applyBorder="1"/>
    <xf numFmtId="177" fontId="6" fillId="2" borderId="15" xfId="0" applyNumberFormat="1" applyFont="1" applyFill="1" applyBorder="1" applyAlignment="1">
      <alignment horizontal="right"/>
    </xf>
    <xf numFmtId="0" fontId="8" fillId="2" borderId="23" xfId="0" applyFont="1" applyFill="1" applyBorder="1"/>
    <xf numFmtId="0" fontId="8" fillId="2" borderId="10" xfId="0" applyFont="1" applyFill="1" applyBorder="1"/>
    <xf numFmtId="177" fontId="8" fillId="2" borderId="22" xfId="0" applyNumberFormat="1" applyFont="1" applyFill="1" applyBorder="1"/>
    <xf numFmtId="5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5" fontId="6" fillId="2" borderId="44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8" fillId="0" borderId="35" xfId="0" applyFont="1" applyBorder="1"/>
    <xf numFmtId="0" fontId="78" fillId="0" borderId="36" xfId="0" applyFont="1" applyBorder="1"/>
    <xf numFmtId="8" fontId="78" fillId="0" borderId="37" xfId="0" applyNumberFormat="1" applyFont="1" applyBorder="1"/>
    <xf numFmtId="6" fontId="79" fillId="0" borderId="3" xfId="0" applyNumberFormat="1" applyFont="1" applyBorder="1" applyAlignment="1">
      <alignment horizontal="right"/>
    </xf>
    <xf numFmtId="0" fontId="80" fillId="0" borderId="4" xfId="0" applyFont="1" applyBorder="1" applyAlignment="1">
      <alignment horizontal="left"/>
    </xf>
    <xf numFmtId="0" fontId="79" fillId="0" borderId="3" xfId="0" applyFont="1" applyBorder="1" applyAlignment="1">
      <alignment horizontal="left"/>
    </xf>
    <xf numFmtId="3" fontId="79" fillId="0" borderId="3" xfId="0" applyNumberFormat="1" applyFont="1" applyBorder="1" applyAlignment="1">
      <alignment horizontal="right" vertical="top"/>
    </xf>
    <xf numFmtId="6" fontId="79" fillId="0" borderId="3" xfId="0" applyNumberFormat="1" applyFont="1" applyBorder="1" applyAlignment="1">
      <alignment horizontal="right" indent="1"/>
    </xf>
    <xf numFmtId="0" fontId="79" fillId="0" borderId="28" xfId="0" applyFont="1" applyBorder="1"/>
    <xf numFmtId="0" fontId="81" fillId="0" borderId="0" xfId="0" applyFont="1"/>
    <xf numFmtId="0" fontId="81" fillId="0" borderId="0" xfId="0" applyFont="1" applyAlignment="1">
      <alignment vertical="center"/>
    </xf>
    <xf numFmtId="37" fontId="8" fillId="0" borderId="0" xfId="0" applyNumberFormat="1" applyFont="1" applyFill="1"/>
    <xf numFmtId="37" fontId="61" fillId="0" borderId="0" xfId="0" applyNumberFormat="1" applyFont="1" applyFill="1"/>
    <xf numFmtId="44" fontId="6" fillId="13" borderId="0" xfId="6" applyFont="1" applyFill="1"/>
    <xf numFmtId="0" fontId="6" fillId="0" borderId="0" xfId="0" applyFont="1" applyFill="1" applyAlignment="1">
      <alignment horizontal="right"/>
    </xf>
    <xf numFmtId="37" fontId="10" fillId="0" borderId="0" xfId="0" applyNumberFormat="1" applyFont="1" applyFill="1"/>
    <xf numFmtId="37" fontId="6" fillId="0" borderId="0" xfId="0" applyNumberFormat="1" applyFont="1" applyFill="1" applyBorder="1"/>
    <xf numFmtId="5" fontId="6" fillId="0" borderId="0" xfId="0" applyNumberFormat="1" applyFont="1" applyFill="1"/>
    <xf numFmtId="41" fontId="10" fillId="0" borderId="0" xfId="0" applyNumberFormat="1" applyFont="1" applyFill="1"/>
    <xf numFmtId="166" fontId="9" fillId="0" borderId="0" xfId="0" applyNumberFormat="1" applyFont="1" applyFill="1"/>
    <xf numFmtId="166" fontId="27" fillId="0" borderId="0" xfId="0" applyNumberFormat="1" applyFont="1" applyFill="1"/>
    <xf numFmtId="5" fontId="10" fillId="0" borderId="0" xfId="0" applyNumberFormat="1" applyFont="1" applyFill="1"/>
    <xf numFmtId="164" fontId="7" fillId="0" borderId="0" xfId="0" applyNumberFormat="1" applyFont="1" applyFill="1"/>
    <xf numFmtId="5" fontId="11" fillId="0" borderId="0" xfId="0" applyNumberFormat="1" applyFont="1" applyFill="1"/>
    <xf numFmtId="164" fontId="9" fillId="0" borderId="0" xfId="0" applyNumberFormat="1" applyFont="1"/>
    <xf numFmtId="10" fontId="6" fillId="0" borderId="0" xfId="0" applyNumberFormat="1" applyFont="1"/>
    <xf numFmtId="170" fontId="6" fillId="0" borderId="0" xfId="0" applyNumberFormat="1" applyFont="1"/>
    <xf numFmtId="164" fontId="9" fillId="0" borderId="3" xfId="0" applyNumberFormat="1" applyFont="1" applyBorder="1"/>
    <xf numFmtId="166" fontId="6" fillId="0" borderId="0" xfId="0" applyNumberFormat="1" applyFont="1" applyFill="1"/>
    <xf numFmtId="37" fontId="6" fillId="0" borderId="5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82" fillId="2" borderId="14" xfId="0" applyFont="1" applyFill="1" applyBorder="1" applyAlignment="1">
      <alignment horizontal="left"/>
    </xf>
    <xf numFmtId="0" fontId="82" fillId="2" borderId="0" xfId="0" applyFont="1" applyFill="1" applyBorder="1" applyAlignment="1">
      <alignment horizontal="center"/>
    </xf>
    <xf numFmtId="177" fontId="82" fillId="2" borderId="15" xfId="0" applyNumberFormat="1" applyFont="1" applyFill="1" applyBorder="1"/>
    <xf numFmtId="177" fontId="82" fillId="2" borderId="15" xfId="0" applyNumberFormat="1" applyFont="1" applyFill="1" applyBorder="1" applyAlignment="1">
      <alignment horizontal="right"/>
    </xf>
    <xf numFmtId="0" fontId="83" fillId="2" borderId="23" xfId="0" applyFont="1" applyFill="1" applyBorder="1"/>
    <xf numFmtId="0" fontId="83" fillId="2" borderId="10" xfId="0" applyFont="1" applyFill="1" applyBorder="1"/>
    <xf numFmtId="177" fontId="83" fillId="2" borderId="22" xfId="0" applyNumberFormat="1" applyFont="1" applyFill="1" applyBorder="1"/>
    <xf numFmtId="0" fontId="81" fillId="0" borderId="11" xfId="0" applyFont="1" applyBorder="1" applyAlignment="1">
      <alignment vertical="center"/>
    </xf>
    <xf numFmtId="0" fontId="81" fillId="0" borderId="13" xfId="0" applyFont="1" applyBorder="1"/>
    <xf numFmtId="6" fontId="81" fillId="0" borderId="15" xfId="0" applyNumberFormat="1" applyFont="1" applyBorder="1"/>
    <xf numFmtId="6" fontId="81" fillId="0" borderId="20" xfId="0" applyNumberFormat="1" applyFont="1" applyBorder="1"/>
    <xf numFmtId="6" fontId="81" fillId="0" borderId="42" xfId="0" applyNumberFormat="1" applyFont="1" applyBorder="1" applyAlignment="1">
      <alignment horizontal="center"/>
    </xf>
    <xf numFmtId="6" fontId="6" fillId="14" borderId="0" xfId="6" applyNumberFormat="1" applyFont="1" applyFill="1"/>
    <xf numFmtId="6" fontId="6" fillId="12" borderId="0" xfId="6" applyNumberFormat="1" applyFont="1" applyFill="1"/>
    <xf numFmtId="6" fontId="6" fillId="13" borderId="0" xfId="6" applyNumberFormat="1" applyFont="1" applyFill="1"/>
    <xf numFmtId="0" fontId="5" fillId="18" borderId="0" xfId="0" applyFont="1" applyFill="1"/>
    <xf numFmtId="0" fontId="18" fillId="18" borderId="0" xfId="0" applyFont="1" applyFill="1"/>
    <xf numFmtId="37" fontId="82" fillId="2" borderId="0" xfId="0" applyNumberFormat="1" applyFont="1" applyFill="1"/>
    <xf numFmtId="5" fontId="8" fillId="18" borderId="8" xfId="0" applyNumberFormat="1" applyFont="1" applyFill="1" applyBorder="1"/>
    <xf numFmtId="0" fontId="6" fillId="18" borderId="0" xfId="0" applyFont="1" applyFill="1"/>
    <xf numFmtId="14" fontId="18" fillId="18" borderId="0" xfId="0" applyNumberFormat="1" applyFont="1" applyFill="1" applyAlignment="1">
      <alignment horizontal="center"/>
    </xf>
    <xf numFmtId="5" fontId="6" fillId="18" borderId="0" xfId="0" applyNumberFormat="1" applyFont="1" applyFill="1"/>
    <xf numFmtId="37" fontId="6" fillId="18" borderId="0" xfId="0" applyNumberFormat="1" applyFont="1" applyFill="1"/>
    <xf numFmtId="0" fontId="6" fillId="18" borderId="8" xfId="0" applyFont="1" applyFill="1" applyBorder="1"/>
    <xf numFmtId="5" fontId="6" fillId="18" borderId="8" xfId="0" applyNumberFormat="1" applyFont="1" applyFill="1" applyBorder="1"/>
    <xf numFmtId="0" fontId="9" fillId="18" borderId="0" xfId="0" applyFont="1" applyFill="1"/>
    <xf numFmtId="168" fontId="9" fillId="18" borderId="0" xfId="0" applyNumberFormat="1" applyFont="1" applyFill="1"/>
    <xf numFmtId="0" fontId="8" fillId="18" borderId="8" xfId="0" applyFont="1" applyFill="1" applyBorder="1"/>
    <xf numFmtId="5" fontId="6" fillId="2" borderId="0" xfId="1" applyNumberFormat="1" applyFont="1" applyFill="1" applyBorder="1" applyAlignment="1">
      <alignment horizontal="right" vertical="center"/>
    </xf>
    <xf numFmtId="5" fontId="8" fillId="2" borderId="8" xfId="0" applyNumberFormat="1" applyFont="1" applyFill="1" applyBorder="1" applyAlignment="1">
      <alignment horizontal="right"/>
    </xf>
    <xf numFmtId="0" fontId="8" fillId="14" borderId="8" xfId="0" applyFont="1" applyFill="1" applyBorder="1"/>
    <xf numFmtId="5" fontId="8" fillId="14" borderId="8" xfId="0" applyNumberFormat="1" applyFont="1" applyFill="1" applyBorder="1"/>
    <xf numFmtId="37" fontId="8" fillId="2" borderId="0" xfId="0" applyNumberFormat="1" applyFont="1" applyFill="1" applyBorder="1" applyAlignment="1">
      <alignment horizontal="right"/>
    </xf>
    <xf numFmtId="0" fontId="6" fillId="14" borderId="0" xfId="0" applyFont="1" applyFill="1" applyAlignment="1">
      <alignment horizontal="left" vertical="center"/>
    </xf>
    <xf numFmtId="37" fontId="8" fillId="2" borderId="0" xfId="0" applyNumberFormat="1" applyFont="1" applyFill="1" applyAlignment="1">
      <alignment horizontal="right"/>
    </xf>
    <xf numFmtId="0" fontId="61" fillId="12" borderId="0" xfId="0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166" fontId="5" fillId="0" borderId="0" xfId="0" applyNumberFormat="1" applyFont="1" applyFill="1"/>
    <xf numFmtId="0" fontId="6" fillId="0" borderId="24" xfId="1" applyFont="1" applyBorder="1" applyAlignment="1">
      <alignment horizontal="left" vertical="center" indent="1"/>
    </xf>
    <xf numFmtId="0" fontId="6" fillId="0" borderId="25" xfId="1" applyFont="1" applyBorder="1" applyAlignment="1">
      <alignment horizontal="left" vertical="center" indent="1"/>
    </xf>
    <xf numFmtId="0" fontId="5" fillId="0" borderId="24" xfId="1" applyFont="1" applyBorder="1" applyAlignment="1">
      <alignment horizontal="left" vertical="center" indent="1"/>
    </xf>
    <xf numFmtId="5" fontId="5" fillId="0" borderId="0" xfId="0" applyNumberFormat="1" applyFont="1" applyFill="1"/>
    <xf numFmtId="164" fontId="5" fillId="19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5" fontId="6" fillId="0" borderId="7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5" fontId="5" fillId="0" borderId="3" xfId="0" applyNumberFormat="1" applyFont="1" applyFill="1" applyBorder="1" applyAlignment="1">
      <alignment horizontal="center" vertical="center"/>
    </xf>
    <xf numFmtId="0" fontId="8" fillId="11" borderId="0" xfId="0" applyFont="1" applyFill="1"/>
    <xf numFmtId="0" fontId="6" fillId="11" borderId="0" xfId="0" applyFont="1" applyFill="1"/>
    <xf numFmtId="5" fontId="8" fillId="11" borderId="0" xfId="0" applyNumberFormat="1" applyFont="1" applyFill="1"/>
    <xf numFmtId="182" fontId="6" fillId="0" borderId="0" xfId="0" applyNumberFormat="1" applyFont="1" applyFill="1"/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21" fillId="0" borderId="24" xfId="1" applyFont="1" applyFill="1" applyBorder="1" applyAlignment="1">
      <alignment horizontal="left" vertical="center" indent="1"/>
    </xf>
    <xf numFmtId="0" fontId="6" fillId="0" borderId="4" xfId="1" applyFont="1" applyFill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9" borderId="5" xfId="1" applyFont="1" applyFill="1" applyBorder="1" applyAlignment="1">
      <alignment horizontal="center"/>
    </xf>
    <xf numFmtId="0" fontId="3" fillId="9" borderId="30" xfId="1" applyFont="1" applyFill="1" applyBorder="1" applyAlignment="1">
      <alignment horizontal="center"/>
    </xf>
    <xf numFmtId="0" fontId="3" fillId="9" borderId="0" xfId="1" applyFont="1" applyFill="1" applyBorder="1" applyAlignment="1">
      <alignment horizontal="center" vertical="center" wrapText="1"/>
    </xf>
    <xf numFmtId="0" fontId="52" fillId="15" borderId="5" xfId="1" applyFont="1" applyFill="1" applyBorder="1" applyAlignment="1">
      <alignment horizontal="center"/>
    </xf>
    <xf numFmtId="0" fontId="55" fillId="7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5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5" fontId="6" fillId="0" borderId="0" xfId="1" applyNumberFormat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left" indent="1"/>
    </xf>
    <xf numFmtId="0" fontId="8" fillId="2" borderId="3" xfId="1" applyFont="1" applyFill="1" applyBorder="1" applyAlignment="1">
      <alignment horizontal="left"/>
    </xf>
    <xf numFmtId="5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3" xfId="1" applyFont="1" applyFill="1" applyBorder="1" applyAlignment="1"/>
    <xf numFmtId="0" fontId="6" fillId="0" borderId="0" xfId="1" applyFont="1" applyFill="1" applyBorder="1" applyAlignment="1"/>
    <xf numFmtId="171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12" borderId="0" xfId="0" applyFont="1" applyFill="1" applyAlignment="1">
      <alignment horizontal="left" vertical="center"/>
    </xf>
    <xf numFmtId="41" fontId="9" fillId="14" borderId="0" xfId="0" applyNumberFormat="1" applyFont="1" applyFill="1"/>
    <xf numFmtId="41" fontId="6" fillId="12" borderId="0" xfId="0" applyNumberFormat="1" applyFont="1" applyFill="1"/>
    <xf numFmtId="41" fontId="6" fillId="14" borderId="0" xfId="0" applyNumberFormat="1" applyFont="1" applyFill="1"/>
    <xf numFmtId="41" fontId="6" fillId="13" borderId="0" xfId="0" applyNumberFormat="1" applyFont="1" applyFill="1"/>
    <xf numFmtId="41" fontId="9" fillId="0" borderId="0" xfId="0" applyNumberFormat="1" applyFont="1" applyFill="1" applyBorder="1"/>
    <xf numFmtId="0" fontId="6" fillId="14" borderId="0" xfId="0" applyFont="1" applyFill="1"/>
    <xf numFmtId="0" fontId="6" fillId="0" borderId="0" xfId="0" applyFont="1" applyAlignment="1">
      <alignment horizontal="right"/>
    </xf>
    <xf numFmtId="37" fontId="6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2" fillId="2" borderId="0" xfId="1" applyFont="1" applyFill="1" applyBorder="1"/>
    <xf numFmtId="0" fontId="4" fillId="2" borderId="24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4" fillId="2" borderId="26" xfId="1" applyNumberFormat="1" applyFont="1" applyFill="1" applyBorder="1" applyAlignment="1">
      <alignment vertical="center"/>
    </xf>
    <xf numFmtId="44" fontId="6" fillId="12" borderId="0" xfId="6" applyFont="1" applyFill="1" applyBorder="1" applyAlignment="1">
      <alignment horizontal="center"/>
    </xf>
    <xf numFmtId="44" fontId="6" fillId="0" borderId="0" xfId="6" applyFont="1" applyBorder="1" applyAlignment="1">
      <alignment horizontal="center"/>
    </xf>
    <xf numFmtId="44" fontId="6" fillId="13" borderId="0" xfId="6" applyFont="1" applyFill="1" applyBorder="1" applyAlignment="1">
      <alignment horizontal="center"/>
    </xf>
    <xf numFmtId="44" fontId="6" fillId="14" borderId="0" xfId="6" applyFont="1" applyFill="1" applyBorder="1" applyAlignment="1">
      <alignment horizontal="center"/>
    </xf>
    <xf numFmtId="44" fontId="6" fillId="10" borderId="0" xfId="6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9" borderId="5" xfId="1" applyFont="1" applyFill="1" applyBorder="1" applyAlignment="1">
      <alignment horizontal="center" vertical="center" wrapText="1"/>
    </xf>
    <xf numFmtId="0" fontId="3" fillId="9" borderId="0" xfId="1" applyFont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/>
    </xf>
    <xf numFmtId="0" fontId="3" fillId="9" borderId="30" xfId="1" applyFont="1" applyFill="1" applyBorder="1" applyAlignment="1">
      <alignment horizontal="center"/>
    </xf>
    <xf numFmtId="0" fontId="52" fillId="15" borderId="5" xfId="1" applyFont="1" applyFill="1" applyBorder="1" applyAlignment="1">
      <alignment horizontal="center"/>
    </xf>
    <xf numFmtId="0" fontId="52" fillId="15" borderId="30" xfId="1" applyFont="1" applyFill="1" applyBorder="1" applyAlignment="1">
      <alignment horizontal="center"/>
    </xf>
    <xf numFmtId="0" fontId="55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/>
    </xf>
    <xf numFmtId="0" fontId="65" fillId="0" borderId="40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3" fillId="9" borderId="21" xfId="0" applyFont="1" applyFill="1" applyBorder="1" applyAlignment="1">
      <alignment horizontal="left" wrapText="1"/>
    </xf>
    <xf numFmtId="0" fontId="53" fillId="0" borderId="32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3" fillId="9" borderId="0" xfId="0" applyFont="1" applyFill="1" applyAlignment="1">
      <alignment horizontal="center" vertical="center"/>
    </xf>
    <xf numFmtId="5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 vertical="center"/>
    </xf>
    <xf numFmtId="171" fontId="6" fillId="0" borderId="0" xfId="1" applyNumberFormat="1" applyFont="1" applyFill="1" applyBorder="1" applyAlignment="1">
      <alignment horizontal="center"/>
    </xf>
    <xf numFmtId="5" fontId="6" fillId="0" borderId="0" xfId="1" applyNumberFormat="1" applyFont="1" applyFill="1" applyBorder="1" applyAlignment="1">
      <alignment horizontal="center"/>
    </xf>
    <xf numFmtId="5" fontId="8" fillId="11" borderId="3" xfId="1" applyNumberFormat="1" applyFont="1" applyFill="1" applyBorder="1" applyAlignment="1">
      <alignment horizontal="center"/>
    </xf>
    <xf numFmtId="0" fontId="8" fillId="11" borderId="3" xfId="1" applyFont="1" applyFill="1" applyBorder="1" applyAlignment="1">
      <alignment horizontal="center"/>
    </xf>
    <xf numFmtId="5" fontId="6" fillId="0" borderId="5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5" fillId="0" borderId="5" xfId="1" applyFont="1" applyBorder="1" applyAlignment="1">
      <alignment horizontal="left" vertical="center" wrapText="1"/>
    </xf>
    <xf numFmtId="5" fontId="6" fillId="0" borderId="0" xfId="1" applyNumberFormat="1" applyFont="1" applyAlignment="1">
      <alignment horizontal="right"/>
    </xf>
    <xf numFmtId="5" fontId="6" fillId="0" borderId="0" xfId="1" applyNumberFormat="1" applyFont="1" applyBorder="1" applyAlignment="1"/>
    <xf numFmtId="0" fontId="6" fillId="0" borderId="0" xfId="1" applyFont="1" applyBorder="1" applyAlignment="1"/>
    <xf numFmtId="0" fontId="8" fillId="0" borderId="3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5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5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33" fillId="11" borderId="3" xfId="1" applyFont="1" applyFill="1" applyBorder="1" applyAlignment="1">
      <alignment horizontal="center"/>
    </xf>
    <xf numFmtId="5" fontId="8" fillId="11" borderId="3" xfId="1" applyNumberFormat="1" applyFont="1" applyFill="1" applyBorder="1" applyAlignment="1">
      <alignment horizontal="right"/>
    </xf>
    <xf numFmtId="0" fontId="8" fillId="11" borderId="3" xfId="1" applyFont="1" applyFill="1" applyBorder="1" applyAlignment="1">
      <alignment horizontal="right"/>
    </xf>
    <xf numFmtId="5" fontId="8" fillId="0" borderId="3" xfId="1" applyNumberFormat="1" applyFont="1" applyBorder="1" applyAlignment="1">
      <alignment horizontal="right"/>
    </xf>
    <xf numFmtId="0" fontId="6" fillId="0" borderId="3" xfId="1" applyFont="1" applyFill="1" applyBorder="1" applyAlignment="1"/>
    <xf numFmtId="5" fontId="6" fillId="0" borderId="3" xfId="1" applyNumberFormat="1" applyFont="1" applyBorder="1" applyAlignment="1"/>
    <xf numFmtId="0" fontId="6" fillId="0" borderId="3" xfId="1" applyFont="1" applyBorder="1" applyAlignment="1"/>
    <xf numFmtId="0" fontId="9" fillId="0" borderId="5" xfId="1" applyFont="1" applyBorder="1" applyAlignment="1">
      <alignment horizontal="left" wrapText="1"/>
    </xf>
    <xf numFmtId="0" fontId="6" fillId="0" borderId="0" xfId="1" applyFont="1" applyBorder="1" applyAlignment="1">
      <alignment horizontal="left" indent="1"/>
    </xf>
    <xf numFmtId="0" fontId="6" fillId="2" borderId="5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32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5" fillId="0" borderId="5" xfId="1" applyFont="1" applyBorder="1" applyAlignment="1">
      <alignment horizontal="left"/>
    </xf>
  </cellXfs>
  <cellStyles count="8">
    <cellStyle name="Comma" xfId="5" builtinId="3"/>
    <cellStyle name="Currency" xfId="6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2" xfId="1" xr:uid="{00000000-0005-0000-0000-000005000000}"/>
    <cellStyle name="Percent" xfId="7" builtinId="5"/>
  </cellStyles>
  <dxfs count="0"/>
  <tableStyles count="0" defaultTableStyle="TableStyleMedium9" defaultPivotStyle="PivotStyleLight16"/>
  <colors>
    <mruColors>
      <color rgb="FF9FF5FF"/>
      <color rgb="FFFFFD78"/>
      <color rgb="FFFF8FD1"/>
      <color rgb="FF004DD6"/>
      <color rgb="FFD5FFFF"/>
      <color rgb="FFFFADD6"/>
      <color rgb="FFFF4F79"/>
      <color rgb="FFFFFC00"/>
      <color rgb="FF00FA41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Montserrat" panose="00000500000000000000" pitchFamily="50" charset="0"/>
              </a:rPr>
              <a:t>Public Benefits by SF</a:t>
            </a:r>
          </a:p>
        </c:rich>
      </c:tx>
      <c:layout>
        <c:manualLayout>
          <c:xMode val="edge"/>
          <c:yMode val="edge"/>
          <c:x val="0.56272579765148201"/>
          <c:y val="5.0072299849122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89127226109201E-2"/>
          <c:y val="4.5732464649918501E-2"/>
          <c:w val="0.35252087306796898"/>
          <c:h val="0.704768962339512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30-4B18-A587-6B5E5F46E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30-4B18-A587-6B5E5F46E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A6-420A-93C2-6C65434906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30-4B18-A587-6B5E5F46E3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A6-420A-93C2-6C65434906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30-4B18-A587-6B5E5F46E3EF}"/>
              </c:ext>
            </c:extLst>
          </c:dPt>
          <c:dLbls>
            <c:dLbl>
              <c:idx val="0"/>
              <c:layout>
                <c:manualLayout>
                  <c:x val="0.12999358265162"/>
                  <c:y val="-0.1328753983877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30-4B18-A587-6B5E5F46E3EF}"/>
                </c:ext>
              </c:extLst>
            </c:dLbl>
            <c:dLbl>
              <c:idx val="1"/>
              <c:layout>
                <c:manualLayout>
                  <c:x val="0.13752944251548199"/>
                  <c:y val="-8.597819895675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30-4B18-A587-6B5E5F46E3EF}"/>
                </c:ext>
              </c:extLst>
            </c:dLbl>
            <c:dLbl>
              <c:idx val="2"/>
              <c:layout>
                <c:manualLayout>
                  <c:x val="0.13941340748144701"/>
                  <c:y val="9.7702498814491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A6-420A-93C2-6C65434906AA}"/>
                </c:ext>
              </c:extLst>
            </c:dLbl>
            <c:dLbl>
              <c:idx val="3"/>
              <c:layout>
                <c:manualLayout>
                  <c:x val="0.13941340748144701"/>
                  <c:y val="0.168048297960925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30-4B18-A587-6B5E5F46E3EF}"/>
                </c:ext>
              </c:extLst>
            </c:dLbl>
            <c:dLbl>
              <c:idx val="4"/>
              <c:layout>
                <c:manualLayout>
                  <c:x val="-7.1590668706689203E-2"/>
                  <c:y val="0.26978439979770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A6-420A-93C2-6C65434906AA}"/>
                </c:ext>
              </c:extLst>
            </c:dLbl>
            <c:dLbl>
              <c:idx val="5"/>
              <c:layout>
                <c:manualLayout>
                  <c:x val="0.13187754761758499"/>
                  <c:y val="-8.988629890933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30-4B18-A587-6B5E5F46E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'Parcel Breakdown'!$B$33:$B$37</c:f>
              <c:strCache>
                <c:ptCount val="5"/>
                <c:pt idx="0">
                  <c:v>Museum</c:v>
                </c:pt>
                <c:pt idx="1">
                  <c:v>New Transit Station</c:v>
                </c:pt>
                <c:pt idx="2">
                  <c:v>Market Ramp</c:v>
                </c:pt>
                <c:pt idx="3">
                  <c:v>Public Space</c:v>
                </c:pt>
                <c:pt idx="4">
                  <c:v>Affordable Housing</c:v>
                </c:pt>
              </c:strCache>
            </c:strRef>
          </c:cat>
          <c:val>
            <c:numRef>
              <c:f>'Parcel Breakdown'!$F$33:$F$37</c:f>
              <c:numCache>
                <c:formatCode>#,##0_);\(#,##0\)</c:formatCode>
                <c:ptCount val="5"/>
                <c:pt idx="0">
                  <c:v>107898</c:v>
                </c:pt>
                <c:pt idx="1">
                  <c:v>37394</c:v>
                </c:pt>
                <c:pt idx="2">
                  <c:v>28607</c:v>
                </c:pt>
                <c:pt idx="3">
                  <c:v>222898</c:v>
                </c:pt>
                <c:pt idx="4">
                  <c:v>1015030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20A-93C2-6C654349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5"/>
        <c:holeSize val="38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854145182129601"/>
          <c:y val="0.64044414455426701"/>
          <c:w val="0.43145854817870399"/>
          <c:h val="0.359555855445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99202192041499"/>
          <c:y val="0.179483128160035"/>
          <c:w val="0.51764808384183303"/>
          <c:h val="0.368436707206217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4F-4498-9B4C-5AB6146207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4F-4498-9B4C-5AB6146207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4F-4498-9B4C-5AB6146207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4F-4498-9B4C-5AB6146207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4F-4498-9B4C-5AB6146207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4F-4498-9B4C-5AB6146207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4F-4498-9B4C-5AB6146207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4F-4498-9B4C-5AB6146207B9}"/>
              </c:ext>
            </c:extLst>
          </c:dPt>
          <c:dLbls>
            <c:dLbl>
              <c:idx val="0"/>
              <c:layout>
                <c:manualLayout>
                  <c:x val="0.12589004733006701"/>
                  <c:y val="-0.1249717787693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F-4498-9B4C-5AB6146207B9}"/>
                </c:ext>
              </c:extLst>
            </c:dLbl>
            <c:dLbl>
              <c:idx val="1"/>
              <c:layout>
                <c:manualLayout>
                  <c:x val="0.15901900715376799"/>
                  <c:y val="0.11789790449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F-4498-9B4C-5AB6146207B9}"/>
                </c:ext>
              </c:extLst>
            </c:dLbl>
            <c:dLbl>
              <c:idx val="2"/>
              <c:layout>
                <c:manualLayout>
                  <c:x val="-0.12589004733006701"/>
                  <c:y val="9.667628168947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4F-4498-9B4C-5AB6146207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4F-4498-9B4C-5AB6146207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4F-4498-9B4C-5AB6146207B9}"/>
                </c:ext>
              </c:extLst>
            </c:dLbl>
            <c:dLbl>
              <c:idx val="5"/>
              <c:layout>
                <c:manualLayout>
                  <c:x val="-0.205399550906951"/>
                  <c:y val="-8.7244449329522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4F-4498-9B4C-5AB6146207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4F-4498-9B4C-5AB6146207B9}"/>
                </c:ext>
              </c:extLst>
            </c:dLbl>
            <c:dLbl>
              <c:idx val="7"/>
              <c:layout>
                <c:manualLayout>
                  <c:x val="-0.12920294331243701"/>
                  <c:y val="-0.11082403022939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4F-4498-9B4C-5AB614620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Sizing'!$B$126:$B$133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Sizing'!$H$126:$H$133</c:f>
              <c:numCache>
                <c:formatCode>#,##0_);\(#,##0\)</c:formatCode>
                <c:ptCount val="8"/>
                <c:pt idx="0">
                  <c:v>230558</c:v>
                </c:pt>
                <c:pt idx="1">
                  <c:v>345836</c:v>
                </c:pt>
                <c:pt idx="2">
                  <c:v>119723</c:v>
                </c:pt>
                <c:pt idx="3">
                  <c:v>0</c:v>
                </c:pt>
                <c:pt idx="4">
                  <c:v>0</c:v>
                </c:pt>
                <c:pt idx="5">
                  <c:v>312500</c:v>
                </c:pt>
                <c:pt idx="6">
                  <c:v>0</c:v>
                </c:pt>
                <c:pt idx="7">
                  <c:v>105428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04F-4498-9B4C-5AB6146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Sizing'!$B$149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Sizing'!$E$149</c:f>
              <c:numCache>
                <c:formatCode>0.0%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728-4758-A854-0EA1567219E2}"/>
            </c:ext>
          </c:extLst>
        </c:ser>
        <c:ser>
          <c:idx val="1"/>
          <c:order val="1"/>
          <c:tx>
            <c:strRef>
              <c:f>'Loan Sizing'!$B$148</c:f>
              <c:strCache>
                <c:ptCount val="1"/>
                <c:pt idx="0">
                  <c:v>Levered IRR</c:v>
                </c:pt>
              </c:strCache>
            </c:strRef>
          </c:tx>
          <c:spPr>
            <a:solidFill>
              <a:srgbClr val="871531">
                <a:alpha val="75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D97-1049-9D6B-D04593413F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Sizing'!$E$148</c:f>
              <c:numCache>
                <c:formatCode>0.0%</c:formatCode>
                <c:ptCount val="1"/>
                <c:pt idx="0">
                  <c:v>0.248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8-4758-A854-0EA1567219E2}"/>
            </c:ext>
          </c:extLst>
        </c:ser>
        <c:ser>
          <c:idx val="2"/>
          <c:order val="2"/>
          <c:tx>
            <c:strRef>
              <c:f>'Loan Sizing'!$B$147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Sizing'!$E$147</c:f>
              <c:numCache>
                <c:formatCode>0.0%</c:formatCode>
                <c:ptCount val="1"/>
                <c:pt idx="0">
                  <c:v>0.151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8-4758-A854-0EA15672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6512000"/>
        <c:axId val="-1546509168"/>
      </c:barChart>
      <c:catAx>
        <c:axId val="-1546512000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46509168"/>
        <c:crosses val="autoZero"/>
        <c:auto val="1"/>
        <c:lblAlgn val="ctr"/>
        <c:lblOffset val="100"/>
        <c:noMultiLvlLbl val="0"/>
      </c:catAx>
      <c:valAx>
        <c:axId val="-1546509168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65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'Loan Sizing'!$B$166:$B$173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Sizing'!$E$166:$E$173</c:f>
              <c:numCache>
                <c:formatCode>0.0%</c:formatCode>
                <c:ptCount val="8"/>
                <c:pt idx="0">
                  <c:v>2.0455149429676377E-2</c:v>
                </c:pt>
                <c:pt idx="1">
                  <c:v>6.5256959097777234E-2</c:v>
                </c:pt>
                <c:pt idx="2">
                  <c:v>0.28489890777632032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9.3636425794762571E-2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3-4070-B4DC-1EE2A73370B9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'Loan Sizing'!$B$166:$B$173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Sizing'!$F$166:$F$173</c:f>
              <c:numCache>
                <c:formatCode>0.0%</c:formatCode>
                <c:ptCount val="8"/>
                <c:pt idx="0">
                  <c:v>4.1622237255791686E-2</c:v>
                </c:pt>
                <c:pt idx="1">
                  <c:v>6.567664803527419E-2</c:v>
                </c:pt>
                <c:pt idx="2">
                  <c:v>0.28673118622679994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9.4238632403776251E-2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3-4070-B4DC-1EE2A73370B9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'Loan Sizing'!$B$166:$B$173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Sizing'!$G$166:$G$173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5.5E-2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3-4070-B4DC-1EE2A733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2914656"/>
        <c:axId val="-1582912880"/>
      </c:barChart>
      <c:catAx>
        <c:axId val="-15829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12880"/>
        <c:crosses val="autoZero"/>
        <c:auto val="1"/>
        <c:lblAlgn val="ctr"/>
        <c:lblOffset val="100"/>
        <c:noMultiLvlLbl val="0"/>
      </c:catAx>
      <c:valAx>
        <c:axId val="-15829128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1465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11464602619399"/>
          <c:y val="0.16533537962011299"/>
          <c:w val="0.53089966777131303"/>
          <c:h val="0.377868539566165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85-466C-A97D-F034941B11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85-466C-A97D-F034941B11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85-466C-A97D-F034941B11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85-466C-A97D-F034941B11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C85-466C-A97D-F034941B11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C85-466C-A97D-F034941B11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C85-466C-A97D-F034941B111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C85-466C-A97D-F034941B1117}"/>
              </c:ext>
            </c:extLst>
          </c:dPt>
          <c:dLbls>
            <c:dLbl>
              <c:idx val="0"/>
              <c:layout>
                <c:manualLayout>
                  <c:x val="0.15239329545921873"/>
                  <c:y val="-6.47559541063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5-466C-A97D-F034941B1117}"/>
                </c:ext>
              </c:extLst>
            </c:dLbl>
            <c:dLbl>
              <c:idx val="1"/>
              <c:layout>
                <c:manualLayout>
                  <c:x val="-0.19682162937025965"/>
                  <c:y val="4.099989237079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85-466C-A97D-F034941B1117}"/>
                </c:ext>
              </c:extLst>
            </c:dLbl>
            <c:dLbl>
              <c:idx val="2"/>
              <c:layout>
                <c:manualLayout>
                  <c:x val="-0.18228548935745215"/>
                  <c:y val="-6.121861692868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85-466C-A97D-F034941B111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85-466C-A97D-F034941B111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85-466C-A97D-F034941B111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85-466C-A97D-F034941B111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85-466C-A97D-F034941B1117}"/>
                </c:ext>
              </c:extLst>
            </c:dLbl>
            <c:dLbl>
              <c:idx val="7"/>
              <c:layout>
                <c:manualLayout>
                  <c:x val="-6.9484234459177618E-2"/>
                  <c:y val="-0.10364464368185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85-466C-A97D-F034941B1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Sizing'!$B$155:$B$162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Sizing'!$H$155:$H$162</c:f>
              <c:numCache>
                <c:formatCode>#,##0_);\(#,##0\)</c:formatCode>
                <c:ptCount val="8"/>
                <c:pt idx="0">
                  <c:v>550549</c:v>
                </c:pt>
                <c:pt idx="1">
                  <c:v>825573</c:v>
                </c:pt>
                <c:pt idx="2">
                  <c:v>66084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85-466C-A97D-F034941B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III Unlevered IRR/Levered IRR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'Loan Sizing'!$B$176:$B$178</c:f>
              <c:strCache>
                <c:ptCount val="3"/>
                <c:pt idx="0">
                  <c:v>Unlevered IRR</c:v>
                </c:pt>
                <c:pt idx="1">
                  <c:v>Levered IRR</c:v>
                </c:pt>
                <c:pt idx="2">
                  <c:v>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Sizing'!$E$176:$E$178</c:f>
              <c:numCache>
                <c:formatCode>0.0%</c:formatCode>
                <c:ptCount val="3"/>
                <c:pt idx="0">
                  <c:v>0.104</c:v>
                </c:pt>
                <c:pt idx="1">
                  <c:v>0.223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5-462F-B37F-C2A83422657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582867920"/>
        <c:axId val="-1582835344"/>
      </c:barChart>
      <c:catAx>
        <c:axId val="-158286792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2835344"/>
        <c:crosses val="autoZero"/>
        <c:auto val="1"/>
        <c:lblAlgn val="ctr"/>
        <c:lblOffset val="100"/>
        <c:noMultiLvlLbl val="0"/>
      </c:catAx>
      <c:valAx>
        <c:axId val="-158283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286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Montserrat" panose="00000500000000000000" pitchFamily="50" charset="0"/>
              </a:rPr>
              <a:t>Public Benefits by NPV </a:t>
            </a:r>
          </a:p>
          <a:p>
            <a:pPr>
              <a:defRPr b="1">
                <a:latin typeface="Montserrat" panose="00000500000000000000" pitchFamily="50" charset="0"/>
              </a:defRPr>
            </a:pPr>
            <a:r>
              <a:rPr lang="en-US" b="1">
                <a:latin typeface="Montserrat" panose="00000500000000000000" pitchFamily="50" charset="0"/>
              </a:rPr>
              <a:t>of Cost / Foregone Revenue</a:t>
            </a:r>
          </a:p>
        </c:rich>
      </c:tx>
      <c:layout>
        <c:manualLayout>
          <c:xMode val="edge"/>
          <c:yMode val="edge"/>
          <c:x val="0.61623360063472299"/>
          <c:y val="7.1870705405165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73635211314901"/>
          <c:y val="0.21580659160736401"/>
          <c:w val="0.326480678874635"/>
          <c:h val="0.67980913385904496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257051812195999"/>
          <c:y val="0.32094879495790901"/>
          <c:w val="0.33742948187804001"/>
          <c:h val="0.67898894330113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Sizing'!$E$79:$E$86</c:f>
              <c:numCache>
                <c:formatCode>0.0%</c:formatCode>
                <c:ptCount val="8"/>
                <c:pt idx="0">
                  <c:v>1.7280383055863616E-2</c:v>
                </c:pt>
                <c:pt idx="1">
                  <c:v>5.0848146116631528E-2</c:v>
                </c:pt>
                <c:pt idx="2">
                  <c:v>0.12754337892921563</c:v>
                </c:pt>
                <c:pt idx="3">
                  <c:v>0.18852780497156485</c:v>
                </c:pt>
                <c:pt idx="4">
                  <c:v>0.01</c:v>
                </c:pt>
                <c:pt idx="5">
                  <c:v>0.13259339707563988</c:v>
                </c:pt>
                <c:pt idx="6">
                  <c:v>2.1779568781947079E-2</c:v>
                </c:pt>
                <c:pt idx="7">
                  <c:v>0.96835443938748933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0-494B-B848-2F3B452C4600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Sizing'!$F$79:$F$86</c:f>
              <c:numCache>
                <c:formatCode>0.0%</c:formatCode>
                <c:ptCount val="8"/>
                <c:pt idx="0">
                  <c:v>3.4717366505087E-2</c:v>
                </c:pt>
                <c:pt idx="1">
                  <c:v>5.4916314673193301E-2</c:v>
                </c:pt>
                <c:pt idx="2">
                  <c:v>0.12815686559104136</c:v>
                </c:pt>
                <c:pt idx="3">
                  <c:v>0.20361120420629272</c:v>
                </c:pt>
                <c:pt idx="4">
                  <c:v>-3.1730970497115071E-7</c:v>
                </c:pt>
                <c:pt idx="5">
                  <c:v>0.14320169511572114</c:v>
                </c:pt>
                <c:pt idx="6">
                  <c:v>2.3522070006887733E-2</c:v>
                </c:pt>
                <c:pt idx="7">
                  <c:v>1.0057268924396641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0-494B-B848-2F3B452C4600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Sizing'!$G$79:$G$86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5.5E-2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0-494B-B848-2F3B452C4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6545328"/>
        <c:axId val="-1546543008"/>
      </c:barChart>
      <c:catAx>
        <c:axId val="-154654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6543008"/>
        <c:crosses val="autoZero"/>
        <c:auto val="1"/>
        <c:lblAlgn val="ctr"/>
        <c:lblOffset val="100"/>
        <c:noMultiLvlLbl val="0"/>
      </c:catAx>
      <c:valAx>
        <c:axId val="-154654300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654532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42754200856499"/>
          <c:y val="0.19598868551238699"/>
          <c:w val="0.49114517684082198"/>
          <c:h val="0.349573293056183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CD-4E08-B981-BF20889CBC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CD-4E08-B981-BF20889CBC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CD-4E08-B981-BF20889CBC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CD-4E08-B981-BF20889CBC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CD-4E08-B981-BF20889CBC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4CD-4E08-B981-BF20889CBC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4CD-4E08-B981-BF20889CBC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4CD-4E08-B981-BF20889CBC0E}"/>
              </c:ext>
            </c:extLst>
          </c:dPt>
          <c:dLbls>
            <c:dLbl>
              <c:idx val="0"/>
              <c:layout>
                <c:manualLayout>
                  <c:x val="0.15239321518902799"/>
                  <c:y val="-0.11318200933343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D-4E08-B981-BF20889CBC0E}"/>
                </c:ext>
              </c:extLst>
            </c:dLbl>
            <c:dLbl>
              <c:idx val="1"/>
              <c:layout>
                <c:manualLayout>
                  <c:x val="0.200430206933396"/>
                  <c:y val="-6.4843859513944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50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01060752773401"/>
                      <c:h val="8.2764344325071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4CD-4E08-B981-BF20889CBC0E}"/>
                </c:ext>
              </c:extLst>
            </c:dLbl>
            <c:dLbl>
              <c:idx val="2"/>
              <c:layout>
                <c:manualLayout>
                  <c:x val="0.23852851073065301"/>
                  <c:y val="9.9034258166752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CD-4E08-B981-BF20889CBC0E}"/>
                </c:ext>
              </c:extLst>
            </c:dLbl>
            <c:dLbl>
              <c:idx val="3"/>
              <c:layout>
                <c:manualLayout>
                  <c:x val="2.9816063841331598E-2"/>
                  <c:y val="0.11789792638899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CD-4E08-B981-BF20889CBC0E}"/>
                </c:ext>
              </c:extLst>
            </c:dLbl>
            <c:dLbl>
              <c:idx val="4"/>
              <c:layout>
                <c:manualLayout>
                  <c:x val="-0.13914163125954701"/>
                  <c:y val="9.4318341111192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CD-4E08-B981-BF20889CBC0E}"/>
                </c:ext>
              </c:extLst>
            </c:dLbl>
            <c:dLbl>
              <c:idx val="5"/>
              <c:layout>
                <c:manualLayout>
                  <c:x val="-0.202086654924581"/>
                  <c:y val="-1.1789792638899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D-4E08-B981-BF20889CBC0E}"/>
                </c:ext>
              </c:extLst>
            </c:dLbl>
            <c:dLbl>
              <c:idx val="6"/>
              <c:layout>
                <c:manualLayout>
                  <c:x val="-0.24515430269539301"/>
                  <c:y val="-8.25285484722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D-4E08-B981-BF20889CBC0E}"/>
                </c:ext>
              </c:extLst>
            </c:dLbl>
            <c:dLbl>
              <c:idx val="7"/>
              <c:layout>
                <c:manualLayout>
                  <c:x val="-0.13251583929480701"/>
                  <c:y val="-0.115539967861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CD-4E08-B981-BF20889CBC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Sizing'!$B$79:$B$86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Sizing'!$H$68:$H$75</c:f>
              <c:numCache>
                <c:formatCode>#,##0_);\(#,##0\)</c:formatCode>
                <c:ptCount val="8"/>
                <c:pt idx="0">
                  <c:v>1015030</c:v>
                </c:pt>
                <c:pt idx="1">
                  <c:v>1522293</c:v>
                </c:pt>
                <c:pt idx="2">
                  <c:v>334815</c:v>
                </c:pt>
                <c:pt idx="3">
                  <c:v>68945</c:v>
                </c:pt>
                <c:pt idx="4">
                  <c:v>107898</c:v>
                </c:pt>
                <c:pt idx="5">
                  <c:v>625000</c:v>
                </c:pt>
                <c:pt idx="6">
                  <c:v>37784</c:v>
                </c:pt>
                <c:pt idx="7">
                  <c:v>1396224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2-451F-BD40-270E827F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185851899463"/>
          <c:y val="0.650593992033071"/>
          <c:w val="0.67530880364282897"/>
          <c:h val="0.31875254710579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Sizing'!$B$91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Sizing'!$E$91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816-A7EF-60F6D419F023}"/>
            </c:ext>
          </c:extLst>
        </c:ser>
        <c:ser>
          <c:idx val="1"/>
          <c:order val="1"/>
          <c:tx>
            <c:strRef>
              <c:f>'Loan Sizing'!$B$90</c:f>
              <c:strCache>
                <c:ptCount val="1"/>
                <c:pt idx="0">
                  <c:v>Levered IRR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Sizing'!$E$90</c:f>
              <c:numCache>
                <c:formatCode>0.0%</c:formatCode>
                <c:ptCount val="1"/>
                <c:pt idx="0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D-4816-A7EF-60F6D419F023}"/>
            </c:ext>
          </c:extLst>
        </c:ser>
        <c:ser>
          <c:idx val="2"/>
          <c:order val="2"/>
          <c:tx>
            <c:strRef>
              <c:f>'Loan Sizing'!$B$89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rgbClr val="8715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405-274A-AAE7-F8EFF26014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Sizing'!$E$89</c:f>
              <c:numCache>
                <c:formatCode>0.0%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D-4816-A7EF-60F6D419F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5392992"/>
        <c:axId val="-1545390160"/>
      </c:barChart>
      <c:catAx>
        <c:axId val="-1545392992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45390160"/>
        <c:crosses val="autoZero"/>
        <c:auto val="1"/>
        <c:lblAlgn val="ctr"/>
        <c:lblOffset val="100"/>
        <c:noMultiLvlLbl val="0"/>
      </c:catAx>
      <c:valAx>
        <c:axId val="-1545390160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9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'Loan Sizing'!$B$108:$B$115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Sizing'!$E$108:$E$115</c:f>
              <c:numCache>
                <c:formatCode>0.0%</c:formatCode>
                <c:ptCount val="8"/>
                <c:pt idx="0">
                  <c:v>3.3577224593597222E-3</c:v>
                </c:pt>
                <c:pt idx="1">
                  <c:v>-3.0444950729537328E-3</c:v>
                </c:pt>
                <c:pt idx="2">
                  <c:v>0.15027809265351774</c:v>
                </c:pt>
                <c:pt idx="3">
                  <c:v>0.18422592544788174</c:v>
                </c:pt>
                <c:pt idx="4">
                  <c:v>1.0866874595076376E-7</c:v>
                </c:pt>
                <c:pt idx="5">
                  <c:v>0.13469754721104391</c:v>
                </c:pt>
                <c:pt idx="6">
                  <c:v>0</c:v>
                </c:pt>
                <c:pt idx="7">
                  <c:v>8.9190534487672155E-2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A-4BED-B8D0-3C30989A428A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'Loan Sizing'!$B$108:$B$115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Sizing'!$F$108:$F$115</c:f>
              <c:numCache>
                <c:formatCode>0.0%</c:formatCode>
                <c:ptCount val="8"/>
                <c:pt idx="0">
                  <c:v>4.5566180985184643E-3</c:v>
                </c:pt>
                <c:pt idx="1">
                  <c:v>-3.7011194352629621E-3</c:v>
                </c:pt>
                <c:pt idx="2">
                  <c:v>0.18268946281281609</c:v>
                </c:pt>
                <c:pt idx="3">
                  <c:v>0.22395902664179568</c:v>
                </c:pt>
                <c:pt idx="4">
                  <c:v>5.7464450865312239E-7</c:v>
                </c:pt>
                <c:pt idx="5">
                  <c:v>0.1637485684551874</c:v>
                </c:pt>
                <c:pt idx="6">
                  <c:v>0</c:v>
                </c:pt>
                <c:pt idx="7">
                  <c:v>0.10842678760309214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A-4BED-B8D0-3C30989A428A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'Loan Sizing'!$B$108:$B$115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Sizing'!$G$108:$G$115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0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A-4BED-B8D0-3C30989A4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5360480"/>
        <c:axId val="-1545358160"/>
      </c:barChart>
      <c:catAx>
        <c:axId val="-15453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58160"/>
        <c:crosses val="autoZero"/>
        <c:auto val="1"/>
        <c:lblAlgn val="ctr"/>
        <c:lblOffset val="100"/>
        <c:noMultiLvlLbl val="0"/>
      </c:catAx>
      <c:valAx>
        <c:axId val="-1545358160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6048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Montserrat" panose="00000500000000000000" pitchFamily="50" charset="0"/>
                <a:cs typeface="Arial" panose="020B0604020202020204" pitchFamily="34" charset="0"/>
              </a:rPr>
              <a:t>Project Breakdown by Gross 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436622995567499"/>
          <c:y val="0.17476721198006101"/>
          <c:w val="0.49114491598287102"/>
          <c:h val="0.349573042486319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8F-48A4-9D0B-2A92FB7BD7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8F-48A4-9D0B-2A92FB7BD7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8F-48A4-9D0B-2A92FB7BD7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8F-48A4-9D0B-2A92FB7BD7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8F-48A4-9D0B-2A92FB7BD7B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8F-48A4-9D0B-2A92FB7BD7B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8F-48A4-9D0B-2A92FB7BD7B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8F-48A4-9D0B-2A92FB7BD7BB}"/>
              </c:ext>
            </c:extLst>
          </c:dPt>
          <c:dLbls>
            <c:dLbl>
              <c:idx val="0"/>
              <c:layout>
                <c:manualLayout>
                  <c:x val="5.3669408116829444E-2"/>
                  <c:y val="-9.672207632393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F-48A4-9D0B-2A92FB7BD7BB}"/>
                </c:ext>
              </c:extLst>
            </c:dLbl>
            <c:dLbl>
              <c:idx val="1"/>
              <c:layout>
                <c:manualLayout>
                  <c:x val="0.16728686998055367"/>
                  <c:y val="9.18530768379489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8F-48A4-9D0B-2A92FB7BD7BB}"/>
                </c:ext>
              </c:extLst>
            </c:dLbl>
            <c:dLbl>
              <c:idx val="2"/>
              <c:layout>
                <c:manualLayout>
                  <c:x val="0.17580094976924621"/>
                  <c:y val="4.8139705755698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F-48A4-9D0B-2A92FB7BD7BB}"/>
                </c:ext>
              </c:extLst>
            </c:dLbl>
            <c:dLbl>
              <c:idx val="3"/>
              <c:layout>
                <c:manualLayout>
                  <c:x val="0.11750838903941555"/>
                  <c:y val="0.10847751272013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8F-48A4-9D0B-2A92FB7BD7BB}"/>
                </c:ext>
              </c:extLst>
            </c:dLbl>
            <c:dLbl>
              <c:idx val="4"/>
              <c:layout>
                <c:manualLayout>
                  <c:x val="-2.7872685994374074E-2"/>
                  <c:y val="0.10802929144551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8F-48A4-9D0B-2A92FB7BD7BB}"/>
                </c:ext>
              </c:extLst>
            </c:dLbl>
            <c:dLbl>
              <c:idx val="5"/>
              <c:layout>
                <c:manualLayout>
                  <c:x val="-0.17644304728780683"/>
                  <c:y val="7.271908620647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8F-48A4-9D0B-2A92FB7BD7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8F-48A4-9D0B-2A92FB7BD7BB}"/>
                </c:ext>
              </c:extLst>
            </c:dLbl>
            <c:dLbl>
              <c:idx val="7"/>
              <c:layout>
                <c:manualLayout>
                  <c:x val="-0.17386430894380764"/>
                  <c:y val="-1.9075334327693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8F-48A4-9D0B-2A92FB7BD7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Sizing'!$B$97:$B$104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Sizing'!$H$97:$H$104</c:f>
              <c:numCache>
                <c:formatCode>#,##0_);\(#,##0\)</c:formatCode>
                <c:ptCount val="8"/>
                <c:pt idx="0">
                  <c:v>233923</c:v>
                </c:pt>
                <c:pt idx="1">
                  <c:v>350884</c:v>
                </c:pt>
                <c:pt idx="2">
                  <c:v>149008</c:v>
                </c:pt>
                <c:pt idx="3">
                  <c:v>68945</c:v>
                </c:pt>
                <c:pt idx="4">
                  <c:v>107898</c:v>
                </c:pt>
                <c:pt idx="5">
                  <c:v>312500</c:v>
                </c:pt>
                <c:pt idx="6">
                  <c:v>37784</c:v>
                </c:pt>
                <c:pt idx="7">
                  <c:v>1092752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A8F-48A4-9D0B-2A92FB7B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'Loan Sizing'!$B$120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Sizing'!$E$120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4-418D-9C32-A16414CCB83D}"/>
            </c:ext>
          </c:extLst>
        </c:ser>
        <c:ser>
          <c:idx val="1"/>
          <c:order val="1"/>
          <c:tx>
            <c:strRef>
              <c:f>'Loan Sizing'!$B$119</c:f>
              <c:strCache>
                <c:ptCount val="1"/>
                <c:pt idx="0">
                  <c:v>Levered IRR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Sizing'!$E$119</c:f>
              <c:numCache>
                <c:formatCode>0.0%</c:formatCode>
                <c:ptCount val="1"/>
                <c:pt idx="0">
                  <c:v>0.124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4-418D-9C32-A16414CCB83D}"/>
            </c:ext>
          </c:extLst>
        </c:ser>
        <c:ser>
          <c:idx val="2"/>
          <c:order val="2"/>
          <c:tx>
            <c:strRef>
              <c:f>'Loan Sizing'!$B$118</c:f>
              <c:strCache>
                <c:ptCount val="1"/>
                <c:pt idx="0">
                  <c:v>Unlevered IRR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'Loan Sizing'!$E$118</c:f>
              <c:numCache>
                <c:formatCode>0.0%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4-418D-9C32-A16414CC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5317072"/>
        <c:axId val="-1545314240"/>
      </c:barChart>
      <c:catAx>
        <c:axId val="-1545317072"/>
        <c:scaling>
          <c:orientation val="minMax"/>
        </c:scaling>
        <c:delete val="1"/>
        <c:axPos val="l"/>
        <c:majorTickMark val="none"/>
        <c:minorTickMark val="none"/>
        <c:tickLblPos val="nextTo"/>
        <c:crossAx val="-1545314240"/>
        <c:crosses val="autoZero"/>
        <c:auto val="1"/>
        <c:lblAlgn val="ctr"/>
        <c:lblOffset val="100"/>
        <c:noMultiLvlLbl val="0"/>
      </c:catAx>
      <c:valAx>
        <c:axId val="-1545314240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4531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'Loan Sizing'!$E$78</c:f>
              <c:strCache>
                <c:ptCount val="1"/>
                <c:pt idx="0">
                  <c:v>Yield-to-Cost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'Loan Sizing'!$B$137:$B$144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Sizing'!$E$137:$E$144</c:f>
              <c:numCache>
                <c:formatCode>0.0%</c:formatCode>
                <c:ptCount val="8"/>
                <c:pt idx="0">
                  <c:v>2.4455283653924745E-2</c:v>
                </c:pt>
                <c:pt idx="1">
                  <c:v>7.4817346331851095E-2</c:v>
                </c:pt>
                <c:pt idx="2">
                  <c:v>0.19491216719267748</c:v>
                </c:pt>
                <c:pt idx="3">
                  <c:v>0</c:v>
                </c:pt>
                <c:pt idx="4" formatCode="General">
                  <c:v>0</c:v>
                </c:pt>
                <c:pt idx="5">
                  <c:v>0.12812345932149344</c:v>
                </c:pt>
                <c:pt idx="6">
                  <c:v>0</c:v>
                </c:pt>
                <c:pt idx="7">
                  <c:v>0.27621010613558128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8-4218-AC4F-EC613C0B228E}"/>
            </c:ext>
          </c:extLst>
        </c:ser>
        <c:ser>
          <c:idx val="3"/>
          <c:order val="1"/>
          <c:tx>
            <c:strRef>
              <c:f>'Loan Sizing'!$F$78</c:f>
              <c:strCache>
                <c:ptCount val="1"/>
                <c:pt idx="0">
                  <c:v>Yield-to-Cost after Subsidies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'Loan Sizing'!$B$137:$B$144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Sizing'!$F$137:$F$144</c:f>
              <c:numCache>
                <c:formatCode>0.0%</c:formatCode>
                <c:ptCount val="8"/>
                <c:pt idx="0">
                  <c:v>6.6862964302266278E-2</c:v>
                </c:pt>
                <c:pt idx="1">
                  <c:v>7.650769426464149E-2</c:v>
                </c:pt>
                <c:pt idx="2">
                  <c:v>0.1993158168146312</c:v>
                </c:pt>
                <c:pt idx="3">
                  <c:v>0</c:v>
                </c:pt>
                <c:pt idx="4">
                  <c:v>0</c:v>
                </c:pt>
                <c:pt idx="5">
                  <c:v>0.13101815199938438</c:v>
                </c:pt>
                <c:pt idx="6">
                  <c:v>0</c:v>
                </c:pt>
                <c:pt idx="7">
                  <c:v>3.9407597669795319E-2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8-4218-AC4F-EC613C0B228E}"/>
            </c:ext>
          </c:extLst>
        </c:ser>
        <c:ser>
          <c:idx val="4"/>
          <c:order val="2"/>
          <c:tx>
            <c:strRef>
              <c:f>'Loan Sizing'!$G$78</c:f>
              <c:strCache>
                <c:ptCount val="1"/>
                <c:pt idx="0">
                  <c:v>Exit Cap 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'Loan Sizing'!$B$137:$B$144</c:f>
              <c:strCache>
                <c:ptCount val="8"/>
                <c:pt idx="0">
                  <c:v>Affordable Residential</c:v>
                </c:pt>
                <c:pt idx="1">
                  <c:v>Market Rate Residential</c:v>
                </c:pt>
                <c:pt idx="2">
                  <c:v>Retail</c:v>
                </c:pt>
                <c:pt idx="3">
                  <c:v>Hotel</c:v>
                </c:pt>
                <c:pt idx="4">
                  <c:v>Museum</c:v>
                </c:pt>
                <c:pt idx="5">
                  <c:v>Office</c:v>
                </c:pt>
                <c:pt idx="6">
                  <c:v>Light Industrial</c:v>
                </c:pt>
                <c:pt idx="7">
                  <c:v>Parking</c:v>
                </c:pt>
              </c:strCache>
            </c:strRef>
          </c:cat>
          <c:val>
            <c:numRef>
              <c:f>'Loan Sizing'!$G$137:$G$144</c:f>
              <c:numCache>
                <c:formatCode>0.0%</c:formatCode>
                <c:ptCount val="8"/>
                <c:pt idx="0">
                  <c:v>5.7500000000000002E-2</c:v>
                </c:pt>
                <c:pt idx="1">
                  <c:v>5.5E-2</c:v>
                </c:pt>
                <c:pt idx="2">
                  <c:v>0.06</c:v>
                </c:pt>
                <c:pt idx="3">
                  <c:v>6.5000000000000002E-2</c:v>
                </c:pt>
                <c:pt idx="4">
                  <c:v>0</c:v>
                </c:pt>
                <c:pt idx="5">
                  <c:v>6.5000000000000002E-2</c:v>
                </c:pt>
                <c:pt idx="6">
                  <c:v>0</c:v>
                </c:pt>
                <c:pt idx="7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8-4218-AC4F-EC613C0B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2976672"/>
        <c:axId val="-1582974624"/>
      </c:barChart>
      <c:catAx>
        <c:axId val="-158297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74624"/>
        <c:crosses val="autoZero"/>
        <c:auto val="1"/>
        <c:lblAlgn val="ctr"/>
        <c:lblOffset val="100"/>
        <c:noMultiLvlLbl val="0"/>
      </c:catAx>
      <c:valAx>
        <c:axId val="-158297462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50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829766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50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54435</xdr:colOff>
      <xdr:row>0</xdr:row>
      <xdr:rowOff>108852</xdr:rowOff>
    </xdr:from>
    <xdr:to>
      <xdr:col>6</xdr:col>
      <xdr:colOff>955555</xdr:colOff>
      <xdr:row>2</xdr:row>
      <xdr:rowOff>226785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90BA8-2894-47F9-B696-252A7274A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5" y="108852"/>
          <a:ext cx="7541406" cy="1578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577272</xdr:colOff>
      <xdr:row>38</xdr:row>
      <xdr:rowOff>117764</xdr:rowOff>
    </xdr:from>
    <xdr:to>
      <xdr:col>7</xdr:col>
      <xdr:colOff>968374</xdr:colOff>
      <xdr:row>54</xdr:row>
      <xdr:rowOff>150091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9511E-DDCD-464A-99CC-04D9BFECE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565727</xdr:colOff>
      <xdr:row>54</xdr:row>
      <xdr:rowOff>199159</xdr:rowOff>
    </xdr:from>
    <xdr:to>
      <xdr:col>7</xdr:col>
      <xdr:colOff>971260</xdr:colOff>
      <xdr:row>71</xdr:row>
      <xdr:rowOff>25111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67FFD4-0644-49DB-B158-C402F05F4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981363</xdr:colOff>
      <xdr:row>67</xdr:row>
      <xdr:rowOff>69273</xdr:rowOff>
    </xdr:from>
    <xdr:to>
      <xdr:col>14</xdr:col>
      <xdr:colOff>923635</xdr:colOff>
      <xdr:row>83</xdr:row>
      <xdr:rowOff>46182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02F424-8B5B-463E-BF0D-47600FB3A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854363</xdr:colOff>
      <xdr:row>67</xdr:row>
      <xdr:rowOff>47770</xdr:rowOff>
    </xdr:from>
    <xdr:to>
      <xdr:col>17</xdr:col>
      <xdr:colOff>1789545</xdr:colOff>
      <xdr:row>93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FA3F8D-C22F-47D4-A161-A2D0C2AD45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161637</xdr:colOff>
      <xdr:row>82</xdr:row>
      <xdr:rowOff>187036</xdr:rowOff>
    </xdr:from>
    <xdr:to>
      <xdr:col>14</xdr:col>
      <xdr:colOff>819728</xdr:colOff>
      <xdr:row>93</xdr:row>
      <xdr:rowOff>173181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7C8A1D6-EB09-4D96-A7FF-A51D233577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981363</xdr:colOff>
      <xdr:row>96</xdr:row>
      <xdr:rowOff>69273</xdr:rowOff>
    </xdr:from>
    <xdr:to>
      <xdr:col>14</xdr:col>
      <xdr:colOff>923635</xdr:colOff>
      <xdr:row>112</xdr:row>
      <xdr:rowOff>46182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B4D089-288D-484B-B257-7E2318D5F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854363</xdr:colOff>
      <xdr:row>96</xdr:row>
      <xdr:rowOff>47770</xdr:rowOff>
    </xdr:from>
    <xdr:to>
      <xdr:col>17</xdr:col>
      <xdr:colOff>1789545</xdr:colOff>
      <xdr:row>122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F1C771-049C-43D7-9BE4-9B8DDAC7C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161637</xdr:colOff>
      <xdr:row>111</xdr:row>
      <xdr:rowOff>187036</xdr:rowOff>
    </xdr:from>
    <xdr:to>
      <xdr:col>14</xdr:col>
      <xdr:colOff>819728</xdr:colOff>
      <xdr:row>122</xdr:row>
      <xdr:rowOff>173181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97BA8B-05EC-40FD-BDFF-1187431B2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981363</xdr:colOff>
      <xdr:row>125</xdr:row>
      <xdr:rowOff>69273</xdr:rowOff>
    </xdr:from>
    <xdr:to>
      <xdr:col>14</xdr:col>
      <xdr:colOff>923635</xdr:colOff>
      <xdr:row>141</xdr:row>
      <xdr:rowOff>46182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A5790CE-EEF6-4EB2-B50B-F6124946E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854363</xdr:colOff>
      <xdr:row>125</xdr:row>
      <xdr:rowOff>47770</xdr:rowOff>
    </xdr:from>
    <xdr:to>
      <xdr:col>17</xdr:col>
      <xdr:colOff>1789545</xdr:colOff>
      <xdr:row>151</xdr:row>
      <xdr:rowOff>127000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C46FC33-988C-4240-8ECC-1954F9F3C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161637</xdr:colOff>
      <xdr:row>140</xdr:row>
      <xdr:rowOff>187036</xdr:rowOff>
    </xdr:from>
    <xdr:to>
      <xdr:col>14</xdr:col>
      <xdr:colOff>819728</xdr:colOff>
      <xdr:row>151</xdr:row>
      <xdr:rowOff>173181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7560F92-F3B9-461D-8540-F76D6ACE6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981363</xdr:colOff>
      <xdr:row>154</xdr:row>
      <xdr:rowOff>69273</xdr:rowOff>
    </xdr:from>
    <xdr:to>
      <xdr:col>14</xdr:col>
      <xdr:colOff>923635</xdr:colOff>
      <xdr:row>170</xdr:row>
      <xdr:rowOff>46182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47B5FBE-D6EC-4835-BB54-8788DF1DF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854363</xdr:colOff>
      <xdr:row>154</xdr:row>
      <xdr:rowOff>47770</xdr:rowOff>
    </xdr:from>
    <xdr:to>
      <xdr:col>17</xdr:col>
      <xdr:colOff>1789545</xdr:colOff>
      <xdr:row>180</xdr:row>
      <xdr:rowOff>127000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261613-6783-4A05-9821-657BE43B8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161637</xdr:colOff>
      <xdr:row>169</xdr:row>
      <xdr:rowOff>187036</xdr:rowOff>
    </xdr:from>
    <xdr:to>
      <xdr:col>15</xdr:col>
      <xdr:colOff>169334</xdr:colOff>
      <xdr:row>180</xdr:row>
      <xdr:rowOff>173181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51A7B1A-05D9-4B0E-8E0F-FF2006A3B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0</xdr:row>
      <xdr:rowOff>190500</xdr:rowOff>
    </xdr:from>
    <xdr:to>
      <xdr:col>5</xdr:col>
      <xdr:colOff>402168</xdr:colOff>
      <xdr:row>2</xdr:row>
      <xdr:rowOff>203134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15AA93-AD91-4F09-BAAC-B7CA0581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1" y="190500"/>
          <a:ext cx="6970889" cy="14590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uc-my.sharepoint.com/personal/erikseml_ucmail_uc_edu/Documents/Class/RE3095/Hines%202020/LifeLine%20Proforma%203-21-20%20MDE%20Edits%20SGF%2003-22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 II"/>
      <sheetName val="S&amp;U"/>
      <sheetName val="Budget"/>
      <sheetName val="Parcel Breakdown"/>
      <sheetName val="Parcel x Block Info"/>
      <sheetName val="Demolition"/>
      <sheetName val="Infrastructure"/>
      <sheetName val="Acquisition"/>
      <sheetName val="Loan Sizing"/>
      <sheetName val="Phase I Pro Forma"/>
      <sheetName val="Phase II Pro Forma"/>
      <sheetName val="Phase III Pro Forma"/>
      <sheetName val="Cash Flow Roll-up"/>
      <sheetName val="Public Benefits"/>
      <sheetName val="Sheet1"/>
      <sheetName val="Official Summary"/>
    </sheetNames>
    <sheetDataSet>
      <sheetData sheetId="0">
        <row r="30">
          <cell r="H30">
            <v>48213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riksen, Mike (erikseml)" id="{2BE4DFCA-573F-4B52-87D8-DD635C12C06D}" userId="Eriksen, Mike (erikseml)" providerId="None"/>
  <person displayName="Felchner, Stacy (glennsy)" id="{2F39908E-9203-47BF-AE61-7F9C525D09F8}" userId="S::glennsy@ucmail.uc.edu::d093d7e2-1764-4168-be73-c41c7c2a9c6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10" dT="2020-03-22T13:30:39.79" personId="{2F39908E-9203-47BF-AE61-7F9C525D09F8}" id="{F4F72B6A-A07D-4DD2-8985-118116D7A7DC}">
    <text>This should be 0 - we don't have a 2nd hotel. 21c has conference space in Bentonville; while small (480 max people), we could include the revenue in Phase I.</text>
  </threadedComment>
  <threadedComment ref="F147" dT="2020-03-22T13:31:48.56" personId="{2F39908E-9203-47BF-AE61-7F9C525D09F8}" id="{BCA36DA0-20CC-4328-804A-960C567E6C25}">
    <text>Public Spaces can be funded via Miami Forever Bond.  How to handle maintenance PSF - $7 CAM??</text>
  </threadedComment>
  <threadedComment ref="N179" dT="2020-03-22T13:39:24.08" personId="{2F39908E-9203-47BF-AE61-7F9C525D09F8}" id="{07E7D3B8-8961-4546-8830-A36697507518}">
    <text>Should this be 0.0%?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156" dT="2020-03-20T04:21:03.04" personId="{2BE4DFCA-573F-4B52-87D8-DD635C12C06D}" id="{E7459EC3-3244-4F6A-A7D5-8C9178112E04}">
    <text>i think this is the proceeds from refinancing construction debt with permanent debt.  This was wrong in cincystitch.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155" dT="2020-03-20T03:04:45.85" personId="{2BE4DFCA-573F-4B52-87D8-DD635C12C06D}" id="{397EDE8B-C0FD-4157-90AE-40EEB2B3E881}">
    <text>where does this number come from?  seemingly it comes from op zone.  there is a similar payment in phase 3 around this time.  i think this is incorrect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156" dT="2020-03-20T01:57:53.49" personId="{2BE4DFCA-573F-4B52-87D8-DD635C12C06D}" id="{0A188A55-9845-471A-A8E3-7BA0E4E2CDA1}">
    <text>i do not understand where this number comes program.  seeming it is linked to op zone equity.  this explains why levered irr is so good as compared to unlevered.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220"/>
  <sheetViews>
    <sheetView showGridLines="0" zoomScale="70" zoomScaleNormal="70" workbookViewId="0">
      <selection activeCell="S14" sqref="S14"/>
    </sheetView>
  </sheetViews>
  <sheetFormatPr defaultColWidth="12.453125" defaultRowHeight="16" customHeight="1" outlineLevelRow="1"/>
  <cols>
    <col min="1" max="1" width="8.453125" style="29" customWidth="1"/>
    <col min="2" max="2" width="36.453125" style="29" customWidth="1"/>
    <col min="3" max="3" width="18.1796875" style="29" customWidth="1"/>
    <col min="4" max="4" width="1.453125" style="30" customWidth="1"/>
    <col min="5" max="5" width="21.1796875" style="30" customWidth="1"/>
    <col min="6" max="6" width="16.7265625" style="29" customWidth="1"/>
    <col min="7" max="7" width="14.81640625" style="29" bestFit="1" customWidth="1"/>
    <col min="8" max="8" width="16.453125" style="29" customWidth="1"/>
    <col min="9" max="9" width="1.453125" style="29" customWidth="1"/>
    <col min="10" max="10" width="36.453125" style="29" customWidth="1"/>
    <col min="11" max="11" width="16" style="29" customWidth="1"/>
    <col min="12" max="12" width="1.453125" style="29" customWidth="1"/>
    <col min="13" max="13" width="21.453125" style="29" customWidth="1"/>
    <col min="14" max="14" width="17.453125" style="29" bestFit="1" customWidth="1"/>
    <col min="15" max="16" width="14.453125" style="29" bestFit="1" customWidth="1"/>
    <col min="17" max="17" width="3.453125" style="29" customWidth="1"/>
    <col min="18" max="18" width="36.453125" style="29" customWidth="1"/>
    <col min="19" max="19" width="16.453125" style="29" customWidth="1"/>
    <col min="20" max="20" width="1.453125" style="29" customWidth="1"/>
    <col min="21" max="21" width="16.453125" style="29" customWidth="1"/>
    <col min="22" max="16384" width="12.453125" style="29"/>
  </cols>
  <sheetData>
    <row r="1" spans="1:21" ht="18" customHeight="1">
      <c r="A1" s="28"/>
    </row>
    <row r="2" spans="1:21" ht="16" customHeight="1">
      <c r="A2" s="28"/>
      <c r="B2" s="28" t="s">
        <v>0</v>
      </c>
      <c r="E2" s="30" t="s">
        <v>764</v>
      </c>
      <c r="J2" s="887"/>
      <c r="K2" s="30"/>
      <c r="L2" s="30"/>
      <c r="M2" s="30"/>
    </row>
    <row r="3" spans="1:21" ht="16" customHeight="1">
      <c r="A3" s="28"/>
      <c r="B3" s="480" t="s">
        <v>1</v>
      </c>
      <c r="C3" s="481"/>
      <c r="D3" s="29"/>
      <c r="E3" s="481">
        <v>0.185</v>
      </c>
      <c r="J3" s="888"/>
      <c r="K3" s="889"/>
      <c r="L3" s="888"/>
      <c r="M3" s="889"/>
    </row>
    <row r="4" spans="1:21" ht="16" customHeight="1">
      <c r="A4" s="28"/>
      <c r="B4" s="482" t="s">
        <v>2</v>
      </c>
      <c r="C4" s="483"/>
      <c r="D4" s="29"/>
      <c r="E4" s="483">
        <f ca="1">'Master Pro Forma'!D75</f>
        <v>0.11994670013225717</v>
      </c>
      <c r="J4" s="888"/>
      <c r="K4" s="889"/>
      <c r="L4" s="888"/>
      <c r="M4" s="889"/>
    </row>
    <row r="5" spans="1:21" ht="4" customHeight="1">
      <c r="A5" s="28"/>
    </row>
    <row r="6" spans="1:21" ht="16" customHeight="1">
      <c r="A6" s="28"/>
      <c r="B6" s="28" t="s">
        <v>3</v>
      </c>
      <c r="J6" s="28" t="s">
        <v>4</v>
      </c>
      <c r="L6" s="30"/>
      <c r="M6" s="30"/>
      <c r="R6" s="28" t="s">
        <v>5</v>
      </c>
      <c r="T6" s="30"/>
      <c r="U6" s="30"/>
    </row>
    <row r="7" spans="1:21" ht="16" customHeight="1">
      <c r="A7" s="28"/>
      <c r="B7" s="28" t="s">
        <v>6</v>
      </c>
      <c r="J7" s="28" t="s">
        <v>6</v>
      </c>
      <c r="L7" s="30"/>
      <c r="M7" s="30"/>
      <c r="R7" s="28" t="s">
        <v>6</v>
      </c>
      <c r="T7" s="30"/>
      <c r="U7" s="30"/>
    </row>
    <row r="8" spans="1:21" ht="16" customHeight="1" outlineLevel="1">
      <c r="A8" s="28"/>
      <c r="B8" s="480" t="s">
        <v>7</v>
      </c>
      <c r="C8" s="484"/>
      <c r="D8" s="31"/>
      <c r="E8" s="484">
        <f ca="1">+Budget!$H$83-SUM('S&amp;U'!$H$18:$H$22)</f>
        <v>329736198.91849077</v>
      </c>
      <c r="F8" s="29" t="s">
        <v>8</v>
      </c>
      <c r="J8" s="480" t="s">
        <v>7</v>
      </c>
      <c r="K8" s="484"/>
      <c r="L8" s="31"/>
      <c r="M8" s="484">
        <f ca="1">+Budget!$I$83-SUM('S&amp;U'!$I$18:$I$22)</f>
        <v>278481714.79583246</v>
      </c>
      <c r="R8" s="480" t="s">
        <v>7</v>
      </c>
      <c r="S8" s="484"/>
      <c r="T8" s="31"/>
      <c r="U8" s="484">
        <f ca="1">+Budget!$J$83-SUM('S&amp;U'!$J$18:$J$22)</f>
        <v>287006263.47261631</v>
      </c>
    </row>
    <row r="9" spans="1:21" ht="16" customHeight="1" outlineLevel="1">
      <c r="A9" s="28"/>
      <c r="B9" s="485" t="s">
        <v>9</v>
      </c>
      <c r="C9" s="486"/>
      <c r="D9" s="31"/>
      <c r="E9" s="486">
        <f ca="1">+'Loan Sizing'!$F$47+'Loan Sizing'!$F$31+SUM('Loan Sizing'!$F$5:$F$10)</f>
        <v>409757976.53887665</v>
      </c>
      <c r="F9" s="29" t="s">
        <v>10</v>
      </c>
      <c r="J9" s="485" t="s">
        <v>9</v>
      </c>
      <c r="K9" s="486"/>
      <c r="L9" s="31"/>
      <c r="M9" s="486">
        <f ca="1">+'Loan Sizing'!$G$47+'Loan Sizing'!$G$31+SUM('Loan Sizing'!$G$5:$G$10)</f>
        <v>492017361.14867139</v>
      </c>
      <c r="R9" s="485" t="s">
        <v>9</v>
      </c>
      <c r="S9" s="486"/>
      <c r="T9" s="31"/>
      <c r="U9" s="486">
        <f ca="1">+'Loan Sizing'!$H$47+'Loan Sizing'!$H$31+SUM('Loan Sizing'!$H$5:$H$10)</f>
        <v>374543292.93435889</v>
      </c>
    </row>
    <row r="10" spans="1:21" ht="16" customHeight="1">
      <c r="A10" s="28"/>
      <c r="B10" s="480" t="s">
        <v>11</v>
      </c>
      <c r="C10" s="481"/>
      <c r="D10" s="29"/>
      <c r="E10" s="481">
        <f ca="1">+'Loan Sizing'!$F$62/E8</f>
        <v>7.8343688391656244E-2</v>
      </c>
      <c r="J10" s="480" t="s">
        <v>11</v>
      </c>
      <c r="K10" s="481"/>
      <c r="M10" s="481">
        <f ca="1">+'Loan Sizing'!$G$62/M8</f>
        <v>0.10640521967303926</v>
      </c>
      <c r="R10" s="480" t="s">
        <v>11</v>
      </c>
      <c r="S10" s="481"/>
      <c r="U10" s="481">
        <f ca="1">+'Loan Sizing'!$H$62/U8</f>
        <v>7.411313095135294E-2</v>
      </c>
    </row>
    <row r="11" spans="1:21" ht="16" customHeight="1">
      <c r="A11" s="28"/>
      <c r="B11" s="482" t="s">
        <v>12</v>
      </c>
      <c r="C11" s="483"/>
      <c r="D11" s="29"/>
      <c r="E11" s="483">
        <f ca="1">+'Loan Sizing'!$F$62/E9</f>
        <v>6.3043922262898233E-2</v>
      </c>
      <c r="J11" s="482" t="s">
        <v>12</v>
      </c>
      <c r="K11" s="483"/>
      <c r="M11" s="483">
        <f ca="1">+'Loan Sizing'!$G$62/M9</f>
        <v>6.022533019687782E-2</v>
      </c>
      <c r="R11" s="482" t="s">
        <v>12</v>
      </c>
      <c r="S11" s="483"/>
      <c r="U11" s="483">
        <f ca="1">+'Loan Sizing'!$H$62/U9</f>
        <v>5.6791653167668349E-2</v>
      </c>
    </row>
    <row r="12" spans="1:21" ht="4" customHeight="1">
      <c r="A12" s="28"/>
      <c r="L12" s="30"/>
      <c r="M12" s="30"/>
      <c r="T12" s="30"/>
      <c r="U12" s="30"/>
    </row>
    <row r="13" spans="1:21" ht="16" customHeight="1">
      <c r="A13" s="28"/>
      <c r="B13" s="28" t="s">
        <v>13</v>
      </c>
      <c r="D13" s="29"/>
      <c r="E13" s="29"/>
      <c r="J13" s="28" t="s">
        <v>13</v>
      </c>
      <c r="R13" s="28" t="s">
        <v>13</v>
      </c>
    </row>
    <row r="14" spans="1:21" ht="16" customHeight="1">
      <c r="A14" s="28"/>
      <c r="B14" s="480" t="s">
        <v>1</v>
      </c>
      <c r="C14" s="481"/>
      <c r="D14" s="29"/>
      <c r="E14" s="481">
        <v>0.124</v>
      </c>
      <c r="J14" s="480" t="s">
        <v>1</v>
      </c>
      <c r="K14" s="481"/>
      <c r="M14" s="481">
        <f ca="1">+'Phase II Pro Forma'!$D$244</f>
        <v>0.24777486724194886</v>
      </c>
      <c r="R14" s="480" t="s">
        <v>1</v>
      </c>
      <c r="S14" s="481"/>
      <c r="U14" s="481">
        <f ca="1">+'Phase III Pro Forma'!$D$208</f>
        <v>0.22269373279225091</v>
      </c>
    </row>
    <row r="15" spans="1:21" ht="16" customHeight="1">
      <c r="A15" s="28"/>
      <c r="B15" s="485" t="s">
        <v>2</v>
      </c>
      <c r="C15" s="487"/>
      <c r="D15" s="29"/>
      <c r="E15" s="487">
        <v>0.1</v>
      </c>
      <c r="J15" s="485" t="s">
        <v>2</v>
      </c>
      <c r="K15" s="487"/>
      <c r="M15" s="487">
        <f ca="1">+'Phase II Pro Forma'!$D$287</f>
        <v>0.15145135409570609</v>
      </c>
      <c r="R15" s="485" t="s">
        <v>2</v>
      </c>
      <c r="S15" s="487"/>
      <c r="U15" s="487">
        <f ca="1">'Phase III Pro Forma'!D251</f>
        <v>0.10431175222223343</v>
      </c>
    </row>
    <row r="16" spans="1:21" ht="16" hidden="1" customHeight="1">
      <c r="A16" s="28"/>
      <c r="B16" s="485"/>
      <c r="C16" s="487"/>
      <c r="D16" s="29"/>
      <c r="E16" s="487"/>
      <c r="J16" s="485"/>
      <c r="K16" s="487"/>
      <c r="M16" s="487"/>
      <c r="R16" s="485"/>
      <c r="S16" s="487"/>
      <c r="U16" s="487"/>
    </row>
    <row r="17" spans="1:21" ht="16" hidden="1" customHeight="1">
      <c r="A17" s="28"/>
      <c r="B17" s="485"/>
      <c r="C17" s="487"/>
      <c r="D17" s="29"/>
      <c r="E17" s="487"/>
      <c r="J17" s="485"/>
      <c r="K17" s="487"/>
      <c r="M17" s="487"/>
      <c r="R17" s="485"/>
      <c r="S17" s="487"/>
      <c r="U17" s="487"/>
    </row>
    <row r="18" spans="1:21" ht="16" customHeight="1">
      <c r="A18" s="28"/>
      <c r="B18" s="482" t="s">
        <v>14</v>
      </c>
      <c r="C18" s="483"/>
      <c r="D18" s="29"/>
      <c r="E18" s="488">
        <f ca="1">+'Phase I Pro Forma'!$D$314</f>
        <v>1.7807732265312366</v>
      </c>
      <c r="J18" s="482" t="s">
        <v>14</v>
      </c>
      <c r="K18" s="483"/>
      <c r="M18" s="488">
        <f ca="1">+'Phase II Pro Forma'!$D$246</f>
        <v>2.8716220691149505</v>
      </c>
      <c r="R18" s="482" t="s">
        <v>14</v>
      </c>
      <c r="S18" s="483"/>
      <c r="U18" s="488">
        <f ca="1">+'Phase III Pro Forma'!$D$210</f>
        <v>2.7880262741189221</v>
      </c>
    </row>
    <row r="19" spans="1:21" ht="16" customHeight="1">
      <c r="A19" s="28"/>
      <c r="D19" s="31"/>
    </row>
    <row r="20" spans="1:21" ht="16" customHeight="1" thickBot="1">
      <c r="A20" s="28"/>
      <c r="D20" s="31"/>
      <c r="F20" s="937" t="s">
        <v>15</v>
      </c>
      <c r="G20" s="937"/>
      <c r="H20" s="937"/>
      <c r="J20" s="938" t="s">
        <v>16</v>
      </c>
      <c r="K20" s="938"/>
      <c r="L20" s="31"/>
      <c r="M20" s="892" t="s">
        <v>17</v>
      </c>
      <c r="N20" s="892" t="str">
        <f>+F$21</f>
        <v>I</v>
      </c>
      <c r="O20" s="892" t="str">
        <f>+G$21</f>
        <v>II</v>
      </c>
      <c r="P20" s="892" t="str">
        <f>+H$21</f>
        <v>III</v>
      </c>
    </row>
    <row r="21" spans="1:21" ht="16" customHeight="1" thickBot="1">
      <c r="B21" s="938" t="s">
        <v>18</v>
      </c>
      <c r="C21" s="938"/>
      <c r="D21" s="31"/>
      <c r="E21" s="892" t="s">
        <v>17</v>
      </c>
      <c r="F21" s="893" t="s">
        <v>19</v>
      </c>
      <c r="G21" s="893" t="s">
        <v>20</v>
      </c>
      <c r="H21" s="893" t="s">
        <v>21</v>
      </c>
      <c r="J21" s="46" t="s">
        <v>22</v>
      </c>
      <c r="R21" s="936" t="s">
        <v>23</v>
      </c>
      <c r="S21" s="936"/>
    </row>
    <row r="22" spans="1:21" ht="16" customHeight="1">
      <c r="B22" s="32" t="s">
        <v>24</v>
      </c>
      <c r="C22" s="31"/>
      <c r="D22" s="31"/>
      <c r="E22" s="33">
        <f>+MIN(F22:H22)</f>
        <v>44561</v>
      </c>
      <c r="F22" s="710">
        <v>44561</v>
      </c>
      <c r="G22" s="710">
        <v>44926</v>
      </c>
      <c r="H22" s="710">
        <v>45657</v>
      </c>
      <c r="J22" s="38" t="s">
        <v>25</v>
      </c>
      <c r="K22" s="31"/>
      <c r="L22" s="31"/>
      <c r="M22" s="36">
        <f t="shared" ref="M22:M31" si="0">+SUM(N22:P22)</f>
        <v>506421.33642278676</v>
      </c>
      <c r="N22" s="876">
        <f>+F55</f>
        <v>25704.000000000004</v>
      </c>
      <c r="O22" s="876">
        <f>+G55</f>
        <v>195303.13675238861</v>
      </c>
      <c r="P22" s="876">
        <f>+H55</f>
        <v>285414.19967039814</v>
      </c>
      <c r="R22" s="173">
        <f ca="1">+OFFSET('Parcel Breakdown'!$AO$23,0,Assumptions!Q34)</f>
        <v>506421.3364227867</v>
      </c>
      <c r="S22" s="174">
        <f ca="1">+R22-M22</f>
        <v>0</v>
      </c>
    </row>
    <row r="23" spans="1:21" ht="16" customHeight="1">
      <c r="B23" s="32" t="s">
        <v>26</v>
      </c>
      <c r="C23" s="31"/>
      <c r="E23" s="31"/>
      <c r="F23" s="711">
        <v>12</v>
      </c>
      <c r="G23" s="711">
        <v>12</v>
      </c>
      <c r="H23" s="711">
        <v>12</v>
      </c>
      <c r="J23" s="38" t="s">
        <v>27</v>
      </c>
      <c r="K23" s="31"/>
      <c r="L23" s="31"/>
      <c r="M23" s="36">
        <f t="shared" si="0"/>
        <v>759630.30967650167</v>
      </c>
      <c r="N23" s="39">
        <f>+F83</f>
        <v>38556</v>
      </c>
      <c r="O23" s="39">
        <f>+G83</f>
        <v>292953.86017090449</v>
      </c>
      <c r="P23" s="39">
        <f>+H83</f>
        <v>428120.44950559718</v>
      </c>
      <c r="R23" s="173">
        <f ca="1">+OFFSET('Parcel Breakdown'!$AO$23,0,Assumptions!Q35)</f>
        <v>759630.30967650155</v>
      </c>
      <c r="S23" s="174">
        <f t="shared" ref="S23:S30" ca="1" si="1">+R23-M23</f>
        <v>0</v>
      </c>
    </row>
    <row r="24" spans="1:21" ht="16" customHeight="1">
      <c r="B24" s="32" t="s">
        <v>28</v>
      </c>
      <c r="C24" s="31"/>
      <c r="E24" s="31"/>
      <c r="F24" s="710">
        <f>+EOMONTH(F22,F23)</f>
        <v>44926</v>
      </c>
      <c r="G24" s="710">
        <f t="shared" ref="G24:H24" si="2">+EOMONTH(G22,G23)</f>
        <v>45291</v>
      </c>
      <c r="H24" s="710">
        <f t="shared" si="2"/>
        <v>46022</v>
      </c>
      <c r="J24" s="38" t="s">
        <v>29</v>
      </c>
      <c r="K24" s="31"/>
      <c r="L24" s="31"/>
      <c r="M24" s="36">
        <f t="shared" si="0"/>
        <v>288699.7</v>
      </c>
      <c r="N24" s="39">
        <f>+F137</f>
        <v>121473.40000000001</v>
      </c>
      <c r="O24" s="39">
        <f>+G137</f>
        <v>107750.7</v>
      </c>
      <c r="P24" s="39">
        <f>+H137</f>
        <v>59475.6</v>
      </c>
      <c r="R24" s="173">
        <f ca="1">+OFFSET('Parcel Breakdown'!$AO$23,0,Assumptions!Q36)</f>
        <v>288699.7</v>
      </c>
      <c r="S24" s="174">
        <f t="shared" ca="1" si="1"/>
        <v>0</v>
      </c>
    </row>
    <row r="25" spans="1:21" ht="16" customHeight="1">
      <c r="B25" s="32" t="s">
        <v>30</v>
      </c>
      <c r="C25" s="31"/>
      <c r="D25" s="31"/>
      <c r="E25" s="31"/>
      <c r="F25" s="711">
        <v>24</v>
      </c>
      <c r="G25" s="711">
        <v>24</v>
      </c>
      <c r="H25" s="711">
        <v>24</v>
      </c>
      <c r="J25" s="38" t="s">
        <v>31</v>
      </c>
      <c r="K25" s="31"/>
      <c r="L25" s="31"/>
      <c r="M25" s="36">
        <f t="shared" si="0"/>
        <v>51708.75</v>
      </c>
      <c r="N25" s="39">
        <f>+F99</f>
        <v>51708.75</v>
      </c>
      <c r="O25" s="39">
        <f>+G99</f>
        <v>0</v>
      </c>
      <c r="P25" s="39">
        <f>+H99</f>
        <v>0</v>
      </c>
      <c r="R25" s="173">
        <f ca="1">+OFFSET('Parcel Breakdown'!$AO$23,0,Assumptions!Q37)</f>
        <v>51708.75</v>
      </c>
      <c r="S25" s="174">
        <f t="shared" ca="1" si="1"/>
        <v>0</v>
      </c>
    </row>
    <row r="26" spans="1:21" ht="16" customHeight="1">
      <c r="B26" s="32" t="s">
        <v>32</v>
      </c>
      <c r="C26" s="31"/>
      <c r="D26" s="31"/>
      <c r="E26" s="31"/>
      <c r="F26" s="710">
        <f>+EOMONTH(F24,F25)</f>
        <v>45657</v>
      </c>
      <c r="G26" s="710">
        <f t="shared" ref="G26:H26" si="3">+EOMONTH(G24,G25)</f>
        <v>46022</v>
      </c>
      <c r="H26" s="710">
        <f t="shared" si="3"/>
        <v>46752</v>
      </c>
      <c r="J26" s="38" t="s">
        <v>33</v>
      </c>
      <c r="K26" s="31"/>
      <c r="L26" s="31"/>
      <c r="M26" s="36">
        <f t="shared" si="0"/>
        <v>107898.0001</v>
      </c>
      <c r="N26" s="39">
        <f>+F154</f>
        <v>107898</v>
      </c>
      <c r="O26" s="39">
        <f>+G154</f>
        <v>1E-4</v>
      </c>
      <c r="P26" s="39">
        <f>+H154</f>
        <v>0</v>
      </c>
      <c r="R26" s="173">
        <f ca="1">+OFFSET('Parcel Breakdown'!$AO$23,0,Assumptions!Q38)</f>
        <v>107898</v>
      </c>
      <c r="S26" s="174">
        <f t="shared" ca="1" si="1"/>
        <v>-1.0000000474974513E-4</v>
      </c>
    </row>
    <row r="27" spans="1:21" ht="16" customHeight="1">
      <c r="B27" s="32" t="s">
        <v>34</v>
      </c>
      <c r="C27" s="31"/>
      <c r="D27" s="31"/>
      <c r="E27" s="31"/>
      <c r="F27" s="711">
        <v>24</v>
      </c>
      <c r="G27" s="711">
        <v>24</v>
      </c>
      <c r="H27" s="711">
        <v>24</v>
      </c>
      <c r="J27" s="38" t="s">
        <v>35</v>
      </c>
      <c r="K27" s="31"/>
      <c r="L27" s="31"/>
      <c r="M27" s="36">
        <f t="shared" si="0"/>
        <v>562500</v>
      </c>
      <c r="N27" s="39">
        <f>+F172</f>
        <v>281250</v>
      </c>
      <c r="O27" s="39">
        <f>+G172</f>
        <v>281250</v>
      </c>
      <c r="P27" s="39">
        <f>+H172</f>
        <v>0</v>
      </c>
      <c r="R27" s="173">
        <f ca="1">+OFFSET('Parcel Breakdown'!$AO$23,0,Assumptions!Q39)</f>
        <v>562500</v>
      </c>
      <c r="S27" s="174">
        <f t="shared" ca="1" si="1"/>
        <v>0</v>
      </c>
    </row>
    <row r="28" spans="1:21" ht="16" customHeight="1">
      <c r="B28" s="32" t="s">
        <v>36</v>
      </c>
      <c r="C28" s="31"/>
      <c r="D28" s="31"/>
      <c r="E28" s="31"/>
      <c r="F28" s="33">
        <f>+EOMONTH(F26,F27)</f>
        <v>46387</v>
      </c>
      <c r="G28" s="33">
        <f t="shared" ref="G28:H28" si="4">+EOMONTH(G26,G27)</f>
        <v>46752</v>
      </c>
      <c r="H28" s="33">
        <f t="shared" si="4"/>
        <v>47483</v>
      </c>
      <c r="J28" s="38" t="s">
        <v>37</v>
      </c>
      <c r="M28" s="36">
        <f t="shared" si="0"/>
        <v>37784.000001</v>
      </c>
      <c r="N28" s="39">
        <v>37784</v>
      </c>
      <c r="O28" s="39">
        <f>+G218</f>
        <v>9.9999999999999995E-7</v>
      </c>
      <c r="P28" s="39">
        <f>+H218</f>
        <v>0</v>
      </c>
      <c r="R28" s="173">
        <f ca="1">+OFFSET('Parcel Breakdown'!$AO$23,0,Assumptions!Q40)</f>
        <v>37784</v>
      </c>
      <c r="S28" s="174">
        <f t="shared" ca="1" si="1"/>
        <v>-1.0000003385357559E-6</v>
      </c>
    </row>
    <row r="29" spans="1:21" ht="16" customHeight="1">
      <c r="B29" s="32" t="s">
        <v>38</v>
      </c>
      <c r="C29" s="31"/>
      <c r="D29" s="31"/>
      <c r="E29" s="711">
        <v>120</v>
      </c>
      <c r="F29" s="34">
        <f>+$E$29</f>
        <v>120</v>
      </c>
      <c r="G29" s="34">
        <f t="shared" ref="G29:H29" si="5">+$E$29</f>
        <v>120</v>
      </c>
      <c r="H29" s="34">
        <f t="shared" si="5"/>
        <v>120</v>
      </c>
      <c r="J29" s="38" t="s">
        <v>39</v>
      </c>
      <c r="M29" s="36">
        <f t="shared" si="0"/>
        <v>682606</v>
      </c>
      <c r="N29" s="39">
        <f t="shared" ref="N29:P30" si="6">+F204</f>
        <v>379134</v>
      </c>
      <c r="O29" s="39">
        <f t="shared" si="6"/>
        <v>105428</v>
      </c>
      <c r="P29" s="39">
        <f t="shared" si="6"/>
        <v>198044</v>
      </c>
      <c r="R29" s="173">
        <f ca="1">+OFFSET('Parcel Breakdown'!$AO$23,0,Assumptions!Q41)</f>
        <v>682606</v>
      </c>
      <c r="S29" s="174">
        <f t="shared" ca="1" si="1"/>
        <v>0</v>
      </c>
    </row>
    <row r="30" spans="1:21" ht="16" customHeight="1">
      <c r="B30" s="29" t="s">
        <v>40</v>
      </c>
      <c r="F30" s="33">
        <f>+EOMONTH($E$22,F29)</f>
        <v>48213</v>
      </c>
      <c r="G30" s="33">
        <f>+EOMONTH($E$22,G29)</f>
        <v>48213</v>
      </c>
      <c r="H30" s="33">
        <f>+EOMONTH($E$22,H29)</f>
        <v>48213</v>
      </c>
      <c r="J30" s="38" t="s">
        <v>41</v>
      </c>
      <c r="M30" s="36">
        <f t="shared" si="0"/>
        <v>356750</v>
      </c>
      <c r="N30" s="39">
        <f t="shared" si="6"/>
        <v>356750</v>
      </c>
      <c r="O30" s="39">
        <f t="shared" si="6"/>
        <v>0</v>
      </c>
      <c r="P30" s="39">
        <f t="shared" si="6"/>
        <v>0</v>
      </c>
      <c r="R30" s="173">
        <f ca="1">+OFFSET('Parcel Breakdown'!$AO$23,0,Assumptions!Q42)</f>
        <v>356809</v>
      </c>
      <c r="S30" s="174">
        <f t="shared" ca="1" si="1"/>
        <v>59</v>
      </c>
    </row>
    <row r="31" spans="1:21" ht="16" customHeight="1">
      <c r="J31" s="41" t="s">
        <v>42</v>
      </c>
      <c r="K31" s="41"/>
      <c r="L31" s="41"/>
      <c r="M31" s="59">
        <f t="shared" si="0"/>
        <v>3353998.0962002878</v>
      </c>
      <c r="N31" s="60">
        <f>+SUM(N22:N30)</f>
        <v>1400258.15</v>
      </c>
      <c r="O31" s="60">
        <f>+SUM(O22:O30)</f>
        <v>982685.69702429301</v>
      </c>
      <c r="P31" s="60">
        <f>+SUM(P22:P30)</f>
        <v>971054.24917599524</v>
      </c>
      <c r="R31" s="173"/>
      <c r="S31" s="174">
        <f ca="1">+SUM(S22:S30)</f>
        <v>58.999898999994912</v>
      </c>
    </row>
    <row r="32" spans="1:21" ht="16" customHeight="1">
      <c r="F32" s="35"/>
      <c r="G32" s="35"/>
      <c r="H32" s="35"/>
      <c r="R32" s="96"/>
    </row>
    <row r="33" spans="2:18" ht="16" customHeight="1" thickBot="1">
      <c r="B33" s="938" t="s">
        <v>43</v>
      </c>
      <c r="C33" s="938"/>
      <c r="D33" s="31"/>
      <c r="E33" s="892" t="s">
        <v>17</v>
      </c>
      <c r="F33" s="892" t="str">
        <f>+F$21</f>
        <v>I</v>
      </c>
      <c r="G33" s="892" t="str">
        <f t="shared" ref="G33:H33" si="7">+G$21</f>
        <v>II</v>
      </c>
      <c r="H33" s="892" t="str">
        <f t="shared" si="7"/>
        <v>III</v>
      </c>
      <c r="J33" s="46" t="s">
        <v>44</v>
      </c>
    </row>
    <row r="34" spans="2:18" ht="16" customHeight="1">
      <c r="B34" s="32" t="s">
        <v>45</v>
      </c>
      <c r="C34" s="31"/>
      <c r="D34" s="31"/>
      <c r="E34" s="712"/>
      <c r="F34" s="713">
        <f>+'Parcel Breakdown'!AO34</f>
        <v>19.925581395348839</v>
      </c>
      <c r="G34" s="713">
        <f>+'Parcel Breakdown'!AO36</f>
        <v>151.39778042820825</v>
      </c>
      <c r="H34" s="713">
        <f>+'Parcel Breakdown'!AO37</f>
        <v>221.25131757395201</v>
      </c>
      <c r="J34" s="735" t="s">
        <v>25</v>
      </c>
      <c r="K34" s="714"/>
      <c r="L34" s="714"/>
      <c r="M34" s="712">
        <f t="shared" ref="M34:M43" ca="1" si="8">+SUM(N34:P34)</f>
        <v>1015030</v>
      </c>
      <c r="N34" s="713">
        <f ca="1">+OFFSET('Parcel Breakdown'!$Y$24,0,Assumptions!$Q34)</f>
        <v>233923</v>
      </c>
      <c r="O34" s="713">
        <f ca="1">+OFFSET('Parcel Breakdown'!$Y$24,1,Assumptions!$Q34)</f>
        <v>230558</v>
      </c>
      <c r="P34" s="713">
        <f ca="1">+OFFSET('Parcel Breakdown'!$Y$24,2,Assumptions!$Q34)</f>
        <v>550549</v>
      </c>
      <c r="Q34" s="35">
        <v>0</v>
      </c>
      <c r="R34" s="96"/>
    </row>
    <row r="35" spans="2:18" ht="16" customHeight="1">
      <c r="B35" s="38" t="s">
        <v>46</v>
      </c>
      <c r="C35" s="31"/>
      <c r="D35" s="31"/>
      <c r="E35" s="713">
        <f>+E62</f>
        <v>516</v>
      </c>
      <c r="F35" s="713">
        <f>+F62</f>
        <v>516</v>
      </c>
      <c r="G35" s="713">
        <f t="shared" ref="G35:H35" si="9">+G62</f>
        <v>516</v>
      </c>
      <c r="H35" s="713">
        <f t="shared" si="9"/>
        <v>516</v>
      </c>
      <c r="J35" s="735" t="s">
        <v>27</v>
      </c>
      <c r="K35" s="714"/>
      <c r="L35" s="714"/>
      <c r="M35" s="712">
        <f t="shared" ca="1" si="8"/>
        <v>1522293</v>
      </c>
      <c r="N35" s="713">
        <f ca="1">+OFFSET('Parcel Breakdown'!$Y$24,0,Assumptions!$Q35)</f>
        <v>350884</v>
      </c>
      <c r="O35" s="713">
        <f ca="1">+OFFSET('Parcel Breakdown'!$Y$24,1,Assumptions!$Q35)</f>
        <v>345836</v>
      </c>
      <c r="P35" s="713">
        <f ca="1">+OFFSET('Parcel Breakdown'!$Y$24,2,Assumptions!$Q35)</f>
        <v>825573</v>
      </c>
      <c r="Q35" s="35">
        <f>+Q34+1</f>
        <v>1</v>
      </c>
    </row>
    <row r="36" spans="2:18" ht="16" customHeight="1">
      <c r="B36" s="38" t="s">
        <v>47</v>
      </c>
      <c r="C36" s="31"/>
      <c r="D36" s="31"/>
      <c r="E36" s="714"/>
      <c r="F36" s="715">
        <f>+F37*12/F35</f>
        <v>20.674418604651162</v>
      </c>
      <c r="G36" s="715">
        <f>+G37*12/G35</f>
        <v>21.50966511627907</v>
      </c>
      <c r="H36" s="715">
        <f>+H37*12/H35</f>
        <v>22.378655586976745</v>
      </c>
      <c r="J36" s="735" t="s">
        <v>29</v>
      </c>
      <c r="K36" s="714"/>
      <c r="L36" s="714"/>
      <c r="M36" s="712">
        <f t="shared" ca="1" si="8"/>
        <v>334815</v>
      </c>
      <c r="N36" s="713">
        <f ca="1">+OFFSET('Parcel Breakdown'!$Y$24,0,Assumptions!$Q36)</f>
        <v>149008</v>
      </c>
      <c r="O36" s="713">
        <f ca="1">+OFFSET('Parcel Breakdown'!$Y$24,1,Assumptions!$Q36)</f>
        <v>119723</v>
      </c>
      <c r="P36" s="713">
        <f ca="1">+OFFSET('Parcel Breakdown'!$Y$24,2,Assumptions!$Q36)</f>
        <v>66084</v>
      </c>
      <c r="Q36" s="35">
        <f t="shared" ref="Q36:Q42" si="10">+Q35+1</f>
        <v>2</v>
      </c>
    </row>
    <row r="37" spans="2:18" ht="16" customHeight="1">
      <c r="B37" s="38" t="s">
        <v>48</v>
      </c>
      <c r="C37" s="31"/>
      <c r="D37" s="31"/>
      <c r="E37" s="716"/>
      <c r="F37" s="717">
        <v>889</v>
      </c>
      <c r="G37" s="717">
        <f>+F37*(1+0.02)^2</f>
        <v>924.91560000000004</v>
      </c>
      <c r="H37" s="717">
        <f>+G37*(1+0.02)^2</f>
        <v>962.28219024000009</v>
      </c>
      <c r="J37" s="735" t="s">
        <v>31</v>
      </c>
      <c r="K37" s="714"/>
      <c r="L37" s="714"/>
      <c r="M37" s="712">
        <f t="shared" ca="1" si="8"/>
        <v>68945</v>
      </c>
      <c r="N37" s="713">
        <f ca="1">+OFFSET('Parcel Breakdown'!$Y$24,0,Assumptions!$Q37)</f>
        <v>68945</v>
      </c>
      <c r="O37" s="713">
        <f ca="1">+OFFSET('Parcel Breakdown'!$Y$24,1,Assumptions!$Q37)</f>
        <v>0</v>
      </c>
      <c r="P37" s="713">
        <f ca="1">+OFFSET('Parcel Breakdown'!$Y$24,2,Assumptions!$Q37)</f>
        <v>0</v>
      </c>
      <c r="Q37" s="35">
        <f t="shared" si="10"/>
        <v>3</v>
      </c>
    </row>
    <row r="38" spans="2:18" ht="16" customHeight="1">
      <c r="B38" s="32" t="s">
        <v>49</v>
      </c>
      <c r="C38" s="31"/>
      <c r="D38" s="31"/>
      <c r="E38" s="712"/>
      <c r="F38" s="713">
        <f>+'Parcel Breakdown'!AQ34</f>
        <v>8.9250000000000007</v>
      </c>
      <c r="G38" s="713">
        <f>+'Parcel Breakdown'!AQ36</f>
        <v>67.813589150134931</v>
      </c>
      <c r="H38" s="713">
        <f>+'Parcel Breakdown'!AQ37</f>
        <v>99.102152663332674</v>
      </c>
      <c r="J38" s="735" t="s">
        <v>50</v>
      </c>
      <c r="K38" s="714"/>
      <c r="L38" s="714"/>
      <c r="M38" s="712">
        <f t="shared" ca="1" si="8"/>
        <v>107898</v>
      </c>
      <c r="N38" s="713">
        <f ca="1">+OFFSET('Parcel Breakdown'!$Y$24,0,Assumptions!$Q38)</f>
        <v>107898</v>
      </c>
      <c r="O38" s="713">
        <f ca="1">+OFFSET('Parcel Breakdown'!$Y$24,1,Assumptions!$Q38)</f>
        <v>0</v>
      </c>
      <c r="P38" s="713">
        <f ca="1">+OFFSET('Parcel Breakdown'!$Y$24,2,Assumptions!$Q38)</f>
        <v>0</v>
      </c>
      <c r="Q38" s="35">
        <f t="shared" si="10"/>
        <v>4</v>
      </c>
    </row>
    <row r="39" spans="2:18" ht="16" customHeight="1">
      <c r="B39" s="38" t="s">
        <v>46</v>
      </c>
      <c r="C39" s="31"/>
      <c r="D39" s="31"/>
      <c r="E39" s="713">
        <f t="shared" ref="E39:H39" si="11">+E66</f>
        <v>720</v>
      </c>
      <c r="F39" s="713">
        <f t="shared" si="11"/>
        <v>720</v>
      </c>
      <c r="G39" s="713">
        <f t="shared" si="11"/>
        <v>720</v>
      </c>
      <c r="H39" s="713">
        <f t="shared" si="11"/>
        <v>720</v>
      </c>
      <c r="J39" s="735" t="s">
        <v>35</v>
      </c>
      <c r="K39" s="714"/>
      <c r="L39" s="714"/>
      <c r="M39" s="712">
        <f t="shared" ca="1" si="8"/>
        <v>625000</v>
      </c>
      <c r="N39" s="713">
        <f ca="1">+OFFSET('Parcel Breakdown'!$Y$24,0,Assumptions!$Q39)</f>
        <v>312500</v>
      </c>
      <c r="O39" s="713">
        <f ca="1">+OFFSET('Parcel Breakdown'!$Y$24,1,Assumptions!$Q39)</f>
        <v>312500</v>
      </c>
      <c r="P39" s="713">
        <f ca="1">+OFFSET('Parcel Breakdown'!$Y$24,2,Assumptions!$Q39)</f>
        <v>0</v>
      </c>
      <c r="Q39" s="35">
        <f t="shared" si="10"/>
        <v>5</v>
      </c>
    </row>
    <row r="40" spans="2:18" ht="16" customHeight="1">
      <c r="B40" s="38" t="s">
        <v>47</v>
      </c>
      <c r="C40" s="31"/>
      <c r="D40" s="31"/>
      <c r="E40" s="714"/>
      <c r="F40" s="715">
        <f>+F41*12/F39</f>
        <v>15.883333333333333</v>
      </c>
      <c r="G40" s="715">
        <f t="shared" ref="G40" si="12">+G41*12/G39</f>
        <v>16.525020000000001</v>
      </c>
      <c r="H40" s="715">
        <f t="shared" ref="H40" si="13">+H41*12/H39</f>
        <v>17.192630808000004</v>
      </c>
      <c r="J40" s="735" t="s">
        <v>37</v>
      </c>
      <c r="K40" s="727"/>
      <c r="L40" s="727"/>
      <c r="M40" s="712">
        <f t="shared" ca="1" si="8"/>
        <v>37784</v>
      </c>
      <c r="N40" s="713">
        <f ca="1">+OFFSET('Parcel Breakdown'!$Y$24,0,Assumptions!$Q40)</f>
        <v>37784</v>
      </c>
      <c r="O40" s="713">
        <f ca="1">+OFFSET('Parcel Breakdown'!$Y$24,1,Assumptions!$Q40)</f>
        <v>0</v>
      </c>
      <c r="P40" s="713">
        <f ca="1">+OFFSET('Parcel Breakdown'!$Y$24,2,Assumptions!$Q40)</f>
        <v>0</v>
      </c>
      <c r="Q40" s="35">
        <f t="shared" si="10"/>
        <v>6</v>
      </c>
    </row>
    <row r="41" spans="2:18" ht="16" customHeight="1">
      <c r="B41" s="38" t="s">
        <v>48</v>
      </c>
      <c r="C41" s="31"/>
      <c r="D41" s="31"/>
      <c r="E41" s="716"/>
      <c r="F41" s="717">
        <v>953</v>
      </c>
      <c r="G41" s="717">
        <f>+F41*(1+0.02)^2</f>
        <v>991.50120000000004</v>
      </c>
      <c r="H41" s="717">
        <f>+G41*(1+0.02)^2</f>
        <v>1031.5578484800001</v>
      </c>
      <c r="J41" s="735" t="s">
        <v>39</v>
      </c>
      <c r="K41" s="727"/>
      <c r="L41" s="727"/>
      <c r="M41" s="712">
        <f t="shared" ca="1" si="8"/>
        <v>682606</v>
      </c>
      <c r="N41" s="713">
        <f ca="1">+OFFSET('Parcel Breakdown'!$Y$24,0,Assumptions!$Q41)</f>
        <v>379134</v>
      </c>
      <c r="O41" s="713">
        <f ca="1">+OFFSET('Parcel Breakdown'!$Y$24,1,Assumptions!$Q41)</f>
        <v>105428</v>
      </c>
      <c r="P41" s="713">
        <f ca="1">+OFFSET('Parcel Breakdown'!$Y$24,2,Assumptions!$Q41)</f>
        <v>198044</v>
      </c>
      <c r="Q41" s="35">
        <f t="shared" si="10"/>
        <v>7</v>
      </c>
    </row>
    <row r="42" spans="2:18" ht="16" customHeight="1">
      <c r="B42" s="32" t="s">
        <v>51</v>
      </c>
      <c r="E42" s="712"/>
      <c r="F42" s="713">
        <f>+'Parcel Breakdown'!AS34</f>
        <v>6.1025641025641022</v>
      </c>
      <c r="G42" s="713">
        <f>+'Parcel Breakdown'!AS36</f>
        <v>46.368266085562347</v>
      </c>
      <c r="H42" s="713">
        <f>+'Parcel Breakdown'!AS37</f>
        <v>67.762155667236016</v>
      </c>
      <c r="J42" s="735" t="s">
        <v>41</v>
      </c>
      <c r="K42" s="727"/>
      <c r="L42" s="727"/>
      <c r="M42" s="712">
        <f t="shared" ca="1" si="8"/>
        <v>713618</v>
      </c>
      <c r="N42" s="713">
        <f ca="1">+OFFSET('Parcel Breakdown'!$Y$24,0,Assumptions!$Q42)</f>
        <v>713618</v>
      </c>
      <c r="O42" s="713">
        <f ca="1">+OFFSET('Parcel Breakdown'!$Y$24,1,Assumptions!$Q42)</f>
        <v>0</v>
      </c>
      <c r="P42" s="713">
        <f ca="1">+OFFSET('Parcel Breakdown'!$Y$24,2,Assumptions!$Q42)</f>
        <v>0</v>
      </c>
      <c r="Q42" s="35">
        <f t="shared" si="10"/>
        <v>8</v>
      </c>
    </row>
    <row r="43" spans="2:18" ht="16" customHeight="1">
      <c r="B43" s="38" t="s">
        <v>46</v>
      </c>
      <c r="E43" s="713">
        <f t="shared" ref="E43:H43" si="14">+E70</f>
        <v>1053</v>
      </c>
      <c r="F43" s="713">
        <f t="shared" si="14"/>
        <v>1053</v>
      </c>
      <c r="G43" s="713">
        <f t="shared" si="14"/>
        <v>1053</v>
      </c>
      <c r="H43" s="713">
        <f t="shared" si="14"/>
        <v>1053</v>
      </c>
      <c r="J43" s="736" t="s">
        <v>52</v>
      </c>
      <c r="K43" s="736"/>
      <c r="L43" s="736"/>
      <c r="M43" s="737">
        <f t="shared" ca="1" si="8"/>
        <v>5107989</v>
      </c>
      <c r="N43" s="738">
        <f ca="1">+SUM(N34:N42)</f>
        <v>2353694</v>
      </c>
      <c r="O43" s="738">
        <f ca="1">+SUM(O34:O42)</f>
        <v>1114045</v>
      </c>
      <c r="P43" s="738">
        <f ca="1">+SUM(P34:P42)</f>
        <v>1640250</v>
      </c>
    </row>
    <row r="44" spans="2:18" ht="16" customHeight="1">
      <c r="B44" s="38" t="s">
        <v>47</v>
      </c>
      <c r="E44" s="714"/>
      <c r="F44" s="715">
        <f>+F45*12/F43</f>
        <v>13.037037037037036</v>
      </c>
      <c r="G44" s="715">
        <f t="shared" ref="G44" si="15">+G45*12/G43</f>
        <v>13.563733333333333</v>
      </c>
      <c r="H44" s="715">
        <f t="shared" ref="H44" si="16">+H45*12/H43</f>
        <v>14.111708160000001</v>
      </c>
      <c r="J44" s="727"/>
      <c r="K44" s="727"/>
      <c r="L44" s="727"/>
      <c r="M44" s="727"/>
      <c r="N44" s="727"/>
      <c r="O44" s="727"/>
      <c r="P44" s="727"/>
    </row>
    <row r="45" spans="2:18" ht="16" customHeight="1">
      <c r="B45" s="38" t="s">
        <v>48</v>
      </c>
      <c r="E45" s="716"/>
      <c r="F45" s="717">
        <v>1144</v>
      </c>
      <c r="G45" s="717">
        <f>+F45*(1+0.02)^2</f>
        <v>1190.2175999999999</v>
      </c>
      <c r="H45" s="717">
        <f>+G45*(1+0.02)^2</f>
        <v>1238.30239104</v>
      </c>
      <c r="J45" s="739" t="s">
        <v>53</v>
      </c>
      <c r="K45" s="727"/>
      <c r="L45" s="727"/>
      <c r="M45" s="727"/>
      <c r="N45" s="727"/>
      <c r="O45" s="727"/>
      <c r="P45" s="727"/>
    </row>
    <row r="46" spans="2:18" ht="16" customHeight="1">
      <c r="B46" s="32" t="s">
        <v>54</v>
      </c>
      <c r="E46" s="712"/>
      <c r="F46" s="713">
        <f>+'Parcel Breakdown'!AU34</f>
        <v>1.674527687296417</v>
      </c>
      <c r="G46" s="713">
        <f>+'Parcel Breakdown'!AU36</f>
        <v>12.723331384520433</v>
      </c>
      <c r="H46" s="713">
        <f>+'Parcel Breakdown'!AU37</f>
        <v>18.593758936182287</v>
      </c>
      <c r="J46" s="735" t="s">
        <v>25</v>
      </c>
      <c r="K46" s="714"/>
      <c r="L46" s="714"/>
      <c r="M46" s="712">
        <f>+SUM(N46:P46)</f>
        <v>721.64002507433827</v>
      </c>
      <c r="N46" s="713">
        <f>+F56</f>
        <v>36.62767318520936</v>
      </c>
      <c r="O46" s="713">
        <f>+G56</f>
        <v>278.30296704842596</v>
      </c>
      <c r="P46" s="713">
        <f>+H56</f>
        <v>406.70938484070297</v>
      </c>
    </row>
    <row r="47" spans="2:18" ht="16" customHeight="1">
      <c r="B47" s="38" t="s">
        <v>46</v>
      </c>
      <c r="E47" s="713">
        <f t="shared" ref="E47:H47" si="17">+E74</f>
        <v>1535</v>
      </c>
      <c r="F47" s="713">
        <f t="shared" si="17"/>
        <v>1535</v>
      </c>
      <c r="G47" s="713">
        <f t="shared" si="17"/>
        <v>1535</v>
      </c>
      <c r="H47" s="713">
        <f t="shared" si="17"/>
        <v>1535</v>
      </c>
      <c r="J47" s="735" t="s">
        <v>27</v>
      </c>
      <c r="K47" s="727"/>
      <c r="L47" s="727"/>
      <c r="M47" s="712">
        <f>+SUM(N47:P47)</f>
        <v>1082.4576223315544</v>
      </c>
      <c r="N47" s="713">
        <f>+F84</f>
        <v>54.941509777814034</v>
      </c>
      <c r="O47" s="713">
        <f>+G84</f>
        <v>417.45324652526489</v>
      </c>
      <c r="P47" s="713">
        <f>+H84</f>
        <v>610.06286602847558</v>
      </c>
    </row>
    <row r="48" spans="2:18" ht="16" customHeight="1">
      <c r="B48" s="38" t="s">
        <v>47</v>
      </c>
      <c r="E48" s="714"/>
      <c r="F48" s="715">
        <f>+F49*12/F47</f>
        <v>10.327035830618893</v>
      </c>
      <c r="G48" s="715">
        <f t="shared" ref="G48" si="18">+G49*12/G47</f>
        <v>10.744248078175895</v>
      </c>
      <c r="H48" s="715">
        <f t="shared" ref="H48" si="19">+H49*12/H47</f>
        <v>11.178315700534201</v>
      </c>
      <c r="J48" s="735" t="s">
        <v>31</v>
      </c>
      <c r="K48" s="727"/>
      <c r="L48" s="727"/>
      <c r="M48" s="712">
        <f>+SUM(N48:P48)</f>
        <v>129.27187499999999</v>
      </c>
      <c r="N48" s="713">
        <f>+F100</f>
        <v>129.27187499999999</v>
      </c>
      <c r="O48" s="713">
        <f>+G100</f>
        <v>0</v>
      </c>
      <c r="P48" s="713">
        <f>+H100</f>
        <v>0</v>
      </c>
    </row>
    <row r="49" spans="2:18" ht="16" customHeight="1">
      <c r="B49" s="38" t="s">
        <v>48</v>
      </c>
      <c r="E49" s="716"/>
      <c r="F49" s="717">
        <v>1321</v>
      </c>
      <c r="G49" s="717">
        <f>+F49*(1+0.02)^2</f>
        <v>1374.3684000000001</v>
      </c>
      <c r="H49" s="717">
        <f>+G49*(1+0.02)^2</f>
        <v>1429.89288336</v>
      </c>
      <c r="J49" s="735" t="s">
        <v>39</v>
      </c>
      <c r="K49" s="727"/>
      <c r="L49" s="727"/>
      <c r="M49" s="712">
        <f>+SUM(N49:P49)</f>
        <v>2730.424</v>
      </c>
      <c r="N49" s="713">
        <f>+F177+F184</f>
        <v>1516.5360000000001</v>
      </c>
      <c r="O49" s="713">
        <f>+G177+G184</f>
        <v>421.71199999999999</v>
      </c>
      <c r="P49" s="713">
        <f>+H177+H184</f>
        <v>792.17600000000004</v>
      </c>
    </row>
    <row r="50" spans="2:18" ht="16" customHeight="1">
      <c r="B50" s="32" t="s">
        <v>55</v>
      </c>
      <c r="E50" s="713">
        <f>+'Parcel Breakdown'!AV34</f>
        <v>0</v>
      </c>
      <c r="F50" s="713">
        <f>+'Parcel Breakdown'!AW34</f>
        <v>0</v>
      </c>
      <c r="G50" s="713">
        <f>+'Parcel Breakdown'!AW36</f>
        <v>0</v>
      </c>
      <c r="H50" s="713">
        <f>+'Parcel Breakdown'!AW37</f>
        <v>0</v>
      </c>
      <c r="J50" s="735" t="s">
        <v>41</v>
      </c>
      <c r="K50" s="727"/>
      <c r="L50" s="727"/>
      <c r="M50" s="712">
        <f>+SUM(N50:P50)</f>
        <v>1427</v>
      </c>
      <c r="N50" s="713">
        <f>+F191+F197</f>
        <v>1427</v>
      </c>
      <c r="O50" s="713">
        <f>+G191+G197</f>
        <v>0</v>
      </c>
      <c r="P50" s="713">
        <f>+H191+H197</f>
        <v>0</v>
      </c>
    </row>
    <row r="51" spans="2:18" ht="16" customHeight="1">
      <c r="B51" s="38" t="s">
        <v>46</v>
      </c>
      <c r="E51" s="712"/>
      <c r="F51" s="713">
        <f t="shared" ref="F51:H51" si="20">+F78</f>
        <v>0</v>
      </c>
      <c r="G51" s="713">
        <f t="shared" si="20"/>
        <v>0</v>
      </c>
      <c r="H51" s="713">
        <f t="shared" si="20"/>
        <v>0</v>
      </c>
      <c r="J51" s="727"/>
      <c r="K51" s="727"/>
      <c r="L51" s="727"/>
      <c r="M51" s="727"/>
      <c r="N51" s="727"/>
      <c r="O51" s="727"/>
      <c r="P51" s="727"/>
    </row>
    <row r="52" spans="2:18" ht="16" customHeight="1">
      <c r="B52" s="38" t="s">
        <v>47</v>
      </c>
      <c r="E52" s="714"/>
      <c r="F52" s="718">
        <f>F51</f>
        <v>0</v>
      </c>
      <c r="G52" s="718">
        <f t="shared" ref="G52:H52" si="21">G51</f>
        <v>0</v>
      </c>
      <c r="H52" s="718">
        <f t="shared" si="21"/>
        <v>0</v>
      </c>
      <c r="J52" s="939" t="s">
        <v>56</v>
      </c>
      <c r="K52" s="939"/>
      <c r="L52" s="714"/>
      <c r="M52" s="893" t="s">
        <v>17</v>
      </c>
      <c r="N52" s="893" t="str">
        <f>+F$21</f>
        <v>I</v>
      </c>
      <c r="O52" s="893" t="str">
        <f>+G$21</f>
        <v>II</v>
      </c>
      <c r="P52" s="893" t="str">
        <f>+H$21</f>
        <v>III</v>
      </c>
    </row>
    <row r="53" spans="2:18" ht="16" customHeight="1">
      <c r="B53" s="38" t="s">
        <v>48</v>
      </c>
      <c r="E53" s="716"/>
      <c r="F53" s="717">
        <v>1136</v>
      </c>
      <c r="G53" s="717">
        <f>+F53*(1+0.02)^2</f>
        <v>1181.8943999999999</v>
      </c>
      <c r="H53" s="717">
        <f>+G53*(1+0.02)^2</f>
        <v>1229.6429337599998</v>
      </c>
      <c r="J53" s="740" t="s">
        <v>57</v>
      </c>
      <c r="K53" s="727"/>
      <c r="L53" s="727"/>
      <c r="M53" s="727"/>
      <c r="N53" s="727"/>
      <c r="O53" s="727"/>
      <c r="P53" s="727"/>
    </row>
    <row r="54" spans="2:18" ht="16" customHeight="1">
      <c r="B54" s="40" t="s">
        <v>58</v>
      </c>
      <c r="C54" s="41"/>
      <c r="D54" s="41"/>
      <c r="E54" s="719">
        <f>+SUM(F54:H54)</f>
        <v>8891855.6999656036</v>
      </c>
      <c r="F54" s="720">
        <f>+F36*F35*F34+F38*F39*F40+F42*F43*F44+F46*F47*F48+F50*F51*F52</f>
        <v>424953.01522460423</v>
      </c>
      <c r="G54" s="720">
        <f>+G36*G35*G34+G38*G39*G40+G42*G43*G44+G46*G47*G48+G50*G51*G52</f>
        <v>3359307.5389946732</v>
      </c>
      <c r="H54" s="720">
        <f>+H36*H35*H34+H38*H39*H40+H42*H43*H44+H46*H47*H48+H50*H51*H52</f>
        <v>5107595.1457463261</v>
      </c>
      <c r="J54" s="735" t="s">
        <v>59</v>
      </c>
      <c r="K54" s="714"/>
      <c r="L54" s="714"/>
      <c r="M54" s="729">
        <v>0.02</v>
      </c>
      <c r="N54" s="730">
        <f t="shared" ref="N54:P60" si="22">+$M54</f>
        <v>0.02</v>
      </c>
      <c r="O54" s="730">
        <f t="shared" si="22"/>
        <v>0.02</v>
      </c>
      <c r="P54" s="730">
        <f t="shared" si="22"/>
        <v>0.02</v>
      </c>
    </row>
    <row r="55" spans="2:18" ht="16" customHeight="1">
      <c r="B55" s="42" t="s">
        <v>60</v>
      </c>
      <c r="C55" s="43"/>
      <c r="D55" s="43"/>
      <c r="E55" s="721">
        <f>+SUM(F55:H55)</f>
        <v>506421.33642278676</v>
      </c>
      <c r="F55" s="722">
        <f>+F34*F35+F38*F39+F42*F43+F46*F47+F50*F51</f>
        <v>25704.000000000004</v>
      </c>
      <c r="G55" s="722">
        <f t="shared" ref="G55:H55" si="23">+G34*G35+G38*G39+G42*G43+G46*G47+G50*G51</f>
        <v>195303.13675238861</v>
      </c>
      <c r="H55" s="722">
        <f t="shared" si="23"/>
        <v>285414.19967039814</v>
      </c>
      <c r="J55" s="735" t="s">
        <v>61</v>
      </c>
      <c r="K55" s="714"/>
      <c r="L55" s="714"/>
      <c r="M55" s="741">
        <v>0.05</v>
      </c>
      <c r="N55" s="730">
        <f t="shared" si="22"/>
        <v>0.05</v>
      </c>
      <c r="O55" s="730">
        <f t="shared" si="22"/>
        <v>0.05</v>
      </c>
      <c r="P55" s="730">
        <f t="shared" si="22"/>
        <v>0.05</v>
      </c>
    </row>
    <row r="56" spans="2:18" ht="16" customHeight="1">
      <c r="B56" s="38" t="s">
        <v>62</v>
      </c>
      <c r="C56" s="30"/>
      <c r="E56" s="712">
        <f>+SUM(F56:H56)</f>
        <v>721.64002507433827</v>
      </c>
      <c r="F56" s="713">
        <f>+F34+F38+F42+F46+F50</f>
        <v>36.62767318520936</v>
      </c>
      <c r="G56" s="713">
        <f t="shared" ref="G56:H56" si="24">+G34+G38+G42+G46+G50</f>
        <v>278.30296704842596</v>
      </c>
      <c r="H56" s="713">
        <f t="shared" si="24"/>
        <v>406.70938484070297</v>
      </c>
      <c r="J56" s="735" t="s">
        <v>63</v>
      </c>
      <c r="K56" s="714"/>
      <c r="L56" s="714"/>
      <c r="M56" s="729">
        <v>0.05</v>
      </c>
      <c r="N56" s="730">
        <f t="shared" si="22"/>
        <v>0.05</v>
      </c>
      <c r="O56" s="730">
        <f t="shared" si="22"/>
        <v>0.05</v>
      </c>
      <c r="P56" s="730">
        <f t="shared" si="22"/>
        <v>0.05</v>
      </c>
    </row>
    <row r="57" spans="2:18" ht="16" customHeight="1">
      <c r="B57" s="38" t="s">
        <v>64</v>
      </c>
      <c r="C57" s="30"/>
      <c r="E57" s="723">
        <f>+IFERROR(E54/E55,"")</f>
        <v>17.558216963714621</v>
      </c>
      <c r="F57" s="718">
        <f>+IFERROR(F54/F55,"")</f>
        <v>16.532563617514946</v>
      </c>
      <c r="G57" s="718">
        <f t="shared" ref="G57:H57" si="25">+IFERROR(G54/G55,"")</f>
        <v>17.200479187662548</v>
      </c>
      <c r="H57" s="718">
        <f t="shared" si="25"/>
        <v>17.895378546844118</v>
      </c>
      <c r="J57" s="735" t="s">
        <v>65</v>
      </c>
      <c r="K57" s="714"/>
      <c r="L57" s="714"/>
      <c r="M57" s="729">
        <v>0.05</v>
      </c>
      <c r="N57" s="730">
        <f t="shared" si="22"/>
        <v>0.05</v>
      </c>
      <c r="O57" s="730">
        <f t="shared" si="22"/>
        <v>0.05</v>
      </c>
      <c r="P57" s="730">
        <f t="shared" si="22"/>
        <v>0.05</v>
      </c>
    </row>
    <row r="58" spans="2:18" ht="16" customHeight="1">
      <c r="B58" s="44" t="s">
        <v>66</v>
      </c>
      <c r="C58" s="45"/>
      <c r="D58" s="45"/>
      <c r="E58" s="724">
        <f>+IFERROR(E54/E56/12,"")</f>
        <v>1026.8110820499489</v>
      </c>
      <c r="F58" s="725">
        <f>+IFERROR(F54/F56/12,"")</f>
        <v>966.8304915152803</v>
      </c>
      <c r="G58" s="725">
        <f t="shared" ref="G58:H58" si="26">+IFERROR(G54/G56/12,"")</f>
        <v>1005.8904433724975</v>
      </c>
      <c r="H58" s="725">
        <f t="shared" si="26"/>
        <v>1046.5284172847466</v>
      </c>
      <c r="J58" s="735" t="s">
        <v>67</v>
      </c>
      <c r="K58" s="714"/>
      <c r="L58" s="714"/>
      <c r="M58" s="729">
        <v>0.05</v>
      </c>
      <c r="N58" s="730">
        <f t="shared" si="22"/>
        <v>0.05</v>
      </c>
      <c r="O58" s="730">
        <f t="shared" si="22"/>
        <v>0.05</v>
      </c>
      <c r="P58" s="730">
        <f t="shared" si="22"/>
        <v>0.05</v>
      </c>
    </row>
    <row r="59" spans="2:18" ht="16" customHeight="1">
      <c r="E59" s="726"/>
      <c r="F59" s="710"/>
      <c r="G59" s="710"/>
      <c r="H59" s="710"/>
      <c r="J59" s="735" t="s">
        <v>68</v>
      </c>
      <c r="K59" s="714"/>
      <c r="L59" s="714"/>
      <c r="M59" s="729">
        <v>0.05</v>
      </c>
      <c r="N59" s="730">
        <f t="shared" si="22"/>
        <v>0.05</v>
      </c>
      <c r="O59" s="730">
        <f t="shared" si="22"/>
        <v>0.05</v>
      </c>
      <c r="P59" s="730">
        <f t="shared" si="22"/>
        <v>0.05</v>
      </c>
    </row>
    <row r="60" spans="2:18" ht="16" customHeight="1" thickBot="1">
      <c r="B60" s="938" t="s">
        <v>69</v>
      </c>
      <c r="C60" s="938"/>
      <c r="D60" s="31"/>
      <c r="E60" s="893" t="s">
        <v>17</v>
      </c>
      <c r="F60" s="893" t="str">
        <f>+F$21</f>
        <v>I</v>
      </c>
      <c r="G60" s="893" t="str">
        <f t="shared" ref="G60:H60" si="27">+G$21</f>
        <v>II</v>
      </c>
      <c r="H60" s="893" t="str">
        <f t="shared" si="27"/>
        <v>III</v>
      </c>
      <c r="J60" s="735" t="s">
        <v>70</v>
      </c>
      <c r="K60" s="714"/>
      <c r="L60" s="714"/>
      <c r="M60" s="729">
        <v>0.1</v>
      </c>
      <c r="N60" s="730">
        <f t="shared" si="22"/>
        <v>0.1</v>
      </c>
      <c r="O60" s="730">
        <f t="shared" si="22"/>
        <v>0.1</v>
      </c>
      <c r="P60" s="730">
        <f t="shared" si="22"/>
        <v>0.1</v>
      </c>
    </row>
    <row r="61" spans="2:18" ht="16" customHeight="1">
      <c r="B61" s="32" t="s">
        <v>45</v>
      </c>
      <c r="C61" s="31"/>
      <c r="D61" s="31"/>
      <c r="E61" s="712"/>
      <c r="F61" s="713">
        <f>+'Parcel Breakdown'!AO30</f>
        <v>29.888372093023257</v>
      </c>
      <c r="G61" s="713">
        <f>+'Parcel Breakdown'!AO31</f>
        <v>227.09601563636002</v>
      </c>
      <c r="H61" s="713">
        <f>+'Parcel Breakdown'!AO33</f>
        <v>331.87631744619932</v>
      </c>
      <c r="J61" s="727"/>
      <c r="K61" s="727"/>
      <c r="L61" s="727"/>
      <c r="M61" s="727"/>
      <c r="N61" s="727"/>
      <c r="O61" s="727"/>
      <c r="P61" s="727"/>
    </row>
    <row r="62" spans="2:18" ht="16" customHeight="1">
      <c r="B62" s="38" t="s">
        <v>46</v>
      </c>
      <c r="C62" s="31"/>
      <c r="D62" s="31"/>
      <c r="E62" s="712">
        <v>516</v>
      </c>
      <c r="F62" s="713">
        <f>+$E62</f>
        <v>516</v>
      </c>
      <c r="G62" s="713">
        <f t="shared" ref="G62:H62" si="28">+$E62</f>
        <v>516</v>
      </c>
      <c r="H62" s="713">
        <f t="shared" si="28"/>
        <v>516</v>
      </c>
      <c r="J62" s="740" t="s">
        <v>71</v>
      </c>
      <c r="K62" s="727"/>
      <c r="L62" s="727"/>
      <c r="M62" s="742"/>
      <c r="N62" s="727"/>
      <c r="O62" s="727"/>
      <c r="P62" s="727"/>
    </row>
    <row r="63" spans="2:18" ht="16" customHeight="1">
      <c r="B63" s="38" t="s">
        <v>47</v>
      </c>
      <c r="C63" s="31"/>
      <c r="D63" s="31"/>
      <c r="E63" s="714"/>
      <c r="F63" s="718">
        <f>+F64*12/F62</f>
        <v>42.348837209302324</v>
      </c>
      <c r="G63" s="718">
        <f t="shared" ref="G63:H63" si="29">+G64*12/G62</f>
        <v>42.348837209302324</v>
      </c>
      <c r="H63" s="718">
        <f t="shared" si="29"/>
        <v>42.348837209302324</v>
      </c>
      <c r="J63" s="735" t="s">
        <v>72</v>
      </c>
      <c r="K63" s="727"/>
      <c r="L63" s="727"/>
      <c r="M63" s="729">
        <v>0.02</v>
      </c>
      <c r="N63" s="730">
        <f t="shared" ref="N63:P74" si="30">+$M63</f>
        <v>0.02</v>
      </c>
      <c r="O63" s="730">
        <f t="shared" si="30"/>
        <v>0.02</v>
      </c>
      <c r="P63" s="730">
        <f t="shared" si="30"/>
        <v>0.02</v>
      </c>
    </row>
    <row r="64" spans="2:18" ht="16" customHeight="1">
      <c r="B64" s="38" t="s">
        <v>48</v>
      </c>
      <c r="C64" s="31"/>
      <c r="D64" s="31"/>
      <c r="E64" s="716"/>
      <c r="F64" s="717">
        <v>1821</v>
      </c>
      <c r="G64" s="717">
        <v>1821</v>
      </c>
      <c r="H64" s="717">
        <v>1821</v>
      </c>
      <c r="J64" s="735" t="s">
        <v>73</v>
      </c>
      <c r="K64" s="727"/>
      <c r="L64" s="727"/>
      <c r="M64" s="729">
        <v>0.03</v>
      </c>
      <c r="N64" s="730">
        <f t="shared" si="30"/>
        <v>0.03</v>
      </c>
      <c r="O64" s="730">
        <f t="shared" si="30"/>
        <v>0.03</v>
      </c>
      <c r="P64" s="730">
        <f t="shared" si="30"/>
        <v>0.03</v>
      </c>
      <c r="R64" s="232"/>
    </row>
    <row r="65" spans="2:16" ht="16" customHeight="1">
      <c r="B65" s="32" t="s">
        <v>49</v>
      </c>
      <c r="C65" s="31"/>
      <c r="D65" s="31"/>
      <c r="E65" s="712"/>
      <c r="F65" s="713">
        <f>+'Parcel Breakdown'!AQ30</f>
        <v>13.387499999999999</v>
      </c>
      <c r="G65" s="713">
        <f>+'Parcel Breakdown'!AQ31</f>
        <v>101.7200903371196</v>
      </c>
      <c r="H65" s="713">
        <f>+'Parcel Breakdown'!AQ33</f>
        <v>148.65293385611011</v>
      </c>
      <c r="J65" s="735" t="s">
        <v>74</v>
      </c>
      <c r="K65" s="727"/>
      <c r="L65" s="727"/>
      <c r="M65" s="729">
        <v>0.1</v>
      </c>
      <c r="N65" s="730">
        <f t="shared" si="30"/>
        <v>0.1</v>
      </c>
      <c r="O65" s="730">
        <f t="shared" si="30"/>
        <v>0.1</v>
      </c>
      <c r="P65" s="730">
        <f t="shared" si="30"/>
        <v>0.1</v>
      </c>
    </row>
    <row r="66" spans="2:16" ht="16" customHeight="1">
      <c r="B66" s="38" t="s">
        <v>46</v>
      </c>
      <c r="C66" s="31"/>
      <c r="D66" s="31"/>
      <c r="E66" s="712">
        <v>720</v>
      </c>
      <c r="F66" s="713">
        <f>+$E66</f>
        <v>720</v>
      </c>
      <c r="G66" s="713">
        <f t="shared" ref="G66:H66" si="31">+$E66</f>
        <v>720</v>
      </c>
      <c r="H66" s="713">
        <f t="shared" si="31"/>
        <v>720</v>
      </c>
      <c r="J66" s="743" t="s">
        <v>75</v>
      </c>
      <c r="K66" s="727"/>
      <c r="L66" s="727"/>
      <c r="M66" s="744">
        <v>5</v>
      </c>
      <c r="N66" s="745">
        <f t="shared" si="30"/>
        <v>5</v>
      </c>
      <c r="O66" s="745">
        <f t="shared" si="30"/>
        <v>5</v>
      </c>
      <c r="P66" s="745">
        <f t="shared" si="30"/>
        <v>5</v>
      </c>
    </row>
    <row r="67" spans="2:16" ht="16" customHeight="1">
      <c r="B67" s="38" t="s">
        <v>47</v>
      </c>
      <c r="C67" s="31"/>
      <c r="D67" s="31"/>
      <c r="E67" s="714"/>
      <c r="F67" s="715">
        <f>+F68*12/F66</f>
        <v>32.033333333333331</v>
      </c>
      <c r="G67" s="715">
        <f t="shared" ref="G67" si="32">+G68*12/G66</f>
        <v>33.327480000000001</v>
      </c>
      <c r="H67" s="715">
        <f t="shared" ref="H67" si="33">+H68*12/H66</f>
        <v>34.673910192000001</v>
      </c>
      <c r="J67" s="735" t="s">
        <v>76</v>
      </c>
      <c r="K67" s="727"/>
      <c r="L67" s="727"/>
      <c r="M67" s="729">
        <v>0.02</v>
      </c>
      <c r="N67" s="730">
        <f t="shared" si="30"/>
        <v>0.02</v>
      </c>
      <c r="O67" s="730">
        <f t="shared" si="30"/>
        <v>0.02</v>
      </c>
      <c r="P67" s="730">
        <f t="shared" si="30"/>
        <v>0.02</v>
      </c>
    </row>
    <row r="68" spans="2:16" ht="16" customHeight="1">
      <c r="B68" s="38" t="s">
        <v>48</v>
      </c>
      <c r="C68" s="31"/>
      <c r="D68" s="31"/>
      <c r="E68" s="716"/>
      <c r="F68" s="717">
        <v>1922</v>
      </c>
      <c r="G68" s="717">
        <f>+F68*(1+0.02)^2</f>
        <v>1999.6487999999999</v>
      </c>
      <c r="H68" s="717">
        <f>+G68*(1+0.02)^2</f>
        <v>2080.4346115200001</v>
      </c>
      <c r="J68" s="735" t="s">
        <v>77</v>
      </c>
      <c r="K68" s="727"/>
      <c r="L68" s="727"/>
      <c r="M68" s="729">
        <v>0.05</v>
      </c>
      <c r="N68" s="730">
        <f t="shared" si="30"/>
        <v>0.05</v>
      </c>
      <c r="O68" s="730">
        <f t="shared" si="30"/>
        <v>0.05</v>
      </c>
      <c r="P68" s="730">
        <f t="shared" si="30"/>
        <v>0.05</v>
      </c>
    </row>
    <row r="69" spans="2:16" ht="16" customHeight="1">
      <c r="B69" s="32" t="s">
        <v>51</v>
      </c>
      <c r="E69" s="712"/>
      <c r="F69" s="713">
        <f>+'Parcel Breakdown'!AS30</f>
        <v>9.1538461538461533</v>
      </c>
      <c r="G69" s="713">
        <f>+'Parcel Breakdown'!AS31</f>
        <v>69.552198521107414</v>
      </c>
      <c r="H69" s="713">
        <f>+'Parcel Breakdown'!AS33</f>
        <v>101.64303169648555</v>
      </c>
      <c r="J69" s="743" t="s">
        <v>75</v>
      </c>
      <c r="K69" s="727"/>
      <c r="L69" s="727"/>
      <c r="M69" s="744">
        <v>5</v>
      </c>
      <c r="N69" s="745">
        <f t="shared" si="30"/>
        <v>5</v>
      </c>
      <c r="O69" s="745">
        <f t="shared" si="30"/>
        <v>5</v>
      </c>
      <c r="P69" s="745">
        <f t="shared" si="30"/>
        <v>5</v>
      </c>
    </row>
    <row r="70" spans="2:16" ht="16" customHeight="1">
      <c r="B70" s="38" t="s">
        <v>46</v>
      </c>
      <c r="E70" s="712">
        <v>1053</v>
      </c>
      <c r="F70" s="713">
        <f>+$E70</f>
        <v>1053</v>
      </c>
      <c r="G70" s="713">
        <f t="shared" ref="G70:H70" si="34">+$E70</f>
        <v>1053</v>
      </c>
      <c r="H70" s="713">
        <f t="shared" si="34"/>
        <v>1053</v>
      </c>
      <c r="J70" s="735" t="s">
        <v>78</v>
      </c>
      <c r="K70" s="727"/>
      <c r="L70" s="727"/>
      <c r="M70" s="729">
        <v>0.1</v>
      </c>
      <c r="N70" s="730">
        <f t="shared" si="30"/>
        <v>0.1</v>
      </c>
      <c r="O70" s="730">
        <f t="shared" si="30"/>
        <v>0.1</v>
      </c>
      <c r="P70" s="730">
        <f t="shared" si="30"/>
        <v>0.1</v>
      </c>
    </row>
    <row r="71" spans="2:16" ht="16" customHeight="1">
      <c r="B71" s="38" t="s">
        <v>47</v>
      </c>
      <c r="E71" s="714"/>
      <c r="F71" s="715">
        <f>+F72*12/F70</f>
        <v>31.920227920227919</v>
      </c>
      <c r="G71" s="715">
        <f t="shared" ref="G71" si="35">+G72*12/G70</f>
        <v>33.209805128205119</v>
      </c>
      <c r="H71" s="715">
        <f t="shared" ref="H71" si="36">+H72*12/H70</f>
        <v>34.551481255384608</v>
      </c>
      <c r="J71" s="743" t="s">
        <v>75</v>
      </c>
      <c r="K71" s="727"/>
      <c r="L71" s="727"/>
      <c r="M71" s="744">
        <v>5</v>
      </c>
      <c r="N71" s="745">
        <f t="shared" si="30"/>
        <v>5</v>
      </c>
      <c r="O71" s="745">
        <f t="shared" si="30"/>
        <v>5</v>
      </c>
      <c r="P71" s="745">
        <f t="shared" si="30"/>
        <v>5</v>
      </c>
    </row>
    <row r="72" spans="2:16" ht="16" customHeight="1">
      <c r="B72" s="38" t="s">
        <v>48</v>
      </c>
      <c r="E72" s="716"/>
      <c r="F72" s="717">
        <v>2801</v>
      </c>
      <c r="G72" s="717">
        <f>+F72*(1+0.02)^2</f>
        <v>2914.1603999999998</v>
      </c>
      <c r="H72" s="717">
        <f>+G72*(1+0.02)^2</f>
        <v>3031.8924801599996</v>
      </c>
      <c r="J72" s="735" t="s">
        <v>79</v>
      </c>
      <c r="K72" s="727"/>
      <c r="L72" s="727"/>
      <c r="M72" s="729">
        <v>0.1</v>
      </c>
      <c r="N72" s="730">
        <f t="shared" si="30"/>
        <v>0.1</v>
      </c>
      <c r="O72" s="730">
        <f t="shared" si="30"/>
        <v>0.1</v>
      </c>
      <c r="P72" s="730">
        <f t="shared" si="30"/>
        <v>0.1</v>
      </c>
    </row>
    <row r="73" spans="2:16" ht="16" customHeight="1">
      <c r="B73" s="32" t="s">
        <v>54</v>
      </c>
      <c r="E73" s="712"/>
      <c r="F73" s="713">
        <f>+'Parcel Breakdown'!AU30</f>
        <v>2.5117915309446257</v>
      </c>
      <c r="G73" s="713">
        <f>+'Parcel Breakdown'!AU31</f>
        <v>19.084942030677816</v>
      </c>
      <c r="H73" s="713">
        <f>+'Parcel Breakdown'!AU33</f>
        <v>27.890583029680595</v>
      </c>
      <c r="J73" s="743" t="s">
        <v>75</v>
      </c>
      <c r="K73" s="727"/>
      <c r="L73" s="727"/>
      <c r="M73" s="744">
        <v>5</v>
      </c>
      <c r="N73" s="745">
        <f t="shared" si="30"/>
        <v>5</v>
      </c>
      <c r="O73" s="745">
        <f t="shared" si="30"/>
        <v>5</v>
      </c>
      <c r="P73" s="745">
        <f t="shared" si="30"/>
        <v>5</v>
      </c>
    </row>
    <row r="74" spans="2:16" ht="16" customHeight="1">
      <c r="B74" s="38" t="s">
        <v>46</v>
      </c>
      <c r="E74" s="712">
        <v>1535</v>
      </c>
      <c r="F74" s="713">
        <f>+$E74</f>
        <v>1535</v>
      </c>
      <c r="G74" s="713">
        <f t="shared" ref="G74:H74" si="37">+$E74</f>
        <v>1535</v>
      </c>
      <c r="H74" s="713">
        <f t="shared" si="37"/>
        <v>1535</v>
      </c>
      <c r="J74" s="746" t="s">
        <v>80</v>
      </c>
      <c r="K74" s="727"/>
      <c r="L74" s="727"/>
      <c r="M74" s="729">
        <v>0.02</v>
      </c>
      <c r="N74" s="730">
        <f t="shared" si="30"/>
        <v>0.02</v>
      </c>
      <c r="O74" s="730">
        <f t="shared" si="30"/>
        <v>0.02</v>
      </c>
      <c r="P74" s="730">
        <f t="shared" si="30"/>
        <v>0.02</v>
      </c>
    </row>
    <row r="75" spans="2:16" ht="16" customHeight="1">
      <c r="B75" s="38" t="s">
        <v>47</v>
      </c>
      <c r="E75" s="714"/>
      <c r="F75" s="715">
        <f>+F76*12/F74</f>
        <v>32.638436482084693</v>
      </c>
      <c r="G75" s="715">
        <f t="shared" ref="G75" si="38">+G76*12/G74</f>
        <v>33.957029315960909</v>
      </c>
      <c r="H75" s="715">
        <f t="shared" ref="H75" si="39">+H76*12/H74</f>
        <v>35.328893300325731</v>
      </c>
      <c r="J75" s="740" t="s">
        <v>81</v>
      </c>
      <c r="K75" s="727"/>
      <c r="L75" s="727"/>
      <c r="M75" s="742"/>
      <c r="N75" s="727"/>
      <c r="O75" s="727"/>
      <c r="P75" s="727"/>
    </row>
    <row r="76" spans="2:16" ht="16" customHeight="1">
      <c r="B76" s="38" t="s">
        <v>48</v>
      </c>
      <c r="E76" s="716"/>
      <c r="F76" s="717">
        <v>4175</v>
      </c>
      <c r="G76" s="717">
        <f>+F76*(1+0.02)^2</f>
        <v>4343.67</v>
      </c>
      <c r="H76" s="717">
        <f>+G76*(1+0.02)^2</f>
        <v>4519.1542680000002</v>
      </c>
      <c r="J76" s="735" t="s">
        <v>72</v>
      </c>
      <c r="K76" s="727"/>
      <c r="L76" s="727"/>
      <c r="M76" s="729">
        <v>0.02</v>
      </c>
      <c r="N76" s="730">
        <f t="shared" ref="N76:P82" si="40">+$M76</f>
        <v>0.02</v>
      </c>
      <c r="O76" s="730">
        <f t="shared" si="40"/>
        <v>0.02</v>
      </c>
      <c r="P76" s="730">
        <f t="shared" si="40"/>
        <v>0.02</v>
      </c>
    </row>
    <row r="77" spans="2:16" ht="16" customHeight="1">
      <c r="B77" s="32" t="s">
        <v>82</v>
      </c>
      <c r="E77" s="712"/>
      <c r="F77" s="713">
        <f>0</f>
        <v>0</v>
      </c>
      <c r="G77" s="713">
        <f>+'Parcel Breakdown'!AW31</f>
        <v>0</v>
      </c>
      <c r="H77" s="713">
        <f>+'Parcel Breakdown'!AW33</f>
        <v>0</v>
      </c>
      <c r="J77" s="735" t="s">
        <v>73</v>
      </c>
      <c r="K77" s="727"/>
      <c r="L77" s="727"/>
      <c r="M77" s="729">
        <v>0.02</v>
      </c>
      <c r="N77" s="730">
        <f t="shared" si="40"/>
        <v>0.02</v>
      </c>
      <c r="O77" s="730">
        <f t="shared" si="40"/>
        <v>0.02</v>
      </c>
      <c r="P77" s="730">
        <f t="shared" si="40"/>
        <v>0.02</v>
      </c>
    </row>
    <row r="78" spans="2:16" ht="16" customHeight="1">
      <c r="B78" s="38" t="s">
        <v>46</v>
      </c>
      <c r="E78" s="712">
        <v>0</v>
      </c>
      <c r="F78" s="713">
        <f>+$E78</f>
        <v>0</v>
      </c>
      <c r="G78" s="713">
        <f t="shared" ref="G78:H78" si="41">+$E78</f>
        <v>0</v>
      </c>
      <c r="H78" s="713">
        <f t="shared" si="41"/>
        <v>0</v>
      </c>
      <c r="J78" s="735" t="s">
        <v>74</v>
      </c>
      <c r="K78" s="727"/>
      <c r="L78" s="727"/>
      <c r="M78" s="729">
        <v>0.02</v>
      </c>
      <c r="N78" s="730">
        <f t="shared" si="40"/>
        <v>0.02</v>
      </c>
      <c r="O78" s="730">
        <f t="shared" si="40"/>
        <v>0.02</v>
      </c>
      <c r="P78" s="730">
        <f t="shared" si="40"/>
        <v>0.02</v>
      </c>
    </row>
    <row r="79" spans="2:16" ht="16" customHeight="1">
      <c r="B79" s="38" t="s">
        <v>47</v>
      </c>
      <c r="E79" s="714"/>
      <c r="F79" s="718">
        <f>0</f>
        <v>0</v>
      </c>
      <c r="G79" s="718">
        <f>0</f>
        <v>0</v>
      </c>
      <c r="H79" s="718">
        <f>0</f>
        <v>0</v>
      </c>
      <c r="J79" s="735" t="s">
        <v>77</v>
      </c>
      <c r="K79" s="727"/>
      <c r="L79" s="727"/>
      <c r="M79" s="729">
        <v>0.02</v>
      </c>
      <c r="N79" s="730">
        <f t="shared" si="40"/>
        <v>0.02</v>
      </c>
      <c r="O79" s="730">
        <f t="shared" si="40"/>
        <v>0.02</v>
      </c>
      <c r="P79" s="730">
        <f t="shared" si="40"/>
        <v>0.02</v>
      </c>
    </row>
    <row r="80" spans="2:16" ht="16" customHeight="1">
      <c r="B80" s="38" t="s">
        <v>48</v>
      </c>
      <c r="E80" s="716"/>
      <c r="F80" s="717">
        <v>0</v>
      </c>
      <c r="G80" s="717">
        <v>0</v>
      </c>
      <c r="H80" s="717">
        <f>+G80*(1+0.02)^2</f>
        <v>0</v>
      </c>
      <c r="J80" s="735" t="s">
        <v>78</v>
      </c>
      <c r="K80" s="727"/>
      <c r="L80" s="727"/>
      <c r="M80" s="729">
        <v>0.02</v>
      </c>
      <c r="N80" s="730">
        <f t="shared" si="40"/>
        <v>0.02</v>
      </c>
      <c r="O80" s="730">
        <f t="shared" si="40"/>
        <v>0.02</v>
      </c>
      <c r="P80" s="730">
        <f t="shared" si="40"/>
        <v>0.02</v>
      </c>
    </row>
    <row r="81" spans="1:16" ht="16" customHeight="1">
      <c r="B81" s="38"/>
      <c r="E81" s="716"/>
      <c r="F81" s="717"/>
      <c r="G81" s="717"/>
      <c r="H81" s="717"/>
      <c r="J81" s="735" t="s">
        <v>79</v>
      </c>
      <c r="K81" s="727"/>
      <c r="L81" s="727"/>
      <c r="M81" s="729">
        <v>0.02</v>
      </c>
      <c r="N81" s="730">
        <f t="shared" si="40"/>
        <v>0.02</v>
      </c>
      <c r="O81" s="730">
        <f t="shared" si="40"/>
        <v>0.02</v>
      </c>
      <c r="P81" s="730">
        <f t="shared" si="40"/>
        <v>0.02</v>
      </c>
    </row>
    <row r="82" spans="1:16" ht="16" customHeight="1">
      <c r="B82" s="40" t="s">
        <v>83</v>
      </c>
      <c r="C82" s="41"/>
      <c r="D82" s="41"/>
      <c r="E82" s="719">
        <f>+SUM(F82:H82)</f>
        <v>28399649.768765792</v>
      </c>
      <c r="F82" s="720">
        <f>+F63*F62*F61+F65*F66*F67+F69*F70*F71+F73*F74*F75</f>
        <v>1395409.839600147</v>
      </c>
      <c r="G82" s="720">
        <f>+G63*G62*G61+G65*G66*G67+G69*G70*G71+G73*G74*G75</f>
        <v>10830375.04639042</v>
      </c>
      <c r="H82" s="720">
        <f>+H63*H62*H61+H65*H66*H67+H69*H70*H71+H73*H74*H75</f>
        <v>16173864.882775225</v>
      </c>
      <c r="J82" s="735" t="s">
        <v>80</v>
      </c>
      <c r="K82" s="727"/>
      <c r="L82" s="727"/>
      <c r="M82" s="729">
        <v>0.02</v>
      </c>
      <c r="N82" s="730">
        <f t="shared" si="40"/>
        <v>0.02</v>
      </c>
      <c r="O82" s="730">
        <f t="shared" si="40"/>
        <v>0.02</v>
      </c>
      <c r="P82" s="730">
        <f t="shared" si="40"/>
        <v>0.02</v>
      </c>
    </row>
    <row r="83" spans="1:16" ht="16" customHeight="1">
      <c r="B83" s="42" t="s">
        <v>60</v>
      </c>
      <c r="C83" s="43"/>
      <c r="D83" s="43"/>
      <c r="E83" s="721">
        <f>+SUM(F83:H83)</f>
        <v>759630.30967650167</v>
      </c>
      <c r="F83" s="722">
        <f>+F61*F62+F65*F66+F69*F70+F73*F74+F77*F78</f>
        <v>38556</v>
      </c>
      <c r="G83" s="722">
        <f t="shared" ref="G83:H83" si="42">+G61*G62+G65*G66+G69*G70+G73*G74+G77*G78</f>
        <v>292953.86017090449</v>
      </c>
      <c r="H83" s="722">
        <f t="shared" si="42"/>
        <v>428120.44950559718</v>
      </c>
      <c r="J83" s="743"/>
      <c r="K83" s="727"/>
      <c r="L83" s="727"/>
      <c r="M83" s="744"/>
      <c r="N83" s="745"/>
      <c r="O83" s="745"/>
      <c r="P83" s="745"/>
    </row>
    <row r="84" spans="1:16" ht="16" customHeight="1">
      <c r="B84" s="38" t="s">
        <v>62</v>
      </c>
      <c r="C84" s="30"/>
      <c r="E84" s="712">
        <f>+SUM(F84:H84)</f>
        <v>1082.4576223315544</v>
      </c>
      <c r="F84" s="713">
        <f>+F61+F65+F69+F73+F77</f>
        <v>54.941509777814034</v>
      </c>
      <c r="G84" s="713">
        <f t="shared" ref="G84:H84" si="43">+G61+G65+G69+G73+G77</f>
        <v>417.45324652526489</v>
      </c>
      <c r="H84" s="713">
        <f t="shared" si="43"/>
        <v>610.06286602847558</v>
      </c>
      <c r="J84" s="740" t="s">
        <v>84</v>
      </c>
      <c r="K84" s="727"/>
      <c r="L84" s="727"/>
      <c r="M84" s="727"/>
      <c r="N84" s="727"/>
      <c r="O84" s="727"/>
      <c r="P84" s="727"/>
    </row>
    <row r="85" spans="1:16" ht="16" customHeight="1">
      <c r="B85" s="38" t="s">
        <v>64</v>
      </c>
      <c r="C85" s="30"/>
      <c r="E85" s="723">
        <f>+IFERROR(E82/E83,"")</f>
        <v>37.386146138455359</v>
      </c>
      <c r="F85" s="718">
        <f>+IFERROR(F82/F83,"")</f>
        <v>36.191768845319714</v>
      </c>
      <c r="G85" s="718">
        <f>+IFERROR(G82/G83,"")</f>
        <v>36.96955909736829</v>
      </c>
      <c r="H85" s="718">
        <f>+IFERROR(H82/H83,"")</f>
        <v>37.778772075599647</v>
      </c>
      <c r="J85" s="735" t="s">
        <v>85</v>
      </c>
      <c r="K85" s="727"/>
      <c r="L85" s="727"/>
      <c r="M85" s="729">
        <v>0.02</v>
      </c>
      <c r="N85" s="730">
        <f t="shared" ref="N85:P85" si="44">+$M85</f>
        <v>0.02</v>
      </c>
      <c r="O85" s="730">
        <f t="shared" si="44"/>
        <v>0.02</v>
      </c>
      <c r="P85" s="730">
        <f t="shared" si="44"/>
        <v>0.02</v>
      </c>
    </row>
    <row r="86" spans="1:16" ht="16" customHeight="1">
      <c r="B86" s="44" t="s">
        <v>66</v>
      </c>
      <c r="C86" s="45"/>
      <c r="D86" s="45"/>
      <c r="E86" s="724">
        <f>+IFERROR(E82/E84/12,"")</f>
        <v>2186.3557814234568</v>
      </c>
      <c r="F86" s="725">
        <f>+IFERROR(F82/F84/12,"")</f>
        <v>2116.5081514918438</v>
      </c>
      <c r="G86" s="725">
        <f>+IFERROR(G82/G84/12,"")</f>
        <v>2161.9936157599045</v>
      </c>
      <c r="H86" s="725">
        <f>+IFERROR(H82/H84/12,"")</f>
        <v>2209.3166927843963</v>
      </c>
      <c r="J86" s="735" t="s">
        <v>86</v>
      </c>
      <c r="K86" s="727"/>
      <c r="L86" s="727"/>
      <c r="M86" s="744"/>
      <c r="N86" s="745">
        <v>0</v>
      </c>
      <c r="O86" s="745">
        <f>+YEAR(G22)-YEAR($F$22)</f>
        <v>1</v>
      </c>
      <c r="P86" s="745">
        <f>+YEAR(H22)-YEAR($F$22)</f>
        <v>3</v>
      </c>
    </row>
    <row r="87" spans="1:16" ht="16" customHeight="1">
      <c r="J87" s="727"/>
      <c r="K87" s="727"/>
      <c r="L87" s="727"/>
      <c r="M87" s="727"/>
      <c r="N87" s="727"/>
      <c r="O87" s="727"/>
      <c r="P87" s="727"/>
    </row>
    <row r="88" spans="1:16" ht="16" customHeight="1">
      <c r="B88" s="37" t="s">
        <v>87</v>
      </c>
      <c r="J88" s="740" t="s">
        <v>88</v>
      </c>
      <c r="K88" s="727"/>
      <c r="L88" s="727"/>
      <c r="M88" s="742"/>
      <c r="N88" s="727"/>
      <c r="O88" s="727"/>
      <c r="P88" s="727"/>
    </row>
    <row r="89" spans="1:16" ht="16" customHeight="1">
      <c r="B89" s="29" t="s">
        <v>89</v>
      </c>
      <c r="E89" s="716">
        <v>5</v>
      </c>
      <c r="F89" s="717">
        <f>+$E89</f>
        <v>5</v>
      </c>
      <c r="G89" s="717">
        <f t="shared" ref="G89:H90" si="45">+$E89</f>
        <v>5</v>
      </c>
      <c r="H89" s="717">
        <f t="shared" si="45"/>
        <v>5</v>
      </c>
      <c r="J89" s="735" t="s">
        <v>90</v>
      </c>
      <c r="K89" s="714"/>
      <c r="L89" s="714"/>
      <c r="M89" s="729"/>
      <c r="N89" s="730">
        <v>0.8</v>
      </c>
      <c r="O89" s="730">
        <v>0.9</v>
      </c>
      <c r="P89" s="730">
        <v>0.9</v>
      </c>
    </row>
    <row r="90" spans="1:16" ht="16" customHeight="1">
      <c r="B90" s="29" t="s">
        <v>91</v>
      </c>
      <c r="E90" s="716">
        <v>55</v>
      </c>
      <c r="F90" s="717">
        <f>+$E90</f>
        <v>55</v>
      </c>
      <c r="G90" s="717">
        <f t="shared" si="45"/>
        <v>55</v>
      </c>
      <c r="H90" s="717">
        <f t="shared" si="45"/>
        <v>55</v>
      </c>
      <c r="J90" s="735" t="s">
        <v>92</v>
      </c>
      <c r="K90" s="714"/>
      <c r="L90" s="714"/>
      <c r="M90" s="729">
        <v>1</v>
      </c>
      <c r="N90" s="730">
        <f t="shared" ref="N90:P92" si="46">+$M90</f>
        <v>1</v>
      </c>
      <c r="O90" s="730">
        <f t="shared" si="46"/>
        <v>1</v>
      </c>
      <c r="P90" s="730">
        <f t="shared" si="46"/>
        <v>1</v>
      </c>
    </row>
    <row r="91" spans="1:16" ht="16" customHeight="1">
      <c r="E91" s="726"/>
      <c r="F91" s="727"/>
      <c r="G91" s="727"/>
      <c r="H91" s="727"/>
      <c r="J91" s="735" t="s">
        <v>93</v>
      </c>
      <c r="K91" s="714"/>
      <c r="L91" s="714"/>
      <c r="M91" s="729">
        <v>0.9</v>
      </c>
      <c r="N91" s="730">
        <f t="shared" si="46"/>
        <v>0.9</v>
      </c>
      <c r="O91" s="730">
        <f t="shared" si="46"/>
        <v>0.9</v>
      </c>
      <c r="P91" s="730">
        <f t="shared" si="46"/>
        <v>0.9</v>
      </c>
    </row>
    <row r="92" spans="1:16" ht="42.75" customHeight="1" thickBot="1">
      <c r="B92" s="938" t="s">
        <v>94</v>
      </c>
      <c r="C92" s="938"/>
      <c r="D92" s="31"/>
      <c r="E92" s="893" t="s">
        <v>17</v>
      </c>
      <c r="F92" s="728" t="s">
        <v>95</v>
      </c>
      <c r="G92" s="728" t="s">
        <v>96</v>
      </c>
      <c r="H92" s="728" t="s">
        <v>97</v>
      </c>
      <c r="J92" s="735" t="s">
        <v>98</v>
      </c>
      <c r="K92" s="714"/>
      <c r="L92" s="714"/>
      <c r="M92" s="729">
        <v>1</v>
      </c>
      <c r="N92" s="730">
        <f t="shared" si="46"/>
        <v>1</v>
      </c>
      <c r="O92" s="730">
        <f t="shared" si="46"/>
        <v>1</v>
      </c>
      <c r="P92" s="730">
        <f t="shared" si="46"/>
        <v>1</v>
      </c>
    </row>
    <row r="93" spans="1:16" ht="16" customHeight="1">
      <c r="B93" s="32" t="s">
        <v>99</v>
      </c>
      <c r="C93" s="31"/>
      <c r="D93" s="31"/>
      <c r="E93" s="712"/>
      <c r="F93" s="713">
        <f>+'Parcel Breakdown'!AO42</f>
        <v>129.27187499999999</v>
      </c>
      <c r="G93" s="713">
        <f>+'Parcel Breakdown'!AO43</f>
        <v>0</v>
      </c>
      <c r="H93" s="713">
        <f>+'Parcel Breakdown'!AO44</f>
        <v>0</v>
      </c>
      <c r="J93" s="727"/>
      <c r="K93" s="727"/>
      <c r="L93" s="727"/>
      <c r="M93" s="727"/>
      <c r="N93" s="727"/>
      <c r="O93" s="727"/>
      <c r="P93" s="727"/>
    </row>
    <row r="94" spans="1:16" ht="16" customHeight="1">
      <c r="A94" s="232"/>
      <c r="B94" s="38" t="s">
        <v>46</v>
      </c>
      <c r="C94" s="31"/>
      <c r="D94" s="31"/>
      <c r="E94" s="712">
        <v>400</v>
      </c>
      <c r="F94" s="713">
        <f t="shared" ref="F94:H94" si="47">+$E94</f>
        <v>400</v>
      </c>
      <c r="G94" s="713">
        <f t="shared" si="47"/>
        <v>400</v>
      </c>
      <c r="H94" s="713">
        <f t="shared" si="47"/>
        <v>400</v>
      </c>
      <c r="J94" s="740" t="s">
        <v>100</v>
      </c>
      <c r="K94" s="727"/>
      <c r="L94" s="727"/>
      <c r="M94" s="742"/>
      <c r="N94" s="727"/>
      <c r="O94" s="727"/>
      <c r="P94" s="727"/>
    </row>
    <row r="95" spans="1:16" ht="16" customHeight="1">
      <c r="A95" s="232"/>
      <c r="B95" s="38" t="s">
        <v>101</v>
      </c>
      <c r="C95" s="31"/>
      <c r="D95" s="31"/>
      <c r="E95" s="714"/>
      <c r="F95" s="718">
        <f>+F97*F96</f>
        <v>152.90145000000001</v>
      </c>
      <c r="G95" s="718">
        <f>+G97*G96</f>
        <v>152.90145000000001</v>
      </c>
      <c r="H95" s="718">
        <f>+H97*H96</f>
        <v>152.90145000000001</v>
      </c>
      <c r="J95" s="735" t="s">
        <v>25</v>
      </c>
      <c r="K95" s="714"/>
      <c r="L95" s="714"/>
      <c r="M95" s="716"/>
      <c r="N95" s="717">
        <v>5800</v>
      </c>
      <c r="O95" s="717">
        <f>+N95*(1+0.02)^2</f>
        <v>6034.32</v>
      </c>
      <c r="P95" s="717">
        <f>+O95*(1+0.02)^2</f>
        <v>6278.1065279999993</v>
      </c>
    </row>
    <row r="96" spans="1:16" ht="16" customHeight="1">
      <c r="A96" s="232"/>
      <c r="B96" s="38" t="s">
        <v>102</v>
      </c>
      <c r="C96" s="31"/>
      <c r="D96" s="31"/>
      <c r="E96" s="729">
        <v>0.76700000000000002</v>
      </c>
      <c r="F96" s="730">
        <f>+$E96</f>
        <v>0.76700000000000002</v>
      </c>
      <c r="G96" s="730">
        <f t="shared" ref="G96:H96" si="48">+$E96</f>
        <v>0.76700000000000002</v>
      </c>
      <c r="H96" s="730">
        <f t="shared" si="48"/>
        <v>0.76700000000000002</v>
      </c>
      <c r="J96" s="735" t="s">
        <v>27</v>
      </c>
      <c r="K96" s="714"/>
      <c r="L96" s="714"/>
      <c r="M96" s="716"/>
      <c r="N96" s="717">
        <v>6000</v>
      </c>
      <c r="O96" s="717">
        <f t="shared" ref="O96:P97" si="49">+N96*(1+0.02)^2</f>
        <v>6242.4</v>
      </c>
      <c r="P96" s="717">
        <f t="shared" si="49"/>
        <v>6494.5929599999999</v>
      </c>
    </row>
    <row r="97" spans="1:16" ht="16" customHeight="1">
      <c r="B97" s="38" t="s">
        <v>103</v>
      </c>
      <c r="C97" s="31"/>
      <c r="D97" s="31"/>
      <c r="E97" s="716"/>
      <c r="F97" s="717">
        <v>199.35</v>
      </c>
      <c r="G97" s="717">
        <v>199.35</v>
      </c>
      <c r="H97" s="717">
        <v>199.35</v>
      </c>
      <c r="J97" s="735" t="s">
        <v>104</v>
      </c>
      <c r="K97" s="714"/>
      <c r="L97" s="714"/>
      <c r="M97" s="716"/>
      <c r="N97" s="717">
        <v>500</v>
      </c>
      <c r="O97" s="717">
        <f t="shared" si="49"/>
        <v>520.20000000000005</v>
      </c>
      <c r="P97" s="717">
        <f t="shared" si="49"/>
        <v>541.21608000000003</v>
      </c>
    </row>
    <row r="98" spans="1:16" ht="16" customHeight="1">
      <c r="B98" s="40" t="s">
        <v>105</v>
      </c>
      <c r="C98" s="41"/>
      <c r="D98" s="41"/>
      <c r="E98" s="719">
        <f>+SUM(F98:H98)</f>
        <v>7219479.3173602745</v>
      </c>
      <c r="F98" s="720">
        <f>+F93*365.25*F95</f>
        <v>7219479.3173602745</v>
      </c>
      <c r="G98" s="720">
        <f>+G93*365.25*G95</f>
        <v>0</v>
      </c>
      <c r="H98" s="720">
        <f>+H93*365.25*H95</f>
        <v>0</v>
      </c>
      <c r="J98" s="727"/>
      <c r="K98" s="727"/>
      <c r="L98" s="727"/>
      <c r="M98" s="727"/>
      <c r="N98" s="727"/>
      <c r="O98" s="727"/>
      <c r="P98" s="727"/>
    </row>
    <row r="99" spans="1:16" ht="16" customHeight="1">
      <c r="B99" s="42" t="s">
        <v>60</v>
      </c>
      <c r="C99" s="43"/>
      <c r="D99" s="43"/>
      <c r="E99" s="721">
        <f>+SUM(F99:H99)</f>
        <v>51708.75</v>
      </c>
      <c r="F99" s="722">
        <f>+F93*F94</f>
        <v>51708.75</v>
      </c>
      <c r="G99" s="722">
        <f t="shared" ref="G99:H99" si="50">+G93*G94</f>
        <v>0</v>
      </c>
      <c r="H99" s="722">
        <f t="shared" si="50"/>
        <v>0</v>
      </c>
      <c r="J99" s="740" t="s">
        <v>106</v>
      </c>
      <c r="K99" s="714"/>
      <c r="L99" s="714"/>
      <c r="M99" s="729"/>
      <c r="N99" s="730"/>
      <c r="O99" s="730"/>
      <c r="P99" s="730"/>
    </row>
    <row r="100" spans="1:16" ht="16" customHeight="1">
      <c r="B100" s="38" t="s">
        <v>107</v>
      </c>
      <c r="C100" s="30"/>
      <c r="E100" s="712">
        <f>+SUM(F100:H100)</f>
        <v>129.27187499999999</v>
      </c>
      <c r="F100" s="713">
        <f>+F93</f>
        <v>129.27187499999999</v>
      </c>
      <c r="G100" s="713">
        <f t="shared" ref="G100:H100" si="51">+G93</f>
        <v>0</v>
      </c>
      <c r="H100" s="713">
        <f t="shared" si="51"/>
        <v>0</v>
      </c>
      <c r="J100" s="747" t="s">
        <v>108</v>
      </c>
      <c r="K100" s="727"/>
      <c r="L100" s="727"/>
      <c r="M100" s="727"/>
      <c r="N100" s="727"/>
      <c r="O100" s="727"/>
      <c r="P100" s="727"/>
    </row>
    <row r="101" spans="1:16" ht="16" customHeight="1">
      <c r="B101" s="44" t="s">
        <v>109</v>
      </c>
      <c r="C101" s="45"/>
      <c r="D101" s="45"/>
      <c r="E101" s="731">
        <f>+IFERROR(E98/E99,"")</f>
        <v>139.61813653125003</v>
      </c>
      <c r="F101" s="732">
        <f>+IFERROR(F98/F99,"")</f>
        <v>139.61813653125003</v>
      </c>
      <c r="G101" s="732" t="str">
        <f t="shared" ref="G101:H101" si="52">+IFERROR(G98/G99,"")</f>
        <v/>
      </c>
      <c r="H101" s="732" t="str">
        <f t="shared" si="52"/>
        <v/>
      </c>
      <c r="J101" s="735" t="s">
        <v>110</v>
      </c>
      <c r="K101" s="714"/>
      <c r="L101" s="714"/>
      <c r="M101" s="741">
        <v>0.25</v>
      </c>
      <c r="N101" s="748">
        <f t="shared" ref="N101:P102" si="53">+$M101</f>
        <v>0.25</v>
      </c>
      <c r="O101" s="748">
        <f t="shared" si="53"/>
        <v>0.25</v>
      </c>
      <c r="P101" s="748">
        <f t="shared" si="53"/>
        <v>0.25</v>
      </c>
    </row>
    <row r="102" spans="1:16" ht="16" customHeight="1">
      <c r="B102" s="46" t="s">
        <v>111</v>
      </c>
      <c r="C102" s="30"/>
      <c r="E102" s="723"/>
      <c r="F102" s="718"/>
      <c r="G102" s="718"/>
      <c r="H102" s="718"/>
      <c r="J102" s="735" t="s">
        <v>112</v>
      </c>
      <c r="K102" s="714"/>
      <c r="L102" s="714"/>
      <c r="M102" s="741">
        <v>0.7</v>
      </c>
      <c r="N102" s="748">
        <f t="shared" si="53"/>
        <v>0.7</v>
      </c>
      <c r="O102" s="748">
        <f t="shared" si="53"/>
        <v>0.7</v>
      </c>
      <c r="P102" s="748">
        <f t="shared" si="53"/>
        <v>0.7</v>
      </c>
    </row>
    <row r="103" spans="1:16" ht="16" customHeight="1">
      <c r="B103" s="38" t="s">
        <v>113</v>
      </c>
      <c r="C103" s="30"/>
      <c r="E103" s="723">
        <v>30</v>
      </c>
      <c r="F103" s="717">
        <f>+$E103</f>
        <v>30</v>
      </c>
      <c r="G103" s="717">
        <f t="shared" ref="G103:H106" si="54">+$E103</f>
        <v>30</v>
      </c>
      <c r="H103" s="717">
        <f t="shared" si="54"/>
        <v>30</v>
      </c>
      <c r="J103" s="747" t="s">
        <v>114</v>
      </c>
      <c r="K103" s="727"/>
      <c r="L103" s="727"/>
      <c r="M103" s="727"/>
      <c r="N103" s="727"/>
      <c r="O103" s="727"/>
      <c r="P103" s="727"/>
    </row>
    <row r="104" spans="1:16" ht="16" customHeight="1">
      <c r="B104" s="38" t="s">
        <v>115</v>
      </c>
      <c r="C104" s="30"/>
      <c r="E104" s="716"/>
      <c r="F104" s="717">
        <f>+F103*365.25*F$96</f>
        <v>8404.4025000000001</v>
      </c>
      <c r="G104" s="717">
        <f t="shared" ref="G104:H104" si="55">+G103*365.25*G$96</f>
        <v>8404.4025000000001</v>
      </c>
      <c r="H104" s="717">
        <f t="shared" si="55"/>
        <v>8404.4025000000001</v>
      </c>
      <c r="J104" s="735" t="s">
        <v>116</v>
      </c>
      <c r="K104" s="714"/>
      <c r="L104" s="714"/>
      <c r="M104" s="741">
        <v>0.08</v>
      </c>
      <c r="N104" s="748">
        <f t="shared" ref="N104:P111" si="56">+$M104</f>
        <v>0.08</v>
      </c>
      <c r="O104" s="748">
        <f t="shared" si="56"/>
        <v>0.08</v>
      </c>
      <c r="P104" s="748">
        <f t="shared" si="56"/>
        <v>0.08</v>
      </c>
    </row>
    <row r="105" spans="1:16" ht="16" customHeight="1">
      <c r="B105" s="46" t="s">
        <v>117</v>
      </c>
      <c r="C105" s="30"/>
      <c r="E105" s="723"/>
      <c r="F105" s="718"/>
      <c r="G105" s="718"/>
      <c r="H105" s="718"/>
      <c r="J105" s="735" t="s">
        <v>118</v>
      </c>
      <c r="K105" s="714"/>
      <c r="L105" s="714"/>
      <c r="M105" s="741">
        <v>0.01</v>
      </c>
      <c r="N105" s="748">
        <f t="shared" si="56"/>
        <v>0.01</v>
      </c>
      <c r="O105" s="748">
        <f t="shared" si="56"/>
        <v>0.01</v>
      </c>
      <c r="P105" s="748">
        <f t="shared" si="56"/>
        <v>0.01</v>
      </c>
    </row>
    <row r="106" spans="1:16" ht="16" customHeight="1">
      <c r="B106" s="38" t="s">
        <v>113</v>
      </c>
      <c r="C106" s="30"/>
      <c r="E106" s="723">
        <v>10</v>
      </c>
      <c r="F106" s="717">
        <f>+$E106</f>
        <v>10</v>
      </c>
      <c r="G106" s="717">
        <f t="shared" si="54"/>
        <v>10</v>
      </c>
      <c r="H106" s="717">
        <f t="shared" si="54"/>
        <v>10</v>
      </c>
      <c r="J106" s="735" t="s">
        <v>119</v>
      </c>
      <c r="K106" s="714"/>
      <c r="L106" s="714"/>
      <c r="M106" s="741">
        <v>6.5000000000000002E-2</v>
      </c>
      <c r="N106" s="748">
        <f t="shared" si="56"/>
        <v>6.5000000000000002E-2</v>
      </c>
      <c r="O106" s="748">
        <f t="shared" si="56"/>
        <v>6.5000000000000002E-2</v>
      </c>
      <c r="P106" s="748">
        <f t="shared" si="56"/>
        <v>6.5000000000000002E-2</v>
      </c>
    </row>
    <row r="107" spans="1:16" ht="16" customHeight="1">
      <c r="B107" s="38" t="s">
        <v>115</v>
      </c>
      <c r="C107" s="30"/>
      <c r="E107" s="723"/>
      <c r="F107" s="717">
        <f>+F106*365*F$96</f>
        <v>2799.55</v>
      </c>
      <c r="G107" s="717">
        <f t="shared" ref="G107:H107" si="57">+G106*365*G$96</f>
        <v>2799.55</v>
      </c>
      <c r="H107" s="717">
        <f t="shared" si="57"/>
        <v>2799.55</v>
      </c>
      <c r="J107" s="749" t="s">
        <v>120</v>
      </c>
      <c r="K107" s="714"/>
      <c r="L107" s="714"/>
      <c r="M107" s="741">
        <v>0.02</v>
      </c>
      <c r="N107" s="748">
        <f t="shared" si="56"/>
        <v>0.02</v>
      </c>
      <c r="O107" s="748">
        <f t="shared" si="56"/>
        <v>0.02</v>
      </c>
      <c r="P107" s="748">
        <f t="shared" si="56"/>
        <v>0.02</v>
      </c>
    </row>
    <row r="108" spans="1:16" ht="16" customHeight="1">
      <c r="B108" s="40" t="s">
        <v>121</v>
      </c>
      <c r="C108" s="41"/>
      <c r="D108" s="41"/>
      <c r="E108" s="719">
        <f>+SUM(F108:H108)</f>
        <v>1448355.9470859373</v>
      </c>
      <c r="F108" s="720">
        <f>+F93*(F104+F107)</f>
        <v>1448355.9470859373</v>
      </c>
      <c r="G108" s="720">
        <f t="shared" ref="G108:H108" si="58">+G93*(G104+G107)</f>
        <v>0</v>
      </c>
      <c r="H108" s="720">
        <f t="shared" si="58"/>
        <v>0</v>
      </c>
      <c r="J108" s="735" t="s">
        <v>122</v>
      </c>
      <c r="K108" s="714"/>
      <c r="L108" s="714"/>
      <c r="M108" s="741">
        <v>0.03</v>
      </c>
      <c r="N108" s="748">
        <f t="shared" si="56"/>
        <v>0.03</v>
      </c>
      <c r="O108" s="748">
        <f t="shared" si="56"/>
        <v>0.03</v>
      </c>
      <c r="P108" s="748">
        <f t="shared" si="56"/>
        <v>0.03</v>
      </c>
    </row>
    <row r="109" spans="1:16" ht="16" customHeight="1">
      <c r="B109" s="28" t="s">
        <v>123</v>
      </c>
      <c r="E109" s="726"/>
      <c r="F109" s="727"/>
      <c r="G109" s="727"/>
      <c r="H109" s="727"/>
      <c r="J109" s="735" t="s">
        <v>124</v>
      </c>
      <c r="K109" s="714"/>
      <c r="L109" s="714"/>
      <c r="M109" s="741">
        <v>0.04</v>
      </c>
      <c r="N109" s="748">
        <f t="shared" si="56"/>
        <v>0.04</v>
      </c>
      <c r="O109" s="748">
        <f t="shared" si="56"/>
        <v>0.04</v>
      </c>
      <c r="P109" s="748">
        <f t="shared" si="56"/>
        <v>0.04</v>
      </c>
    </row>
    <row r="110" spans="1:16" ht="16" customHeight="1">
      <c r="B110" s="38" t="s">
        <v>125</v>
      </c>
      <c r="E110" s="726"/>
      <c r="F110" s="879">
        <v>8600</v>
      </c>
      <c r="G110" s="879">
        <v>0</v>
      </c>
      <c r="H110" s="713">
        <v>0</v>
      </c>
      <c r="J110" s="735" t="s">
        <v>126</v>
      </c>
      <c r="K110" s="714"/>
      <c r="L110" s="714"/>
      <c r="M110" s="741">
        <v>0.01</v>
      </c>
      <c r="N110" s="748">
        <f t="shared" si="56"/>
        <v>0.01</v>
      </c>
      <c r="O110" s="748">
        <f t="shared" si="56"/>
        <v>0.01</v>
      </c>
      <c r="P110" s="748">
        <f t="shared" si="56"/>
        <v>0.01</v>
      </c>
    </row>
    <row r="111" spans="1:16" ht="16" customHeight="1">
      <c r="B111" s="38" t="s">
        <v>127</v>
      </c>
      <c r="E111" s="726"/>
      <c r="F111" s="879">
        <v>90</v>
      </c>
      <c r="G111" s="879">
        <v>90</v>
      </c>
      <c r="H111" s="713">
        <v>90</v>
      </c>
      <c r="J111" s="735" t="s">
        <v>128</v>
      </c>
      <c r="K111" s="714"/>
      <c r="L111" s="714"/>
      <c r="M111" s="741">
        <v>3.5000000000000003E-2</v>
      </c>
      <c r="N111" s="748">
        <f t="shared" si="56"/>
        <v>3.5000000000000003E-2</v>
      </c>
      <c r="O111" s="748">
        <f t="shared" si="56"/>
        <v>3.5000000000000003E-2</v>
      </c>
      <c r="P111" s="748">
        <f t="shared" si="56"/>
        <v>3.5000000000000003E-2</v>
      </c>
    </row>
    <row r="112" spans="1:16" ht="16" customHeight="1">
      <c r="A112" s="232"/>
      <c r="B112" s="38" t="s">
        <v>129</v>
      </c>
      <c r="E112" s="726"/>
      <c r="F112" s="879">
        <f>+F110/20</f>
        <v>430</v>
      </c>
      <c r="G112" s="879">
        <f>+G110/20</f>
        <v>0</v>
      </c>
      <c r="H112" s="713">
        <f t="shared" ref="H112" si="59">+H110/50</f>
        <v>0</v>
      </c>
      <c r="J112" s="750" t="s">
        <v>130</v>
      </c>
      <c r="K112" s="727"/>
      <c r="L112" s="727"/>
      <c r="M112" s="727"/>
      <c r="N112" s="727"/>
      <c r="O112" s="727"/>
      <c r="P112" s="727"/>
    </row>
    <row r="113" spans="1:16" ht="16" customHeight="1">
      <c r="B113" s="38" t="s">
        <v>131</v>
      </c>
      <c r="E113" s="726"/>
      <c r="F113" s="880">
        <v>10</v>
      </c>
      <c r="G113" s="880">
        <v>10</v>
      </c>
      <c r="H113" s="733">
        <v>10</v>
      </c>
      <c r="J113" s="735" t="s">
        <v>132</v>
      </c>
      <c r="K113" s="714"/>
      <c r="L113" s="714"/>
      <c r="M113" s="741">
        <v>0.03</v>
      </c>
      <c r="N113" s="748">
        <f>+$M113</f>
        <v>0.03</v>
      </c>
      <c r="O113" s="748">
        <f>+$M113</f>
        <v>0.03</v>
      </c>
      <c r="P113" s="748">
        <f>+$M113</f>
        <v>0.03</v>
      </c>
    </row>
    <row r="114" spans="1:16" ht="16" customHeight="1">
      <c r="B114" s="38" t="s">
        <v>133</v>
      </c>
      <c r="E114" s="726"/>
      <c r="F114" s="881">
        <f>+IFERROR(F113*F112*F111/F110,"")</f>
        <v>45</v>
      </c>
      <c r="G114" s="881" t="str">
        <f t="shared" ref="G114" si="60">+IFERROR(G113*G112*G111/G110,"")</f>
        <v/>
      </c>
      <c r="H114" s="717" t="str">
        <f t="shared" ref="H114" si="61">+IFERROR(H113*H112*H111/H110,"")</f>
        <v/>
      </c>
      <c r="J114" s="750" t="s">
        <v>134</v>
      </c>
      <c r="K114" s="727"/>
      <c r="L114" s="727"/>
      <c r="M114" s="727"/>
      <c r="N114" s="727"/>
      <c r="O114" s="727"/>
      <c r="P114" s="727"/>
    </row>
    <row r="115" spans="1:16" ht="16" customHeight="1">
      <c r="B115" s="40" t="s">
        <v>135</v>
      </c>
      <c r="C115" s="41"/>
      <c r="D115" s="41"/>
      <c r="E115" s="719">
        <f>+SUM(F115:H115)</f>
        <v>387000</v>
      </c>
      <c r="F115" s="882">
        <f>+IFERROR(F114*F110,0)</f>
        <v>387000</v>
      </c>
      <c r="G115" s="882">
        <f t="shared" ref="G115:H115" si="62">+IFERROR(G114*G110,0)</f>
        <v>0</v>
      </c>
      <c r="H115" s="720">
        <f t="shared" si="62"/>
        <v>0</v>
      </c>
      <c r="J115" s="735" t="s">
        <v>136</v>
      </c>
      <c r="K115" s="714"/>
      <c r="L115" s="714"/>
      <c r="M115" s="741">
        <v>0.4</v>
      </c>
      <c r="N115" s="748">
        <f>+$M115</f>
        <v>0.4</v>
      </c>
      <c r="O115" s="748">
        <f>+$M115</f>
        <v>0.4</v>
      </c>
      <c r="P115" s="748">
        <f>+$M115</f>
        <v>0.4</v>
      </c>
    </row>
    <row r="116" spans="1:16" ht="16" customHeight="1">
      <c r="B116" s="28" t="s">
        <v>137</v>
      </c>
      <c r="D116" s="29"/>
      <c r="E116" s="727"/>
      <c r="F116" s="727"/>
      <c r="G116" s="727"/>
      <c r="H116" s="727"/>
      <c r="J116" s="727"/>
      <c r="K116" s="727"/>
      <c r="L116" s="727"/>
      <c r="M116" s="727"/>
      <c r="N116" s="727"/>
      <c r="O116" s="727"/>
      <c r="P116" s="727"/>
    </row>
    <row r="117" spans="1:16" ht="16" customHeight="1">
      <c r="B117" s="38" t="s">
        <v>138</v>
      </c>
      <c r="E117" s="729">
        <v>0.7</v>
      </c>
      <c r="F117" s="730">
        <f>+$E117</f>
        <v>0.7</v>
      </c>
      <c r="G117" s="730">
        <f t="shared" ref="G117:H117" si="63">+$E117</f>
        <v>0.7</v>
      </c>
      <c r="H117" s="730">
        <f t="shared" si="63"/>
        <v>0.7</v>
      </c>
      <c r="J117" s="727"/>
      <c r="K117" s="727"/>
      <c r="L117" s="727"/>
      <c r="M117" s="727"/>
      <c r="N117" s="727"/>
      <c r="O117" s="727"/>
      <c r="P117" s="727"/>
    </row>
    <row r="118" spans="1:16" ht="16" customHeight="1">
      <c r="B118" s="38" t="s">
        <v>139</v>
      </c>
      <c r="E118" s="716"/>
      <c r="F118" s="717">
        <f>+F97-10</f>
        <v>189.35</v>
      </c>
      <c r="G118" s="717">
        <f>+G97-10</f>
        <v>189.35</v>
      </c>
      <c r="H118" s="717">
        <f>+H97-10</f>
        <v>189.35</v>
      </c>
      <c r="J118" s="740" t="s">
        <v>140</v>
      </c>
      <c r="K118" s="727"/>
      <c r="L118" s="727"/>
      <c r="M118" s="727"/>
      <c r="N118" s="727"/>
      <c r="O118" s="727"/>
      <c r="P118" s="727"/>
    </row>
    <row r="119" spans="1:16" ht="16" customHeight="1">
      <c r="B119" s="38" t="s">
        <v>141</v>
      </c>
      <c r="E119" s="729">
        <v>0.75</v>
      </c>
      <c r="F119" s="730">
        <f>+$E119</f>
        <v>0.75</v>
      </c>
      <c r="G119" s="730">
        <f t="shared" ref="G119:H119" si="64">+$E119</f>
        <v>0.75</v>
      </c>
      <c r="H119" s="730">
        <f t="shared" si="64"/>
        <v>0.75</v>
      </c>
      <c r="J119" s="735" t="s">
        <v>25</v>
      </c>
      <c r="K119" s="727"/>
      <c r="L119" s="727"/>
      <c r="M119" s="723"/>
      <c r="N119" s="718">
        <f t="shared" ref="N119:P120" si="65">+N95*$E$56/$E$55</f>
        <v>8.2648811264477988</v>
      </c>
      <c r="O119" s="718">
        <f t="shared" si="65"/>
        <v>8.5987823239562911</v>
      </c>
      <c r="P119" s="718">
        <f t="shared" si="65"/>
        <v>8.9461731298441229</v>
      </c>
    </row>
    <row r="120" spans="1:16" ht="16" customHeight="1">
      <c r="B120" s="38" t="s">
        <v>142</v>
      </c>
      <c r="E120" s="716"/>
      <c r="F120" s="717">
        <f>+F97-5</f>
        <v>194.35</v>
      </c>
      <c r="G120" s="717">
        <f>+G97-5</f>
        <v>194.35</v>
      </c>
      <c r="H120" s="717">
        <f>+H97-5</f>
        <v>194.35</v>
      </c>
      <c r="J120" s="735" t="s">
        <v>27</v>
      </c>
      <c r="K120" s="727"/>
      <c r="L120" s="727"/>
      <c r="M120" s="723"/>
      <c r="N120" s="718">
        <f t="shared" si="65"/>
        <v>8.549877027359793</v>
      </c>
      <c r="O120" s="718">
        <f t="shared" si="65"/>
        <v>8.8952920592651274</v>
      </c>
      <c r="P120" s="718">
        <f t="shared" si="65"/>
        <v>9.2546618584594391</v>
      </c>
    </row>
    <row r="121" spans="1:16" ht="16" customHeight="1">
      <c r="E121" s="726"/>
      <c r="F121" s="727"/>
      <c r="G121" s="727"/>
      <c r="H121" s="727"/>
      <c r="J121" s="735" t="s">
        <v>29</v>
      </c>
      <c r="K121" s="727"/>
      <c r="L121" s="727"/>
      <c r="M121" s="723"/>
      <c r="N121" s="718">
        <v>7</v>
      </c>
      <c r="O121" s="718">
        <f t="shared" ref="O121:P121" si="66">+N121*(1+0.02)^2</f>
        <v>7.2827999999999999</v>
      </c>
      <c r="P121" s="718">
        <f t="shared" si="66"/>
        <v>7.5770251200000001</v>
      </c>
    </row>
    <row r="122" spans="1:16" ht="16" customHeight="1">
      <c r="E122" s="726"/>
      <c r="F122" s="727"/>
      <c r="G122" s="727"/>
      <c r="H122" s="727"/>
      <c r="J122" s="749" t="s">
        <v>143</v>
      </c>
      <c r="K122" s="760"/>
      <c r="L122" s="760"/>
      <c r="M122" s="761"/>
      <c r="N122" s="762">
        <v>7</v>
      </c>
      <c r="O122" s="762">
        <f t="shared" ref="O122:P122" si="67">+N122*(1+0.02)^2</f>
        <v>7.2827999999999999</v>
      </c>
      <c r="P122" s="762">
        <f t="shared" si="67"/>
        <v>7.5770251200000001</v>
      </c>
    </row>
    <row r="123" spans="1:16" ht="16" customHeight="1" thickBot="1">
      <c r="B123" s="938" t="s">
        <v>144</v>
      </c>
      <c r="C123" s="938"/>
      <c r="D123" s="31"/>
      <c r="E123" s="893" t="s">
        <v>17</v>
      </c>
      <c r="F123" s="893" t="str">
        <f>+F$21</f>
        <v>I</v>
      </c>
      <c r="G123" s="893" t="str">
        <f>+G$21</f>
        <v>II</v>
      </c>
      <c r="H123" s="893" t="str">
        <f>+H$21</f>
        <v>III</v>
      </c>
      <c r="J123" s="735" t="s">
        <v>35</v>
      </c>
      <c r="K123" s="727"/>
      <c r="L123" s="727"/>
      <c r="M123" s="723"/>
      <c r="N123" s="718">
        <v>7.5</v>
      </c>
      <c r="O123" s="718">
        <f t="shared" ref="O123:P123" si="68">+N123*(1+0.02)^2</f>
        <v>7.8029999999999999</v>
      </c>
      <c r="P123" s="718">
        <f t="shared" si="68"/>
        <v>8.1182411999999999</v>
      </c>
    </row>
    <row r="124" spans="1:16" ht="16" customHeight="1">
      <c r="B124" s="32" t="s">
        <v>145</v>
      </c>
      <c r="C124" s="31"/>
      <c r="D124" s="31"/>
      <c r="E124" s="712"/>
      <c r="F124" s="713"/>
      <c r="G124" s="713"/>
      <c r="H124" s="713"/>
      <c r="J124" s="735" t="s">
        <v>37</v>
      </c>
      <c r="K124" s="727"/>
      <c r="L124" s="727"/>
      <c r="M124" s="723"/>
      <c r="N124" s="718">
        <v>2</v>
      </c>
      <c r="O124" s="718">
        <f t="shared" ref="O124:P124" si="69">+N124*(1+0.02)^2</f>
        <v>2.0808</v>
      </c>
      <c r="P124" s="718">
        <f t="shared" si="69"/>
        <v>2.16486432</v>
      </c>
    </row>
    <row r="125" spans="1:16" ht="16" customHeight="1">
      <c r="B125" s="38" t="s">
        <v>125</v>
      </c>
      <c r="C125" s="31"/>
      <c r="D125" s="31"/>
      <c r="E125" s="712"/>
      <c r="F125" s="713">
        <f>+'Parcel Breakdown'!AQ24-F133</f>
        <v>106496.40000000001</v>
      </c>
      <c r="G125" s="713">
        <f>+'Parcel Breakdown'!AQ25</f>
        <v>107750.7</v>
      </c>
      <c r="H125" s="713">
        <f>+'Parcel Breakdown'!AQ26</f>
        <v>59475.6</v>
      </c>
      <c r="J125" s="727"/>
      <c r="K125" s="727"/>
      <c r="L125" s="727"/>
      <c r="M125" s="727"/>
      <c r="N125" s="727"/>
      <c r="O125" s="727"/>
      <c r="P125" s="727"/>
    </row>
    <row r="126" spans="1:16" ht="16" customHeight="1">
      <c r="A126" s="232"/>
      <c r="B126" s="38" t="s">
        <v>47</v>
      </c>
      <c r="C126" s="31"/>
      <c r="D126" s="31"/>
      <c r="E126" s="714"/>
      <c r="F126" s="762">
        <v>67</v>
      </c>
      <c r="G126" s="718">
        <f>+F126*(1+0.02)^2</f>
        <v>69.706800000000001</v>
      </c>
      <c r="H126" s="718">
        <f>+F126*(1+0.02)^4</f>
        <v>72.522954720000001</v>
      </c>
      <c r="J126" s="939" t="s">
        <v>146</v>
      </c>
      <c r="K126" s="939"/>
      <c r="L126" s="714"/>
      <c r="M126" s="893" t="s">
        <v>17</v>
      </c>
      <c r="N126" s="893" t="str">
        <f>+F$21</f>
        <v>I</v>
      </c>
      <c r="O126" s="893" t="str">
        <f>+G$21</f>
        <v>II</v>
      </c>
      <c r="P126" s="893" t="str">
        <f>+H$21</f>
        <v>III</v>
      </c>
    </row>
    <row r="127" spans="1:16" ht="16" customHeight="1">
      <c r="A127" s="232"/>
      <c r="B127" s="38" t="s">
        <v>147</v>
      </c>
      <c r="C127" s="31"/>
      <c r="D127" s="31"/>
      <c r="E127" s="716"/>
      <c r="F127" s="717">
        <f>+F126*F125</f>
        <v>7135258.8000000007</v>
      </c>
      <c r="G127" s="717">
        <f>+G126*G125</f>
        <v>7510956.4947600001</v>
      </c>
      <c r="H127" s="717">
        <f>+H126*H125</f>
        <v>4313346.2457448319</v>
      </c>
      <c r="J127" s="740" t="s">
        <v>148</v>
      </c>
      <c r="K127" s="727"/>
      <c r="L127" s="727"/>
      <c r="M127" s="727"/>
      <c r="N127" s="727"/>
      <c r="O127" s="727"/>
      <c r="P127" s="727"/>
    </row>
    <row r="128" spans="1:16" ht="16" customHeight="1">
      <c r="B128" s="32" t="s">
        <v>149</v>
      </c>
      <c r="C128" s="31"/>
      <c r="D128" s="31"/>
      <c r="E128" s="712"/>
      <c r="F128" s="713"/>
      <c r="G128" s="713"/>
      <c r="H128" s="713"/>
      <c r="J128" s="735" t="s">
        <v>25</v>
      </c>
      <c r="K128" s="714"/>
      <c r="L128" s="714"/>
      <c r="M128" s="751">
        <v>5.7500000000000002E-2</v>
      </c>
      <c r="N128" s="752">
        <f t="shared" ref="N128:P136" si="70">+$M128</f>
        <v>5.7500000000000002E-2</v>
      </c>
      <c r="O128" s="752">
        <f t="shared" si="70"/>
        <v>5.7500000000000002E-2</v>
      </c>
      <c r="P128" s="752">
        <f t="shared" si="70"/>
        <v>5.7500000000000002E-2</v>
      </c>
    </row>
    <row r="129" spans="2:18" ht="16" customHeight="1">
      <c r="B129" s="38" t="s">
        <v>125</v>
      </c>
      <c r="C129" s="31"/>
      <c r="D129" s="31"/>
      <c r="E129" s="712"/>
      <c r="F129" s="713">
        <v>0</v>
      </c>
      <c r="G129" s="713">
        <v>0</v>
      </c>
      <c r="H129" s="713">
        <v>0</v>
      </c>
      <c r="J129" s="735" t="s">
        <v>27</v>
      </c>
      <c r="K129" s="714"/>
      <c r="L129" s="714"/>
      <c r="M129" s="751">
        <v>5.5E-2</v>
      </c>
      <c r="N129" s="752">
        <f t="shared" si="70"/>
        <v>5.5E-2</v>
      </c>
      <c r="O129" s="752">
        <f t="shared" si="70"/>
        <v>5.5E-2</v>
      </c>
      <c r="P129" s="752">
        <f t="shared" si="70"/>
        <v>5.5E-2</v>
      </c>
    </row>
    <row r="130" spans="2:18" ht="16" customHeight="1">
      <c r="B130" s="38" t="s">
        <v>47</v>
      </c>
      <c r="C130" s="31"/>
      <c r="D130" s="31"/>
      <c r="E130" s="714"/>
      <c r="F130" s="718">
        <v>0</v>
      </c>
      <c r="G130" s="718">
        <v>0</v>
      </c>
      <c r="H130" s="718">
        <v>0</v>
      </c>
      <c r="J130" s="735" t="s">
        <v>29</v>
      </c>
      <c r="K130" s="714"/>
      <c r="L130" s="714"/>
      <c r="M130" s="751">
        <v>0.06</v>
      </c>
      <c r="N130" s="752">
        <f t="shared" si="70"/>
        <v>0.06</v>
      </c>
      <c r="O130" s="752">
        <f t="shared" si="70"/>
        <v>0.06</v>
      </c>
      <c r="P130" s="752">
        <f t="shared" si="70"/>
        <v>0.06</v>
      </c>
    </row>
    <row r="131" spans="2:18" ht="16" customHeight="1">
      <c r="B131" s="38" t="s">
        <v>147</v>
      </c>
      <c r="C131" s="31"/>
      <c r="D131" s="31"/>
      <c r="E131" s="716"/>
      <c r="F131" s="717">
        <f>+F130*F129</f>
        <v>0</v>
      </c>
      <c r="G131" s="717">
        <f t="shared" ref="G131:H131" si="71">+G130*G129</f>
        <v>0</v>
      </c>
      <c r="H131" s="717">
        <f t="shared" si="71"/>
        <v>0</v>
      </c>
      <c r="J131" s="735" t="s">
        <v>31</v>
      </c>
      <c r="K131" s="714"/>
      <c r="L131" s="714"/>
      <c r="M131" s="751">
        <v>6.5000000000000002E-2</v>
      </c>
      <c r="N131" s="752">
        <f t="shared" si="70"/>
        <v>6.5000000000000002E-2</v>
      </c>
      <c r="O131" s="752">
        <f t="shared" si="70"/>
        <v>6.5000000000000002E-2</v>
      </c>
      <c r="P131" s="752">
        <f t="shared" si="70"/>
        <v>6.5000000000000002E-2</v>
      </c>
    </row>
    <row r="132" spans="2:18" ht="16" customHeight="1">
      <c r="B132" s="32" t="s">
        <v>150</v>
      </c>
      <c r="E132" s="712"/>
      <c r="F132" s="713"/>
      <c r="G132" s="713"/>
      <c r="H132" s="713"/>
      <c r="J132" s="735" t="s">
        <v>143</v>
      </c>
      <c r="K132" s="714"/>
      <c r="L132" s="714"/>
      <c r="M132" s="751">
        <v>6.7500000000000004E-2</v>
      </c>
      <c r="N132" s="752">
        <f t="shared" si="70"/>
        <v>6.7500000000000004E-2</v>
      </c>
      <c r="O132" s="752">
        <f t="shared" si="70"/>
        <v>6.7500000000000004E-2</v>
      </c>
      <c r="P132" s="752">
        <f t="shared" si="70"/>
        <v>6.7500000000000004E-2</v>
      </c>
    </row>
    <row r="133" spans="2:18" ht="16" customHeight="1">
      <c r="B133" s="38" t="s">
        <v>125</v>
      </c>
      <c r="E133" s="712"/>
      <c r="F133" s="713">
        <v>14977</v>
      </c>
      <c r="G133" s="713">
        <v>0</v>
      </c>
      <c r="H133" s="713">
        <v>0</v>
      </c>
      <c r="J133" s="735" t="s">
        <v>35</v>
      </c>
      <c r="K133" s="714"/>
      <c r="L133" s="714"/>
      <c r="M133" s="751">
        <v>6.5000000000000002E-2</v>
      </c>
      <c r="N133" s="752">
        <f t="shared" si="70"/>
        <v>6.5000000000000002E-2</v>
      </c>
      <c r="O133" s="752">
        <f t="shared" si="70"/>
        <v>6.5000000000000002E-2</v>
      </c>
      <c r="P133" s="752">
        <f t="shared" si="70"/>
        <v>6.5000000000000002E-2</v>
      </c>
    </row>
    <row r="134" spans="2:18" ht="16" customHeight="1">
      <c r="B134" s="38" t="s">
        <v>47</v>
      </c>
      <c r="E134" s="714"/>
      <c r="F134" s="718">
        <v>30</v>
      </c>
      <c r="G134" s="718">
        <v>32</v>
      </c>
      <c r="H134" s="718">
        <v>35</v>
      </c>
      <c r="J134" s="735" t="s">
        <v>37</v>
      </c>
      <c r="K134" s="727"/>
      <c r="L134" s="727"/>
      <c r="M134" s="751">
        <v>5.5E-2</v>
      </c>
      <c r="N134" s="752">
        <f t="shared" si="70"/>
        <v>5.5E-2</v>
      </c>
      <c r="O134" s="752">
        <f t="shared" si="70"/>
        <v>5.5E-2</v>
      </c>
      <c r="P134" s="752">
        <f t="shared" si="70"/>
        <v>5.5E-2</v>
      </c>
    </row>
    <row r="135" spans="2:18" ht="16" customHeight="1">
      <c r="B135" s="38" t="s">
        <v>147</v>
      </c>
      <c r="E135" s="716"/>
      <c r="F135" s="717">
        <f>+F134*F133</f>
        <v>449310</v>
      </c>
      <c r="G135" s="717">
        <f t="shared" ref="G135:H135" si="72">+G134*G133</f>
        <v>0</v>
      </c>
      <c r="H135" s="717">
        <f t="shared" si="72"/>
        <v>0</v>
      </c>
      <c r="J135" s="735" t="s">
        <v>104</v>
      </c>
      <c r="K135" s="727"/>
      <c r="L135" s="727"/>
      <c r="M135" s="751">
        <v>6.5000000000000002E-2</v>
      </c>
      <c r="N135" s="752">
        <f t="shared" si="70"/>
        <v>6.5000000000000002E-2</v>
      </c>
      <c r="O135" s="752">
        <f t="shared" si="70"/>
        <v>6.5000000000000002E-2</v>
      </c>
      <c r="P135" s="752">
        <f t="shared" si="70"/>
        <v>6.5000000000000002E-2</v>
      </c>
    </row>
    <row r="136" spans="2:18" ht="16" customHeight="1">
      <c r="B136" s="40" t="s">
        <v>151</v>
      </c>
      <c r="C136" s="41"/>
      <c r="D136" s="41"/>
      <c r="E136" s="719">
        <f>+SUM(F136:H136)</f>
        <v>19408871.540504832</v>
      </c>
      <c r="F136" s="720">
        <f>+F127+F131+F135</f>
        <v>7584568.8000000007</v>
      </c>
      <c r="G136" s="720">
        <f t="shared" ref="G136:H136" si="73">+G127+G131+G135</f>
        <v>7510956.4947600001</v>
      </c>
      <c r="H136" s="720">
        <f t="shared" si="73"/>
        <v>4313346.2457448319</v>
      </c>
      <c r="J136" s="727" t="s">
        <v>152</v>
      </c>
      <c r="K136" s="727"/>
      <c r="L136" s="727"/>
      <c r="M136" s="729">
        <v>0.02</v>
      </c>
      <c r="N136" s="730">
        <f>+$M136</f>
        <v>0.02</v>
      </c>
      <c r="O136" s="730">
        <f t="shared" si="70"/>
        <v>0.02</v>
      </c>
      <c r="P136" s="730">
        <f t="shared" si="70"/>
        <v>0.02</v>
      </c>
    </row>
    <row r="137" spans="2:18" ht="16" customHeight="1">
      <c r="B137" s="42" t="s">
        <v>60</v>
      </c>
      <c r="C137" s="43"/>
      <c r="D137" s="43"/>
      <c r="E137" s="721">
        <f>+SUM(F137:H137)</f>
        <v>288699.7</v>
      </c>
      <c r="F137" s="722">
        <f>+F125+F129+F133</f>
        <v>121473.40000000001</v>
      </c>
      <c r="G137" s="722">
        <f>+G125+G129+G133</f>
        <v>107750.7</v>
      </c>
      <c r="H137" s="722">
        <f>+H125+H129+H133</f>
        <v>59475.6</v>
      </c>
      <c r="J137" s="727"/>
      <c r="K137" s="727"/>
      <c r="L137" s="727"/>
      <c r="M137" s="727"/>
      <c r="N137" s="727"/>
      <c r="O137" s="727"/>
      <c r="P137" s="727"/>
    </row>
    <row r="138" spans="2:18" ht="16" customHeight="1">
      <c r="B138" s="44" t="s">
        <v>64</v>
      </c>
      <c r="C138" s="45"/>
      <c r="D138" s="45"/>
      <c r="E138" s="731">
        <f>+IFERROR(E136/E137,"")</f>
        <v>67.228582296777006</v>
      </c>
      <c r="F138" s="732">
        <f>+IFERROR(F136/F137,"")</f>
        <v>62.438104144611088</v>
      </c>
      <c r="G138" s="732">
        <f t="shared" ref="G138:H138" si="74">+IFERROR(G136/G137,"")</f>
        <v>69.706800000000001</v>
      </c>
      <c r="H138" s="732">
        <f t="shared" si="74"/>
        <v>72.522954720000001</v>
      </c>
      <c r="J138" s="939" t="s">
        <v>153</v>
      </c>
      <c r="K138" s="939"/>
      <c r="L138" s="714"/>
      <c r="M138" s="893" t="s">
        <v>17</v>
      </c>
      <c r="N138" s="893" t="str">
        <f>+F$21</f>
        <v>I</v>
      </c>
      <c r="O138" s="893" t="str">
        <f>+G$21</f>
        <v>II</v>
      </c>
      <c r="P138" s="893" t="str">
        <f>+H$21</f>
        <v>III</v>
      </c>
    </row>
    <row r="139" spans="2:18" ht="16" customHeight="1">
      <c r="E139" s="726"/>
      <c r="F139" s="727"/>
      <c r="G139" s="727"/>
      <c r="H139" s="727"/>
      <c r="J139" s="727" t="s">
        <v>154</v>
      </c>
      <c r="K139" s="727"/>
      <c r="L139" s="727"/>
      <c r="M139" s="727"/>
      <c r="N139" s="748">
        <v>2.8500000000000001E-2</v>
      </c>
      <c r="O139" s="748">
        <v>0.03</v>
      </c>
      <c r="P139" s="748">
        <v>0.03</v>
      </c>
      <c r="R139" s="232"/>
    </row>
    <row r="140" spans="2:18" ht="16" customHeight="1">
      <c r="B140" s="938" t="s">
        <v>155</v>
      </c>
      <c r="C140" s="938"/>
      <c r="D140" s="31"/>
      <c r="E140" s="893" t="s">
        <v>17</v>
      </c>
      <c r="F140" s="893" t="str">
        <f>+F$21</f>
        <v>I</v>
      </c>
      <c r="G140" s="893" t="str">
        <f>+G$21</f>
        <v>II</v>
      </c>
      <c r="H140" s="893" t="str">
        <f>+H$21</f>
        <v>III</v>
      </c>
      <c r="J140" s="727"/>
      <c r="K140" s="727"/>
      <c r="L140" s="727"/>
      <c r="M140" s="727"/>
      <c r="N140" s="727"/>
      <c r="O140" s="727"/>
      <c r="P140" s="727"/>
    </row>
    <row r="141" spans="2:18" ht="16" customHeight="1">
      <c r="B141" s="734" t="s">
        <v>33</v>
      </c>
      <c r="C141" s="31"/>
      <c r="D141" s="31"/>
      <c r="E141" s="712"/>
      <c r="F141" s="713">
        <f>+'Parcel Breakdown'!AS24-Assumptions!F150</f>
        <v>107898</v>
      </c>
      <c r="G141" s="713">
        <v>0</v>
      </c>
      <c r="H141" s="713">
        <v>0</v>
      </c>
      <c r="J141" s="727"/>
      <c r="K141" s="727"/>
      <c r="L141" s="727"/>
      <c r="M141" s="727"/>
      <c r="N141" s="727"/>
      <c r="O141" s="727"/>
      <c r="P141" s="727"/>
    </row>
    <row r="142" spans="2:18" ht="16" customHeight="1">
      <c r="B142" s="38" t="s">
        <v>125</v>
      </c>
      <c r="C142" s="31"/>
      <c r="D142" s="31"/>
      <c r="E142" s="712"/>
      <c r="F142" s="713">
        <f>+'Parcel Breakdown'!AS24-Assumptions!F150</f>
        <v>107898</v>
      </c>
      <c r="G142" s="713">
        <v>1E-4</v>
      </c>
      <c r="H142" s="713">
        <v>0</v>
      </c>
      <c r="J142" s="740" t="s">
        <v>156</v>
      </c>
      <c r="K142" s="727"/>
      <c r="L142" s="727"/>
      <c r="M142" s="727"/>
      <c r="N142" s="727"/>
      <c r="O142" s="727"/>
      <c r="P142" s="727"/>
    </row>
    <row r="143" spans="2:18" ht="16" customHeight="1">
      <c r="B143" s="38" t="s">
        <v>47</v>
      </c>
      <c r="C143" s="31"/>
      <c r="D143" s="31"/>
      <c r="E143" s="714"/>
      <c r="F143" s="875">
        <v>0</v>
      </c>
      <c r="G143" s="718">
        <v>0</v>
      </c>
      <c r="H143" s="718">
        <v>0</v>
      </c>
      <c r="J143" s="735" t="s">
        <v>157</v>
      </c>
      <c r="K143" s="714"/>
      <c r="L143" s="714"/>
      <c r="M143" s="729"/>
      <c r="N143" s="730">
        <v>0.6</v>
      </c>
      <c r="O143" s="730">
        <v>0.6</v>
      </c>
      <c r="P143" s="730">
        <v>0.6</v>
      </c>
      <c r="R143" s="104"/>
    </row>
    <row r="144" spans="2:18" ht="16" customHeight="1">
      <c r="B144" s="38" t="s">
        <v>147</v>
      </c>
      <c r="C144" s="31"/>
      <c r="D144" s="31"/>
      <c r="E144" s="716"/>
      <c r="F144" s="717">
        <v>1</v>
      </c>
      <c r="G144" s="717">
        <f t="shared" ref="G144:H144" si="75">+G143*G142</f>
        <v>0</v>
      </c>
      <c r="H144" s="717">
        <f t="shared" si="75"/>
        <v>0</v>
      </c>
      <c r="J144" s="735" t="s">
        <v>158</v>
      </c>
      <c r="K144" s="714"/>
      <c r="L144" s="714"/>
      <c r="M144" s="741"/>
      <c r="N144" s="753">
        <v>375</v>
      </c>
      <c r="O144" s="753">
        <v>375</v>
      </c>
      <c r="P144" s="753">
        <v>375</v>
      </c>
    </row>
    <row r="145" spans="1:18" ht="16" customHeight="1">
      <c r="B145" s="734" t="s">
        <v>159</v>
      </c>
      <c r="C145" s="31"/>
      <c r="D145" s="31"/>
      <c r="E145" s="712"/>
      <c r="F145" s="713">
        <f>'Parcel Breakdown'!F7</f>
        <v>54377</v>
      </c>
      <c r="G145" s="713">
        <f>'Parcel Breakdown'!F9</f>
        <v>108777</v>
      </c>
      <c r="H145" s="713">
        <f>'Parcel Breakdown'!F6+'Parcel Breakdown'!F12</f>
        <v>56844</v>
      </c>
      <c r="J145" s="735" t="s">
        <v>160</v>
      </c>
      <c r="K145" s="727"/>
      <c r="L145" s="727"/>
      <c r="M145" s="727"/>
      <c r="N145" s="752">
        <f>+N139+(N144/10000)</f>
        <v>6.6000000000000003E-2</v>
      </c>
      <c r="O145" s="752">
        <f>+O139+(O144/10000)</f>
        <v>6.7500000000000004E-2</v>
      </c>
      <c r="P145" s="752">
        <f>+P139+(P144/10000)</f>
        <v>6.7500000000000004E-2</v>
      </c>
    </row>
    <row r="146" spans="1:18" ht="16" customHeight="1">
      <c r="B146" s="38" t="s">
        <v>125</v>
      </c>
      <c r="C146" s="31"/>
      <c r="D146" s="31"/>
      <c r="E146" s="712"/>
      <c r="F146" s="713">
        <v>0</v>
      </c>
      <c r="G146" s="713">
        <v>0</v>
      </c>
      <c r="H146" s="713">
        <f>+'Parcel Breakdown'!$AS$26</f>
        <v>0</v>
      </c>
      <c r="J146" s="735" t="s">
        <v>161</v>
      </c>
      <c r="K146" s="714"/>
      <c r="L146" s="714"/>
      <c r="M146" s="729"/>
      <c r="N146" s="748">
        <v>0.01</v>
      </c>
      <c r="O146" s="748">
        <v>0.01</v>
      </c>
      <c r="P146" s="748">
        <v>0.01</v>
      </c>
    </row>
    <row r="147" spans="1:18" ht="16" customHeight="1">
      <c r="B147" s="38" t="s">
        <v>47</v>
      </c>
      <c r="C147" s="31"/>
      <c r="D147" s="31"/>
      <c r="E147" s="714"/>
      <c r="F147" s="718">
        <v>0</v>
      </c>
      <c r="G147" s="718">
        <v>0</v>
      </c>
      <c r="H147" s="718">
        <v>0</v>
      </c>
      <c r="J147" s="735" t="s">
        <v>162</v>
      </c>
      <c r="K147" s="727"/>
      <c r="L147" s="727"/>
      <c r="M147" s="754"/>
      <c r="N147" s="730">
        <v>0.65</v>
      </c>
      <c r="O147" s="730">
        <v>0.65</v>
      </c>
      <c r="P147" s="730">
        <v>0.65</v>
      </c>
    </row>
    <row r="148" spans="1:18" ht="16" customHeight="1">
      <c r="B148" s="38" t="s">
        <v>147</v>
      </c>
      <c r="C148" s="31"/>
      <c r="D148" s="31"/>
      <c r="E148" s="716"/>
      <c r="F148" s="717">
        <f>+F147*F146</f>
        <v>0</v>
      </c>
      <c r="G148" s="717">
        <f t="shared" ref="G148:H148" si="76">+G147*G146</f>
        <v>0</v>
      </c>
      <c r="H148" s="717">
        <f t="shared" si="76"/>
        <v>0</v>
      </c>
      <c r="J148" s="740" t="s">
        <v>163</v>
      </c>
      <c r="K148" s="714"/>
      <c r="L148" s="714"/>
      <c r="M148" s="729"/>
      <c r="N148" s="730"/>
      <c r="O148" s="730"/>
      <c r="P148" s="730"/>
    </row>
    <row r="149" spans="1:18" ht="16" customHeight="1">
      <c r="B149" s="734" t="s">
        <v>117</v>
      </c>
      <c r="E149" s="712"/>
      <c r="F149" s="713"/>
      <c r="G149" s="713"/>
      <c r="H149" s="713"/>
      <c r="J149" s="735" t="s">
        <v>164</v>
      </c>
      <c r="K149" s="727"/>
      <c r="L149" s="727"/>
      <c r="M149" s="727"/>
      <c r="N149" s="730">
        <v>0.65</v>
      </c>
      <c r="O149" s="730">
        <v>0.65</v>
      </c>
      <c r="P149" s="730">
        <v>0.65</v>
      </c>
    </row>
    <row r="150" spans="1:18" ht="16" customHeight="1">
      <c r="B150" s="38" t="s">
        <v>125</v>
      </c>
      <c r="E150" s="712"/>
      <c r="F150" s="713">
        <v>0</v>
      </c>
      <c r="G150" s="713">
        <v>0</v>
      </c>
      <c r="H150" s="713">
        <v>0</v>
      </c>
      <c r="J150" s="735" t="s">
        <v>165</v>
      </c>
      <c r="K150" s="727"/>
      <c r="L150" s="727"/>
      <c r="M150" s="727"/>
      <c r="N150" s="755">
        <v>1.25</v>
      </c>
      <c r="O150" s="755">
        <v>1.25</v>
      </c>
      <c r="P150" s="755">
        <v>1.25</v>
      </c>
    </row>
    <row r="151" spans="1:18" ht="16" customHeight="1">
      <c r="A151" s="232"/>
      <c r="B151" s="38" t="s">
        <v>47</v>
      </c>
      <c r="E151" s="714"/>
      <c r="F151" s="718">
        <v>10</v>
      </c>
      <c r="G151" s="718">
        <v>10</v>
      </c>
      <c r="H151" s="718">
        <v>10</v>
      </c>
      <c r="J151" s="735" t="s">
        <v>158</v>
      </c>
      <c r="K151" s="714"/>
      <c r="L151" s="714"/>
      <c r="M151" s="741"/>
      <c r="N151" s="752">
        <v>0.06</v>
      </c>
      <c r="O151" s="752">
        <v>0.06</v>
      </c>
      <c r="P151" s="752">
        <v>0.06</v>
      </c>
    </row>
    <row r="152" spans="1:18" ht="16" customHeight="1">
      <c r="B152" s="38" t="s">
        <v>147</v>
      </c>
      <c r="E152" s="716"/>
      <c r="F152" s="717">
        <f>+F151*F150</f>
        <v>0</v>
      </c>
      <c r="G152" s="717">
        <f t="shared" ref="G152:H152" si="77">+G151*G150</f>
        <v>0</v>
      </c>
      <c r="H152" s="717">
        <f t="shared" si="77"/>
        <v>0</v>
      </c>
      <c r="J152" s="735" t="s">
        <v>161</v>
      </c>
      <c r="K152" s="714"/>
      <c r="L152" s="714"/>
      <c r="M152" s="729"/>
      <c r="N152" s="752">
        <v>7.4999999999999997E-3</v>
      </c>
      <c r="O152" s="752">
        <v>7.4999999999999997E-3</v>
      </c>
      <c r="P152" s="752">
        <v>7.4999999999999997E-3</v>
      </c>
    </row>
    <row r="153" spans="1:18" ht="16" customHeight="1">
      <c r="B153" s="40" t="s">
        <v>166</v>
      </c>
      <c r="C153" s="41"/>
      <c r="D153" s="41"/>
      <c r="E153" s="719">
        <f>+SUM(F153:H153)</f>
        <v>1</v>
      </c>
      <c r="F153" s="720">
        <f>+F144+F148+F152</f>
        <v>1</v>
      </c>
      <c r="G153" s="720">
        <f t="shared" ref="G153:H153" si="78">+G144+G148+G152</f>
        <v>0</v>
      </c>
      <c r="H153" s="720">
        <f t="shared" si="78"/>
        <v>0</v>
      </c>
      <c r="J153" s="735" t="s">
        <v>167</v>
      </c>
      <c r="K153" s="714"/>
      <c r="L153" s="714"/>
      <c r="M153" s="729"/>
      <c r="N153" s="745">
        <v>30</v>
      </c>
      <c r="O153" s="745">
        <v>30</v>
      </c>
      <c r="P153" s="745">
        <v>30</v>
      </c>
    </row>
    <row r="154" spans="1:18" ht="16" customHeight="1">
      <c r="B154" s="42" t="s">
        <v>60</v>
      </c>
      <c r="C154" s="43"/>
      <c r="D154" s="43"/>
      <c r="E154" s="721">
        <f>+SUM(F154:H154)</f>
        <v>107898.0001</v>
      </c>
      <c r="F154" s="722">
        <f>+F142+F146+F150</f>
        <v>107898</v>
      </c>
      <c r="G154" s="722">
        <f t="shared" ref="G154:H154" si="79">+G142+G146+G150</f>
        <v>1E-4</v>
      </c>
      <c r="H154" s="722">
        <f t="shared" si="79"/>
        <v>0</v>
      </c>
      <c r="J154" s="740" t="s">
        <v>168</v>
      </c>
      <c r="K154" s="714"/>
      <c r="L154" s="714"/>
      <c r="M154" s="729"/>
      <c r="N154" s="748"/>
      <c r="O154" s="748"/>
      <c r="P154" s="748"/>
    </row>
    <row r="155" spans="1:18" ht="16" customHeight="1">
      <c r="B155" s="44" t="s">
        <v>64</v>
      </c>
      <c r="C155" s="45"/>
      <c r="D155" s="45"/>
      <c r="E155" s="731">
        <f>+IFERROR(E153/E154,"")</f>
        <v>9.2680123734749372E-6</v>
      </c>
      <c r="F155" s="732">
        <f>+IFERROR(F153/F154,"")</f>
        <v>9.2680123820645425E-6</v>
      </c>
      <c r="G155" s="732">
        <f t="shared" ref="G155:H155" si="80">+IFERROR(G153/G154,"")</f>
        <v>0</v>
      </c>
      <c r="H155" s="732" t="str">
        <f t="shared" si="80"/>
        <v/>
      </c>
      <c r="J155" s="735" t="s">
        <v>164</v>
      </c>
      <c r="K155" s="714"/>
      <c r="L155" s="714"/>
      <c r="M155" s="729"/>
      <c r="N155" s="730">
        <v>0.8</v>
      </c>
      <c r="O155" s="730">
        <v>0.8</v>
      </c>
      <c r="P155" s="730">
        <v>0.8</v>
      </c>
    </row>
    <row r="156" spans="1:18" ht="16" customHeight="1">
      <c r="E156" s="726"/>
      <c r="F156" s="727"/>
      <c r="G156" s="727"/>
      <c r="H156" s="727"/>
      <c r="J156" s="735" t="s">
        <v>165</v>
      </c>
      <c r="K156" s="727"/>
      <c r="L156" s="727"/>
      <c r="M156" s="727"/>
      <c r="N156" s="755">
        <v>1.3</v>
      </c>
      <c r="O156" s="755">
        <v>1.3</v>
      </c>
      <c r="P156" s="755">
        <v>1.3</v>
      </c>
    </row>
    <row r="157" spans="1:18" ht="16" customHeight="1">
      <c r="E157" s="726"/>
      <c r="F157" s="727"/>
      <c r="G157" s="727"/>
      <c r="H157" s="727"/>
      <c r="J157" s="735" t="s">
        <v>158</v>
      </c>
      <c r="K157" s="714"/>
      <c r="L157" s="714"/>
      <c r="M157" s="741"/>
      <c r="N157" s="752">
        <v>0.06</v>
      </c>
      <c r="O157" s="752">
        <v>0.06</v>
      </c>
      <c r="P157" s="752">
        <v>0.06</v>
      </c>
    </row>
    <row r="158" spans="1:18" ht="16" customHeight="1">
      <c r="B158" s="938" t="s">
        <v>169</v>
      </c>
      <c r="C158" s="938"/>
      <c r="D158" s="31"/>
      <c r="E158" s="893" t="s">
        <v>17</v>
      </c>
      <c r="F158" s="893" t="str">
        <f>+F$21</f>
        <v>I</v>
      </c>
      <c r="G158" s="893" t="str">
        <f>+G$21</f>
        <v>II</v>
      </c>
      <c r="H158" s="893" t="str">
        <f>+H$21</f>
        <v>III</v>
      </c>
      <c r="J158" s="735" t="s">
        <v>161</v>
      </c>
      <c r="K158" s="714"/>
      <c r="L158" s="714"/>
      <c r="M158" s="729"/>
      <c r="N158" s="752">
        <v>0.01</v>
      </c>
      <c r="O158" s="752">
        <v>0.01</v>
      </c>
      <c r="P158" s="752">
        <v>0.01</v>
      </c>
    </row>
    <row r="159" spans="1:18" ht="16" customHeight="1">
      <c r="B159" s="32" t="s">
        <v>170</v>
      </c>
      <c r="C159" s="31"/>
      <c r="D159" s="31"/>
      <c r="E159" s="712"/>
      <c r="F159" s="713"/>
      <c r="G159" s="713"/>
      <c r="H159" s="713"/>
      <c r="J159" s="735" t="s">
        <v>167</v>
      </c>
      <c r="K159" s="714"/>
      <c r="L159" s="714"/>
      <c r="M159" s="729"/>
      <c r="N159" s="745" t="s">
        <v>171</v>
      </c>
      <c r="O159" s="745" t="s">
        <v>171</v>
      </c>
      <c r="P159" s="745" t="s">
        <v>171</v>
      </c>
    </row>
    <row r="160" spans="1:18" ht="16" customHeight="1">
      <c r="B160" s="38" t="s">
        <v>125</v>
      </c>
      <c r="C160" s="31"/>
      <c r="D160" s="31"/>
      <c r="E160" s="712"/>
      <c r="F160" s="713">
        <f>+'Parcel Breakdown'!$AT$24</f>
        <v>281250</v>
      </c>
      <c r="G160" s="713">
        <f>+'Parcel Breakdown'!$AT$25</f>
        <v>281250</v>
      </c>
      <c r="H160" s="713">
        <f>+'Parcel Breakdown'!$AT$26</f>
        <v>0</v>
      </c>
      <c r="J160" s="763" t="s">
        <v>172</v>
      </c>
      <c r="K160" s="714"/>
      <c r="L160" s="714"/>
      <c r="M160" s="729"/>
      <c r="N160" s="730"/>
      <c r="O160" s="730"/>
      <c r="P160" s="730"/>
      <c r="R160" s="105"/>
    </row>
    <row r="161" spans="2:18" ht="16" customHeight="1">
      <c r="B161" s="38" t="s">
        <v>47</v>
      </c>
      <c r="C161" s="31"/>
      <c r="D161" s="31"/>
      <c r="E161" s="714"/>
      <c r="F161" s="718">
        <v>43.4</v>
      </c>
      <c r="G161" s="718">
        <f>+F161*(1+0.02)^2</f>
        <v>45.153359999999999</v>
      </c>
      <c r="H161" s="718">
        <f>+F161*(1+0.02)^4</f>
        <v>46.977555744</v>
      </c>
      <c r="J161" s="735" t="s">
        <v>164</v>
      </c>
      <c r="K161" s="714"/>
      <c r="L161" s="714"/>
      <c r="M161" s="729"/>
      <c r="N161" s="730">
        <v>0.75</v>
      </c>
      <c r="O161" s="730">
        <v>0.75</v>
      </c>
      <c r="P161" s="730">
        <v>0.75</v>
      </c>
      <c r="R161" s="104"/>
    </row>
    <row r="162" spans="2:18" ht="16" customHeight="1">
      <c r="B162" s="38" t="s">
        <v>147</v>
      </c>
      <c r="C162" s="31"/>
      <c r="D162" s="31"/>
      <c r="E162" s="716"/>
      <c r="F162" s="717">
        <f>+F161*F160</f>
        <v>12206250</v>
      </c>
      <c r="G162" s="717">
        <f t="shared" ref="G162:H162" si="81">+G161*G160</f>
        <v>12699382.5</v>
      </c>
      <c r="H162" s="717">
        <f t="shared" si="81"/>
        <v>0</v>
      </c>
      <c r="J162" s="735" t="s">
        <v>165</v>
      </c>
      <c r="K162" s="727"/>
      <c r="L162" s="727"/>
      <c r="M162" s="727"/>
      <c r="N162" s="755">
        <v>1.3</v>
      </c>
      <c r="O162" s="755">
        <v>1.3</v>
      </c>
      <c r="P162" s="755">
        <v>1.3</v>
      </c>
    </row>
    <row r="163" spans="2:18" ht="16" customHeight="1">
      <c r="B163" s="32" t="s">
        <v>149</v>
      </c>
      <c r="C163" s="31"/>
      <c r="D163" s="31"/>
      <c r="E163" s="712"/>
      <c r="F163" s="713"/>
      <c r="G163" s="713"/>
      <c r="H163" s="713"/>
      <c r="J163" s="735" t="s">
        <v>158</v>
      </c>
      <c r="K163" s="714"/>
      <c r="L163" s="714"/>
      <c r="M163" s="741"/>
      <c r="N163" s="752">
        <v>5.5E-2</v>
      </c>
      <c r="O163" s="752">
        <v>5.5E-2</v>
      </c>
      <c r="P163" s="752">
        <v>5.5E-2</v>
      </c>
    </row>
    <row r="164" spans="2:18" ht="16" customHeight="1">
      <c r="B164" s="38" t="s">
        <v>125</v>
      </c>
      <c r="C164" s="31"/>
      <c r="D164" s="31"/>
      <c r="E164" s="712"/>
      <c r="F164" s="713">
        <v>0</v>
      </c>
      <c r="G164" s="713">
        <v>0</v>
      </c>
      <c r="H164" s="713">
        <v>0</v>
      </c>
      <c r="J164" s="735" t="s">
        <v>161</v>
      </c>
      <c r="K164" s="714"/>
      <c r="L164" s="714"/>
      <c r="M164" s="729"/>
      <c r="N164" s="752">
        <v>7.4999999999999997E-3</v>
      </c>
      <c r="O164" s="752">
        <v>7.4999999999999997E-3</v>
      </c>
      <c r="P164" s="752">
        <v>7.4999999999999997E-3</v>
      </c>
    </row>
    <row r="165" spans="2:18" ht="16" customHeight="1">
      <c r="B165" s="38" t="s">
        <v>47</v>
      </c>
      <c r="C165" s="31"/>
      <c r="D165" s="31"/>
      <c r="E165" s="714"/>
      <c r="F165" s="718">
        <v>25</v>
      </c>
      <c r="G165" s="718">
        <v>25</v>
      </c>
      <c r="H165" s="718">
        <v>25</v>
      </c>
      <c r="J165" s="735" t="s">
        <v>167</v>
      </c>
      <c r="K165" s="714"/>
      <c r="L165" s="714"/>
      <c r="M165" s="729"/>
      <c r="N165" s="745" t="s">
        <v>171</v>
      </c>
      <c r="O165" s="745" t="s">
        <v>171</v>
      </c>
      <c r="P165" s="745" t="s">
        <v>171</v>
      </c>
    </row>
    <row r="166" spans="2:18" ht="16" customHeight="1">
      <c r="B166" s="38" t="s">
        <v>147</v>
      </c>
      <c r="C166" s="31"/>
      <c r="D166" s="31"/>
      <c r="E166" s="716"/>
      <c r="F166" s="717">
        <f>+F165*F164</f>
        <v>0</v>
      </c>
      <c r="G166" s="717">
        <f t="shared" ref="G166:H166" si="82">+G165*G164</f>
        <v>0</v>
      </c>
      <c r="H166" s="717">
        <f t="shared" si="82"/>
        <v>0</v>
      </c>
      <c r="J166" s="740" t="s">
        <v>173</v>
      </c>
      <c r="K166" s="727"/>
      <c r="L166" s="727"/>
      <c r="M166" s="727"/>
      <c r="N166" s="727"/>
      <c r="O166" s="727"/>
      <c r="P166" s="727"/>
    </row>
    <row r="167" spans="2:18" ht="16" customHeight="1">
      <c r="B167" s="32" t="s">
        <v>149</v>
      </c>
      <c r="E167" s="712"/>
      <c r="F167" s="713"/>
      <c r="G167" s="713"/>
      <c r="H167" s="713"/>
      <c r="J167" s="735" t="s">
        <v>165</v>
      </c>
      <c r="K167" s="727"/>
      <c r="L167" s="727"/>
      <c r="M167" s="727"/>
      <c r="N167" s="755">
        <v>1.25</v>
      </c>
      <c r="O167" s="755">
        <f t="shared" ref="O167:P171" si="83">+N167</f>
        <v>1.25</v>
      </c>
      <c r="P167" s="755">
        <f t="shared" si="83"/>
        <v>1.25</v>
      </c>
    </row>
    <row r="168" spans="2:18" ht="16" customHeight="1">
      <c r="B168" s="38" t="s">
        <v>125</v>
      </c>
      <c r="E168" s="712"/>
      <c r="F168" s="713">
        <v>0</v>
      </c>
      <c r="G168" s="713">
        <v>0</v>
      </c>
      <c r="H168" s="713">
        <v>0</v>
      </c>
      <c r="J168" s="735" t="s">
        <v>158</v>
      </c>
      <c r="K168" s="714"/>
      <c r="L168" s="714"/>
      <c r="M168" s="741"/>
      <c r="N168" s="752">
        <v>0.06</v>
      </c>
      <c r="O168" s="752">
        <f t="shared" si="83"/>
        <v>0.06</v>
      </c>
      <c r="P168" s="752">
        <f t="shared" si="83"/>
        <v>0.06</v>
      </c>
    </row>
    <row r="169" spans="2:18" ht="16" customHeight="1">
      <c r="B169" s="38" t="s">
        <v>47</v>
      </c>
      <c r="E169" s="714"/>
      <c r="F169" s="718">
        <v>10</v>
      </c>
      <c r="G169" s="718">
        <v>10</v>
      </c>
      <c r="H169" s="718">
        <v>10</v>
      </c>
      <c r="J169" s="735" t="s">
        <v>167</v>
      </c>
      <c r="K169" s="727"/>
      <c r="L169" s="727"/>
      <c r="M169" s="727"/>
      <c r="N169" s="745">
        <v>30</v>
      </c>
      <c r="O169" s="745">
        <f t="shared" si="83"/>
        <v>30</v>
      </c>
      <c r="P169" s="745">
        <f t="shared" si="83"/>
        <v>30</v>
      </c>
    </row>
    <row r="170" spans="2:18" ht="16" customHeight="1">
      <c r="B170" s="38" t="s">
        <v>147</v>
      </c>
      <c r="E170" s="716"/>
      <c r="F170" s="717">
        <f>+F169*F168</f>
        <v>0</v>
      </c>
      <c r="G170" s="717">
        <f t="shared" ref="G170:H170" si="84">+G169*G168</f>
        <v>0</v>
      </c>
      <c r="H170" s="717">
        <f t="shared" si="84"/>
        <v>0</v>
      </c>
      <c r="J170" s="735" t="s">
        <v>161</v>
      </c>
      <c r="K170" s="714"/>
      <c r="L170" s="714"/>
      <c r="M170" s="729"/>
      <c r="N170" s="748">
        <v>0.01</v>
      </c>
      <c r="O170" s="748">
        <f t="shared" si="83"/>
        <v>0.01</v>
      </c>
      <c r="P170" s="748">
        <f t="shared" si="83"/>
        <v>0.01</v>
      </c>
    </row>
    <row r="171" spans="2:18" ht="16" customHeight="1">
      <c r="B171" s="40" t="s">
        <v>174</v>
      </c>
      <c r="C171" s="41"/>
      <c r="D171" s="41"/>
      <c r="E171" s="719">
        <f>+SUM(F171:H171)</f>
        <v>24905632.5</v>
      </c>
      <c r="F171" s="720">
        <f>+F162+F166+F170</f>
        <v>12206250</v>
      </c>
      <c r="G171" s="720">
        <f t="shared" ref="G171:H171" si="85">+G162+G166+G170</f>
        <v>12699382.5</v>
      </c>
      <c r="H171" s="720">
        <f t="shared" si="85"/>
        <v>0</v>
      </c>
      <c r="J171" s="735" t="s">
        <v>175</v>
      </c>
      <c r="K171" s="727"/>
      <c r="L171" s="727"/>
      <c r="M171" s="727"/>
      <c r="N171" s="730">
        <v>0.5</v>
      </c>
      <c r="O171" s="730">
        <f t="shared" si="83"/>
        <v>0.5</v>
      </c>
      <c r="P171" s="730">
        <f t="shared" si="83"/>
        <v>0.5</v>
      </c>
    </row>
    <row r="172" spans="2:18" ht="16" customHeight="1">
      <c r="B172" s="42" t="s">
        <v>60</v>
      </c>
      <c r="C172" s="43"/>
      <c r="D172" s="43"/>
      <c r="E172" s="721">
        <f>+SUM(F172:H172)</f>
        <v>562500</v>
      </c>
      <c r="F172" s="722">
        <f>+F160+F164+F168</f>
        <v>281250</v>
      </c>
      <c r="G172" s="722">
        <f t="shared" ref="G172:H172" si="86">+G160+G164+G168</f>
        <v>281250</v>
      </c>
      <c r="H172" s="722">
        <f t="shared" si="86"/>
        <v>0</v>
      </c>
      <c r="J172" s="740" t="s">
        <v>176</v>
      </c>
      <c r="K172" s="727"/>
      <c r="L172" s="727"/>
      <c r="M172" s="727"/>
      <c r="N172" s="727"/>
      <c r="O172" s="727"/>
      <c r="P172" s="727"/>
    </row>
    <row r="173" spans="2:18" ht="16" customHeight="1">
      <c r="B173" s="44" t="s">
        <v>64</v>
      </c>
      <c r="C173" s="45"/>
      <c r="D173" s="45"/>
      <c r="E173" s="731">
        <f>+IFERROR(E171/E172,"")</f>
        <v>44.276679999999999</v>
      </c>
      <c r="F173" s="732">
        <f>+IFERROR(F171/F172,"")</f>
        <v>43.4</v>
      </c>
      <c r="G173" s="732">
        <f t="shared" ref="G173:H173" si="87">+IFERROR(G171/G172,"")</f>
        <v>45.153359999999999</v>
      </c>
      <c r="H173" s="732" t="str">
        <f t="shared" si="87"/>
        <v/>
      </c>
      <c r="J173" s="735" t="s">
        <v>177</v>
      </c>
      <c r="K173" s="727"/>
      <c r="L173" s="727"/>
      <c r="M173" s="727"/>
      <c r="N173" s="733">
        <v>40000000</v>
      </c>
      <c r="O173" s="733">
        <v>0</v>
      </c>
      <c r="P173" s="733">
        <v>0</v>
      </c>
    </row>
    <row r="174" spans="2:18" ht="16" customHeight="1">
      <c r="E174" s="726"/>
      <c r="F174" s="727"/>
      <c r="G174" s="727"/>
      <c r="H174" s="727"/>
      <c r="J174" s="742" t="s">
        <v>178</v>
      </c>
      <c r="K174" s="727"/>
      <c r="L174" s="727"/>
      <c r="M174" s="727"/>
      <c r="N174" s="727"/>
      <c r="O174" s="727"/>
      <c r="P174" s="727"/>
    </row>
    <row r="175" spans="2:18" ht="16" customHeight="1">
      <c r="B175" s="938" t="s">
        <v>179</v>
      </c>
      <c r="C175" s="938"/>
      <c r="D175" s="31"/>
      <c r="E175" s="893" t="s">
        <v>17</v>
      </c>
      <c r="F175" s="893" t="str">
        <f>+F$21</f>
        <v>I</v>
      </c>
      <c r="G175" s="893" t="str">
        <f>+G$21</f>
        <v>II</v>
      </c>
      <c r="H175" s="893" t="str">
        <f>+H$21</f>
        <v>III</v>
      </c>
      <c r="J175" s="735" t="s">
        <v>180</v>
      </c>
      <c r="K175" s="727"/>
      <c r="L175" s="727"/>
      <c r="M175" s="727"/>
      <c r="N175" s="733">
        <v>186420</v>
      </c>
      <c r="O175" s="733">
        <f>N175*1.02</f>
        <v>190148.4</v>
      </c>
      <c r="P175" s="733">
        <f>O175*1.02</f>
        <v>193951.36799999999</v>
      </c>
    </row>
    <row r="176" spans="2:18" ht="16" customHeight="1">
      <c r="B176" s="32" t="s">
        <v>181</v>
      </c>
      <c r="C176" s="31"/>
      <c r="D176" s="31"/>
      <c r="E176" s="712"/>
      <c r="F176" s="713"/>
      <c r="G176" s="713"/>
      <c r="H176" s="713"/>
      <c r="J176" s="735" t="s">
        <v>182</v>
      </c>
      <c r="K176" s="727"/>
      <c r="L176" s="727"/>
      <c r="M176" s="727"/>
      <c r="N176" s="733">
        <f>+N175*F56</f>
        <v>6828130.8351867292</v>
      </c>
      <c r="O176" s="733">
        <f>+O175*G56</f>
        <v>52918863.89951092</v>
      </c>
      <c r="P176" s="733">
        <f>+P175*H56</f>
        <v>78881841.568292797</v>
      </c>
    </row>
    <row r="177" spans="1:18" ht="16" customHeight="1">
      <c r="B177" s="38" t="s">
        <v>183</v>
      </c>
      <c r="C177" s="31"/>
      <c r="D177" s="31"/>
      <c r="E177" s="712"/>
      <c r="F177" s="713">
        <f>+'Parcel Breakdown'!AO49</f>
        <v>1516.5360000000001</v>
      </c>
      <c r="G177" s="713">
        <f>+'Parcel Breakdown'!AO50</f>
        <v>421.71199999999999</v>
      </c>
      <c r="H177" s="713">
        <f>+'Parcel Breakdown'!AO51</f>
        <v>792.17600000000004</v>
      </c>
      <c r="J177" s="735" t="s">
        <v>184</v>
      </c>
      <c r="K177" s="727"/>
      <c r="L177" s="727"/>
      <c r="M177" s="727"/>
      <c r="N177" s="756">
        <v>0.85</v>
      </c>
      <c r="O177" s="756">
        <v>0.85</v>
      </c>
      <c r="P177" s="756">
        <v>0.85</v>
      </c>
    </row>
    <row r="178" spans="1:18" ht="16" customHeight="1">
      <c r="B178" s="38" t="s">
        <v>185</v>
      </c>
      <c r="C178" s="31"/>
      <c r="D178" s="31"/>
      <c r="E178" s="712"/>
      <c r="F178" s="713">
        <v>250</v>
      </c>
      <c r="G178" s="713">
        <f>+F178</f>
        <v>250</v>
      </c>
      <c r="H178" s="713">
        <f>+G178</f>
        <v>250</v>
      </c>
      <c r="J178" s="764" t="s">
        <v>186</v>
      </c>
      <c r="K178" s="727"/>
      <c r="L178" s="727"/>
      <c r="M178" s="727"/>
      <c r="N178" s="727"/>
      <c r="O178" s="727"/>
      <c r="P178" s="727"/>
    </row>
    <row r="179" spans="1:18" ht="16" customHeight="1">
      <c r="B179" s="38" t="s">
        <v>125</v>
      </c>
      <c r="C179" s="31"/>
      <c r="D179" s="31"/>
      <c r="E179" s="712"/>
      <c r="F179" s="713">
        <f>+F177*F178</f>
        <v>379134</v>
      </c>
      <c r="G179" s="713">
        <f t="shared" ref="G179:H179" si="88">+G177*G178</f>
        <v>105428</v>
      </c>
      <c r="H179" s="713">
        <f t="shared" si="88"/>
        <v>198044</v>
      </c>
      <c r="J179" s="746" t="s">
        <v>187</v>
      </c>
      <c r="K179" s="727"/>
      <c r="L179" s="727"/>
      <c r="M179" s="727"/>
      <c r="N179" s="748">
        <v>0.2</v>
      </c>
      <c r="O179" s="748">
        <v>0.2</v>
      </c>
      <c r="P179" s="748">
        <v>0.2</v>
      </c>
    </row>
    <row r="180" spans="1:18" ht="16" customHeight="1">
      <c r="B180" s="38"/>
      <c r="C180" s="31"/>
      <c r="D180" s="31"/>
      <c r="E180" s="712"/>
      <c r="F180" s="718"/>
      <c r="G180" s="718"/>
      <c r="H180" s="718"/>
      <c r="J180" s="735" t="s">
        <v>188</v>
      </c>
      <c r="K180" s="727"/>
      <c r="L180" s="727"/>
      <c r="M180" s="727"/>
      <c r="N180" s="733">
        <v>0</v>
      </c>
      <c r="O180" s="733">
        <v>0</v>
      </c>
      <c r="P180" s="733">
        <v>0</v>
      </c>
    </row>
    <row r="181" spans="1:18" ht="16" customHeight="1">
      <c r="A181" s="232"/>
      <c r="B181" s="38" t="s">
        <v>189</v>
      </c>
      <c r="C181" s="31"/>
      <c r="D181" s="31"/>
      <c r="E181" s="714"/>
      <c r="F181" s="718">
        <v>210</v>
      </c>
      <c r="G181" s="718">
        <f>+F181*(1+0.02)^2</f>
        <v>218.48400000000001</v>
      </c>
      <c r="H181" s="718">
        <f>+F181*(1+0.02)^4</f>
        <v>227.3107536</v>
      </c>
      <c r="J181" s="735" t="s">
        <v>190</v>
      </c>
      <c r="K181" s="727"/>
      <c r="L181" s="727"/>
      <c r="M181" s="727"/>
      <c r="N181" s="733">
        <v>0</v>
      </c>
      <c r="O181" s="733">
        <f>+O180*O179</f>
        <v>0</v>
      </c>
      <c r="P181" s="733">
        <f>+P180*P179</f>
        <v>0</v>
      </c>
    </row>
    <row r="182" spans="1:18" ht="16" customHeight="1">
      <c r="A182" s="232"/>
      <c r="B182" s="38" t="s">
        <v>147</v>
      </c>
      <c r="C182" s="31"/>
      <c r="D182" s="31"/>
      <c r="E182" s="716"/>
      <c r="F182" s="717">
        <f>+F181*F177*12</f>
        <v>3821670.7199999997</v>
      </c>
      <c r="G182" s="717">
        <f>+G181*G177*12</f>
        <v>1105647.8952959999</v>
      </c>
      <c r="H182" s="717">
        <f>+H181*H177*12</f>
        <v>2160841.4825260034</v>
      </c>
      <c r="J182" s="735" t="s">
        <v>184</v>
      </c>
      <c r="K182" s="727"/>
      <c r="L182" s="727"/>
      <c r="M182" s="727"/>
      <c r="N182" s="756">
        <v>0.85</v>
      </c>
      <c r="O182" s="756">
        <v>0.85</v>
      </c>
      <c r="P182" s="756">
        <v>0.85</v>
      </c>
      <c r="R182" s="232"/>
    </row>
    <row r="183" spans="1:18" ht="16" customHeight="1">
      <c r="B183" s="32" t="s">
        <v>191</v>
      </c>
      <c r="C183" s="31"/>
      <c r="D183" s="31"/>
      <c r="E183" s="712"/>
      <c r="F183" s="713"/>
      <c r="G183" s="713"/>
      <c r="H183" s="713"/>
      <c r="J183" s="764" t="s">
        <v>192</v>
      </c>
      <c r="K183" s="727"/>
      <c r="L183" s="727"/>
      <c r="M183" s="727"/>
      <c r="N183" s="727"/>
      <c r="O183" s="727"/>
      <c r="P183" s="727"/>
    </row>
    <row r="184" spans="1:18" ht="16" customHeight="1">
      <c r="B184" s="38" t="s">
        <v>183</v>
      </c>
      <c r="C184" s="31"/>
      <c r="D184" s="31"/>
      <c r="E184" s="712"/>
      <c r="F184" s="713">
        <v>0</v>
      </c>
      <c r="G184" s="713">
        <v>0</v>
      </c>
      <c r="H184" s="713">
        <v>0</v>
      </c>
      <c r="J184" s="735" t="s">
        <v>193</v>
      </c>
      <c r="K184" s="727"/>
      <c r="L184" s="727"/>
      <c r="M184" s="727"/>
      <c r="N184" s="733">
        <v>15000000</v>
      </c>
      <c r="O184" s="733">
        <v>1E-4</v>
      </c>
      <c r="P184" s="733">
        <v>15000000</v>
      </c>
    </row>
    <row r="185" spans="1:18" ht="16" customHeight="1">
      <c r="B185" s="38" t="s">
        <v>185</v>
      </c>
      <c r="C185" s="31"/>
      <c r="D185" s="31"/>
      <c r="E185" s="712"/>
      <c r="F185" s="713">
        <f>+F$178</f>
        <v>250</v>
      </c>
      <c r="G185" s="713">
        <f t="shared" ref="G185:H185" si="89">+G$178</f>
        <v>250</v>
      </c>
      <c r="H185" s="713">
        <f t="shared" si="89"/>
        <v>250</v>
      </c>
      <c r="J185" s="735" t="s">
        <v>190</v>
      </c>
      <c r="K185" s="727"/>
      <c r="L185" s="727"/>
      <c r="M185" s="727"/>
      <c r="N185" s="733">
        <f>+N184*0.39</f>
        <v>5850000</v>
      </c>
      <c r="O185" s="733">
        <f>+O184*0.39</f>
        <v>3.9000000000000006E-5</v>
      </c>
      <c r="P185" s="733">
        <f>+P184*0.39</f>
        <v>5850000</v>
      </c>
    </row>
    <row r="186" spans="1:18" ht="16" customHeight="1">
      <c r="B186" s="38" t="s">
        <v>125</v>
      </c>
      <c r="C186" s="31"/>
      <c r="D186" s="31"/>
      <c r="E186" s="712"/>
      <c r="F186" s="713">
        <f>+F184*F185</f>
        <v>0</v>
      </c>
      <c r="G186" s="713">
        <f t="shared" ref="G186" si="90">+G184*G185</f>
        <v>0</v>
      </c>
      <c r="H186" s="713">
        <f t="shared" ref="H186" si="91">+H184*H185</f>
        <v>0</v>
      </c>
      <c r="J186" s="735" t="s">
        <v>194</v>
      </c>
      <c r="K186" s="727"/>
      <c r="L186" s="727"/>
      <c r="M186" s="727"/>
      <c r="N186" s="756">
        <v>0.9</v>
      </c>
      <c r="O186" s="756">
        <v>0.9</v>
      </c>
      <c r="P186" s="756">
        <v>0.9</v>
      </c>
    </row>
    <row r="187" spans="1:18" ht="16" customHeight="1">
      <c r="B187" s="38"/>
      <c r="C187" s="31"/>
      <c r="D187" s="31"/>
      <c r="E187" s="712"/>
      <c r="F187" s="730"/>
      <c r="G187" s="730"/>
      <c r="H187" s="730"/>
      <c r="J187" s="764" t="s">
        <v>195</v>
      </c>
      <c r="K187" s="727"/>
      <c r="L187" s="727"/>
      <c r="M187" s="727"/>
      <c r="N187" s="727"/>
      <c r="O187" s="727"/>
      <c r="P187" s="727"/>
    </row>
    <row r="188" spans="1:18" ht="16" customHeight="1">
      <c r="B188" s="38" t="s">
        <v>189</v>
      </c>
      <c r="C188" s="31"/>
      <c r="D188" s="31"/>
      <c r="E188" s="714"/>
      <c r="F188" s="718">
        <v>0</v>
      </c>
      <c r="G188" s="718">
        <v>0</v>
      </c>
      <c r="H188" s="718">
        <v>0</v>
      </c>
      <c r="J188" s="735" t="s">
        <v>193</v>
      </c>
      <c r="K188" s="727"/>
      <c r="L188" s="727"/>
      <c r="M188" s="727"/>
      <c r="N188" s="733">
        <v>1000000</v>
      </c>
      <c r="O188" s="733">
        <v>1E-4</v>
      </c>
      <c r="P188" s="733">
        <v>1000000</v>
      </c>
    </row>
    <row r="189" spans="1:18" ht="16" customHeight="1">
      <c r="B189" s="38" t="s">
        <v>147</v>
      </c>
      <c r="C189" s="31"/>
      <c r="D189" s="31"/>
      <c r="E189" s="716"/>
      <c r="F189" s="717">
        <f>+F188*F184*12</f>
        <v>0</v>
      </c>
      <c r="G189" s="717">
        <f>+G188*G184*12</f>
        <v>0</v>
      </c>
      <c r="H189" s="717">
        <f>+H188*H184*12</f>
        <v>0</v>
      </c>
      <c r="J189" s="735" t="s">
        <v>190</v>
      </c>
      <c r="K189" s="727"/>
      <c r="L189" s="727"/>
      <c r="M189" s="727"/>
      <c r="N189" s="733">
        <f>+N188*0.39</f>
        <v>390000</v>
      </c>
      <c r="O189" s="733">
        <f>+O188*0.39</f>
        <v>3.9000000000000006E-5</v>
      </c>
      <c r="P189" s="733">
        <f>+P188*0.39</f>
        <v>390000</v>
      </c>
    </row>
    <row r="190" spans="1:18" ht="16" customHeight="1">
      <c r="B190" s="32" t="s">
        <v>196</v>
      </c>
      <c r="C190" s="31"/>
      <c r="D190" s="31"/>
      <c r="E190" s="712"/>
      <c r="F190" s="713"/>
      <c r="G190" s="713"/>
      <c r="H190" s="713"/>
      <c r="J190" s="735" t="s">
        <v>194</v>
      </c>
      <c r="K190" s="727"/>
      <c r="L190" s="727"/>
      <c r="M190" s="727"/>
      <c r="N190" s="756">
        <v>0.7</v>
      </c>
      <c r="O190" s="756">
        <v>0.7</v>
      </c>
      <c r="P190" s="756">
        <v>0.7</v>
      </c>
    </row>
    <row r="191" spans="1:18" ht="16" customHeight="1">
      <c r="B191" s="38" t="s">
        <v>183</v>
      </c>
      <c r="C191" s="31"/>
      <c r="D191" s="31"/>
      <c r="E191" s="712"/>
      <c r="F191" s="713">
        <v>1427</v>
      </c>
      <c r="G191" s="713">
        <v>0</v>
      </c>
      <c r="H191" s="713">
        <f>+'Parcel Breakdown'!AQ51</f>
        <v>0</v>
      </c>
      <c r="J191" s="740" t="s">
        <v>197</v>
      </c>
      <c r="K191" s="727"/>
      <c r="L191" s="727"/>
      <c r="M191" s="727"/>
      <c r="N191" s="727"/>
      <c r="O191" s="727"/>
      <c r="P191" s="727"/>
    </row>
    <row r="192" spans="1:18" ht="16" customHeight="1">
      <c r="B192" s="38" t="s">
        <v>185</v>
      </c>
      <c r="C192" s="31"/>
      <c r="D192" s="31"/>
      <c r="E192" s="712"/>
      <c r="F192" s="713">
        <f t="shared" ref="F192:H192" si="92">+F$178</f>
        <v>250</v>
      </c>
      <c r="G192" s="713">
        <f t="shared" si="92"/>
        <v>250</v>
      </c>
      <c r="H192" s="713">
        <f t="shared" si="92"/>
        <v>250</v>
      </c>
      <c r="J192" s="735" t="s">
        <v>198</v>
      </c>
      <c r="K192" s="714"/>
      <c r="L192" s="714"/>
      <c r="M192" s="729">
        <v>0.21</v>
      </c>
      <c r="N192" s="730">
        <f>+M192</f>
        <v>0.21</v>
      </c>
      <c r="O192" s="730">
        <f t="shared" ref="O192:P194" si="93">+N192</f>
        <v>0.21</v>
      </c>
      <c r="P192" s="730">
        <f t="shared" si="93"/>
        <v>0.21</v>
      </c>
    </row>
    <row r="193" spans="2:16" ht="16" customHeight="1">
      <c r="B193" s="38" t="s">
        <v>125</v>
      </c>
      <c r="C193" s="31"/>
      <c r="D193" s="31"/>
      <c r="E193" s="712"/>
      <c r="F193" s="713">
        <f>+F191*F192</f>
        <v>356750</v>
      </c>
      <c r="G193" s="713">
        <f t="shared" ref="G193" si="94">+G191*G192</f>
        <v>0</v>
      </c>
      <c r="H193" s="713">
        <f t="shared" ref="H193" si="95">+H191*H192</f>
        <v>0</v>
      </c>
      <c r="J193" s="735" t="s">
        <v>199</v>
      </c>
      <c r="K193" s="727"/>
      <c r="L193" s="727"/>
      <c r="M193" s="757">
        <v>27.5</v>
      </c>
      <c r="N193" s="758">
        <f>+M193</f>
        <v>27.5</v>
      </c>
      <c r="O193" s="758">
        <f t="shared" si="93"/>
        <v>27.5</v>
      </c>
      <c r="P193" s="758">
        <f t="shared" si="93"/>
        <v>27.5</v>
      </c>
    </row>
    <row r="194" spans="2:16" ht="16" customHeight="1">
      <c r="B194" s="38" t="s">
        <v>189</v>
      </c>
      <c r="C194" s="31"/>
      <c r="D194" s="31"/>
      <c r="E194" s="714"/>
      <c r="F194" s="718">
        <v>150</v>
      </c>
      <c r="G194" s="718">
        <f>+F194*(1+0.02)^2</f>
        <v>156.06</v>
      </c>
      <c r="H194" s="718">
        <f>+F194*(1+0.02)^4</f>
        <v>162.364824</v>
      </c>
      <c r="J194" s="735" t="s">
        <v>200</v>
      </c>
      <c r="K194" s="727"/>
      <c r="L194" s="727"/>
      <c r="M194" s="729">
        <v>0.8</v>
      </c>
      <c r="N194" s="730">
        <f>+M194</f>
        <v>0.8</v>
      </c>
      <c r="O194" s="730">
        <f t="shared" si="93"/>
        <v>0.8</v>
      </c>
      <c r="P194" s="730">
        <f t="shared" si="93"/>
        <v>0.8</v>
      </c>
    </row>
    <row r="195" spans="2:16" ht="16" customHeight="1">
      <c r="B195" s="38" t="s">
        <v>147</v>
      </c>
      <c r="C195" s="31"/>
      <c r="D195" s="31"/>
      <c r="E195" s="716"/>
      <c r="F195" s="717">
        <f>+F194*F191*12</f>
        <v>2568600</v>
      </c>
      <c r="G195" s="717">
        <f>+G194*G191*12</f>
        <v>0</v>
      </c>
      <c r="H195" s="717">
        <f>+H194*H191*12</f>
        <v>0</v>
      </c>
      <c r="J195" s="727"/>
      <c r="K195" s="727"/>
      <c r="L195" s="727"/>
      <c r="M195" s="727"/>
      <c r="N195" s="727"/>
      <c r="O195" s="727"/>
      <c r="P195" s="727"/>
    </row>
    <row r="196" spans="2:16" ht="16" customHeight="1">
      <c r="B196" s="32" t="s">
        <v>201</v>
      </c>
      <c r="C196" s="31"/>
      <c r="D196" s="31"/>
      <c r="E196" s="712"/>
      <c r="F196" s="713"/>
      <c r="G196" s="713"/>
      <c r="H196" s="713"/>
      <c r="J196" s="727"/>
      <c r="K196" s="727"/>
      <c r="L196" s="727"/>
      <c r="M196" s="727"/>
      <c r="N196" s="727"/>
      <c r="O196" s="727"/>
      <c r="P196" s="727"/>
    </row>
    <row r="197" spans="2:16" ht="16" customHeight="1">
      <c r="B197" s="38" t="s">
        <v>183</v>
      </c>
      <c r="C197" s="31"/>
      <c r="D197" s="31"/>
      <c r="E197" s="712"/>
      <c r="F197" s="713">
        <v>0</v>
      </c>
      <c r="G197" s="713">
        <v>0</v>
      </c>
      <c r="H197" s="713">
        <v>0</v>
      </c>
      <c r="J197" s="727"/>
      <c r="K197" s="727"/>
      <c r="L197" s="727"/>
      <c r="M197" s="727"/>
      <c r="N197" s="759"/>
      <c r="O197" s="727"/>
      <c r="P197" s="727"/>
    </row>
    <row r="198" spans="2:16" ht="16" customHeight="1">
      <c r="B198" s="38" t="s">
        <v>185</v>
      </c>
      <c r="C198" s="31"/>
      <c r="D198" s="31"/>
      <c r="E198" s="712"/>
      <c r="F198" s="713">
        <f t="shared" ref="F198:H198" si="96">+F$178</f>
        <v>250</v>
      </c>
      <c r="G198" s="713">
        <f t="shared" si="96"/>
        <v>250</v>
      </c>
      <c r="H198" s="713">
        <f t="shared" si="96"/>
        <v>250</v>
      </c>
      <c r="J198" s="727"/>
      <c r="K198" s="727"/>
      <c r="L198" s="727"/>
      <c r="M198" s="727"/>
      <c r="N198" s="759"/>
      <c r="O198" s="727"/>
      <c r="P198" s="727"/>
    </row>
    <row r="199" spans="2:16" ht="16" customHeight="1">
      <c r="B199" s="38" t="s">
        <v>125</v>
      </c>
      <c r="C199" s="31"/>
      <c r="D199" s="31"/>
      <c r="E199" s="712"/>
      <c r="F199" s="713">
        <f>+F197*F198</f>
        <v>0</v>
      </c>
      <c r="G199" s="713">
        <f t="shared" ref="G199" si="97">+G197*G198</f>
        <v>0</v>
      </c>
      <c r="H199" s="713">
        <f t="shared" ref="H199" si="98">+H197*H198</f>
        <v>0</v>
      </c>
      <c r="J199" s="727"/>
      <c r="K199" s="727"/>
      <c r="L199" s="727"/>
      <c r="M199" s="727"/>
      <c r="N199" s="759"/>
      <c r="O199" s="727"/>
      <c r="P199" s="727"/>
    </row>
    <row r="200" spans="2:16" ht="16" customHeight="1">
      <c r="B200" s="38"/>
      <c r="C200" s="31"/>
      <c r="D200" s="31"/>
      <c r="E200" s="712"/>
      <c r="F200" s="730"/>
      <c r="G200" s="730"/>
      <c r="H200" s="730"/>
      <c r="N200" s="4"/>
      <c r="P200" s="4"/>
    </row>
    <row r="201" spans="2:16" ht="16" customHeight="1">
      <c r="B201" s="38" t="s">
        <v>189</v>
      </c>
      <c r="C201" s="31"/>
      <c r="D201" s="31"/>
      <c r="E201" s="714"/>
      <c r="F201" s="718">
        <v>0</v>
      </c>
      <c r="G201" s="718">
        <v>0</v>
      </c>
      <c r="H201" s="718">
        <v>0</v>
      </c>
    </row>
    <row r="202" spans="2:16" ht="16" customHeight="1">
      <c r="B202" s="38" t="s">
        <v>147</v>
      </c>
      <c r="C202" s="31"/>
      <c r="D202" s="31"/>
      <c r="E202" s="716"/>
      <c r="F202" s="717">
        <f>+F201*F197*12</f>
        <v>0</v>
      </c>
      <c r="G202" s="717">
        <f>+G201*G197*12</f>
        <v>0</v>
      </c>
      <c r="H202" s="717">
        <f>+H201*H197*12</f>
        <v>0</v>
      </c>
      <c r="N202" s="107"/>
    </row>
    <row r="203" spans="2:16" ht="16" customHeight="1">
      <c r="B203" s="40" t="s">
        <v>202</v>
      </c>
      <c r="C203" s="41"/>
      <c r="D203" s="41"/>
      <c r="E203" s="719">
        <f>+SUM(F203:H203)</f>
        <v>9656760.0978220031</v>
      </c>
      <c r="F203" s="720">
        <f>+F182+F189+F195+F202</f>
        <v>6390270.7199999997</v>
      </c>
      <c r="G203" s="720">
        <f>+G182+G189+G195+G202</f>
        <v>1105647.8952959999</v>
      </c>
      <c r="H203" s="720">
        <f>+H182+H189+H195+H202</f>
        <v>2160841.4825260034</v>
      </c>
      <c r="N203" s="96"/>
    </row>
    <row r="204" spans="2:16" ht="16" customHeight="1">
      <c r="B204" s="42" t="s">
        <v>203</v>
      </c>
      <c r="C204" s="43"/>
      <c r="D204" s="43"/>
      <c r="E204" s="721">
        <f>+SUM(F204:H204)</f>
        <v>682606</v>
      </c>
      <c r="F204" s="722">
        <f>+F179+F186</f>
        <v>379134</v>
      </c>
      <c r="G204" s="722">
        <f>+G179+G186</f>
        <v>105428</v>
      </c>
      <c r="H204" s="722">
        <f>+H179+H186</f>
        <v>198044</v>
      </c>
    </row>
    <row r="205" spans="2:16" ht="16" customHeight="1">
      <c r="B205" s="38" t="s">
        <v>204</v>
      </c>
      <c r="C205" s="30"/>
      <c r="E205" s="712">
        <f>+SUM(F205:H205)</f>
        <v>356750</v>
      </c>
      <c r="F205" s="713">
        <f>+F193+F199</f>
        <v>356750</v>
      </c>
      <c r="G205" s="713">
        <f>+G193+G199</f>
        <v>0</v>
      </c>
      <c r="H205" s="713">
        <f>+H193+H199</f>
        <v>0</v>
      </c>
    </row>
    <row r="206" spans="2:16" ht="16" customHeight="1">
      <c r="B206" s="44" t="s">
        <v>64</v>
      </c>
      <c r="C206" s="45"/>
      <c r="D206" s="45"/>
      <c r="E206" s="731">
        <f>+IFERROR(E203/SUM(E204:E205),"")</f>
        <v>9.2910995826473339</v>
      </c>
      <c r="F206" s="732">
        <f t="shared" ref="F206:H206" si="99">+IFERROR(F203/SUM(F204:F205),"")</f>
        <v>8.6838016861353147</v>
      </c>
      <c r="G206" s="732">
        <f t="shared" si="99"/>
        <v>10.487231999999999</v>
      </c>
      <c r="H206" s="732">
        <f t="shared" si="99"/>
        <v>10.9109161728</v>
      </c>
    </row>
    <row r="207" spans="2:16" ht="16" customHeight="1">
      <c r="E207" s="726"/>
      <c r="F207" s="727"/>
      <c r="G207" s="727"/>
      <c r="H207" s="727"/>
    </row>
    <row r="208" spans="2:16" ht="16" customHeight="1">
      <c r="B208" s="938" t="s">
        <v>205</v>
      </c>
      <c r="C208" s="938"/>
      <c r="D208" s="31"/>
      <c r="E208" s="893" t="s">
        <v>17</v>
      </c>
      <c r="F208" s="893" t="str">
        <f>+F$21</f>
        <v>I</v>
      </c>
      <c r="G208" s="893" t="str">
        <f>+G$21</f>
        <v>II</v>
      </c>
      <c r="H208" s="893" t="str">
        <f>+H$21</f>
        <v>III</v>
      </c>
    </row>
    <row r="209" spans="2:8" ht="16" customHeight="1">
      <c r="B209" s="32" t="s">
        <v>206</v>
      </c>
      <c r="C209" s="31"/>
      <c r="D209" s="31"/>
      <c r="E209" s="712"/>
      <c r="F209" s="713"/>
      <c r="G209" s="713"/>
      <c r="H209" s="713"/>
    </row>
    <row r="210" spans="2:8" ht="16" customHeight="1">
      <c r="B210" s="38" t="s">
        <v>125</v>
      </c>
      <c r="C210" s="31"/>
      <c r="D210" s="31"/>
      <c r="E210" s="712"/>
      <c r="F210" s="713">
        <v>37874</v>
      </c>
      <c r="G210" s="713">
        <v>9.9999999999999995E-7</v>
      </c>
      <c r="H210" s="713">
        <f>+'Parcel Breakdown'!AU26</f>
        <v>0</v>
      </c>
    </row>
    <row r="211" spans="2:8" ht="16" customHeight="1">
      <c r="B211" s="38" t="s">
        <v>47</v>
      </c>
      <c r="C211" s="31"/>
      <c r="D211" s="31"/>
      <c r="E211" s="714"/>
      <c r="F211" s="718">
        <v>8</v>
      </c>
      <c r="G211" s="718">
        <v>8.25</v>
      </c>
      <c r="H211" s="718">
        <v>8.5</v>
      </c>
    </row>
    <row r="212" spans="2:8" ht="16" customHeight="1">
      <c r="B212" s="38" t="s">
        <v>147</v>
      </c>
      <c r="C212" s="31"/>
      <c r="D212" s="31"/>
      <c r="E212" s="716"/>
      <c r="F212" s="717">
        <f>+F211*F210</f>
        <v>302992</v>
      </c>
      <c r="G212" s="717">
        <f t="shared" ref="G212:H212" si="100">+G211*G210</f>
        <v>8.2499999999999989E-6</v>
      </c>
      <c r="H212" s="717">
        <f t="shared" si="100"/>
        <v>0</v>
      </c>
    </row>
    <row r="213" spans="2:8" ht="16" customHeight="1">
      <c r="B213" s="32" t="s">
        <v>149</v>
      </c>
      <c r="E213" s="712"/>
      <c r="F213" s="713"/>
      <c r="G213" s="713"/>
      <c r="H213" s="713"/>
    </row>
    <row r="214" spans="2:8" ht="16" customHeight="1">
      <c r="B214" s="38" t="s">
        <v>125</v>
      </c>
      <c r="E214" s="712"/>
      <c r="F214" s="713">
        <v>0</v>
      </c>
      <c r="G214" s="713">
        <v>0</v>
      </c>
      <c r="H214" s="713">
        <v>0</v>
      </c>
    </row>
    <row r="215" spans="2:8" ht="16" customHeight="1">
      <c r="B215" s="38" t="s">
        <v>47</v>
      </c>
      <c r="E215" s="714"/>
      <c r="F215" s="718">
        <v>8</v>
      </c>
      <c r="G215" s="718">
        <v>12</v>
      </c>
      <c r="H215" s="718">
        <v>12</v>
      </c>
    </row>
    <row r="216" spans="2:8" ht="16" customHeight="1">
      <c r="B216" s="38" t="s">
        <v>147</v>
      </c>
      <c r="E216" s="716"/>
      <c r="F216" s="717">
        <f>+F215*F214</f>
        <v>0</v>
      </c>
      <c r="G216" s="717">
        <f t="shared" ref="G216:H216" si="101">+G215*G214</f>
        <v>0</v>
      </c>
      <c r="H216" s="717">
        <f t="shared" si="101"/>
        <v>0</v>
      </c>
    </row>
    <row r="217" spans="2:8" ht="16" customHeight="1">
      <c r="B217" s="40" t="s">
        <v>207</v>
      </c>
      <c r="C217" s="41"/>
      <c r="D217" s="41"/>
      <c r="E217" s="719">
        <f>+SUM(F217:H217)</f>
        <v>302992.00000825</v>
      </c>
      <c r="F217" s="720">
        <f>+F212+F216</f>
        <v>302992</v>
      </c>
      <c r="G217" s="720">
        <f t="shared" ref="G217:H217" si="102">+G212+G216</f>
        <v>8.2499999999999989E-6</v>
      </c>
      <c r="H217" s="720">
        <f t="shared" si="102"/>
        <v>0</v>
      </c>
    </row>
    <row r="218" spans="2:8" ht="16" customHeight="1">
      <c r="B218" s="42" t="s">
        <v>60</v>
      </c>
      <c r="C218" s="43"/>
      <c r="D218" s="43"/>
      <c r="E218" s="721">
        <f>+SUM(F218:H218)</f>
        <v>37874.000001</v>
      </c>
      <c r="F218" s="722">
        <f>+F210+F214</f>
        <v>37874</v>
      </c>
      <c r="G218" s="722">
        <f t="shared" ref="G218:H218" si="103">+G210+G214</f>
        <v>9.9999999999999995E-7</v>
      </c>
      <c r="H218" s="722">
        <f t="shared" si="103"/>
        <v>0</v>
      </c>
    </row>
    <row r="219" spans="2:8" ht="16" customHeight="1">
      <c r="B219" s="44" t="s">
        <v>64</v>
      </c>
      <c r="C219" s="45"/>
      <c r="D219" s="45"/>
      <c r="E219" s="731">
        <f>+IFERROR(E217/E218,"")</f>
        <v>8.0000000000066009</v>
      </c>
      <c r="F219" s="732">
        <f>+IFERROR(F217/F218,"")</f>
        <v>8</v>
      </c>
      <c r="G219" s="732">
        <f t="shared" ref="G219:H219" si="104">+IFERROR(G217/G218,"")</f>
        <v>8.25</v>
      </c>
      <c r="H219" s="732" t="str">
        <f t="shared" si="104"/>
        <v/>
      </c>
    </row>
    <row r="220" spans="2:8" ht="16" customHeight="1">
      <c r="E220" s="726"/>
      <c r="F220" s="727"/>
      <c r="G220" s="727"/>
      <c r="H220" s="727"/>
    </row>
  </sheetData>
  <mergeCells count="15">
    <mergeCell ref="B60:C60"/>
    <mergeCell ref="J20:K20"/>
    <mergeCell ref="B208:C208"/>
    <mergeCell ref="B92:C92"/>
    <mergeCell ref="J138:K138"/>
    <mergeCell ref="B123:C123"/>
    <mergeCell ref="B140:C140"/>
    <mergeCell ref="B158:C158"/>
    <mergeCell ref="B175:C175"/>
    <mergeCell ref="J126:K126"/>
    <mergeCell ref="R21:S21"/>
    <mergeCell ref="F20:H20"/>
    <mergeCell ref="B21:C21"/>
    <mergeCell ref="B33:C33"/>
    <mergeCell ref="J52:K52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T178"/>
  <sheetViews>
    <sheetView showGridLines="0" topLeftCell="B1" zoomScale="90" zoomScaleNormal="90" workbookViewId="0">
      <selection activeCell="H172" sqref="H172"/>
    </sheetView>
  </sheetViews>
  <sheetFormatPr defaultColWidth="14.453125" defaultRowHeight="16" customHeight="1"/>
  <cols>
    <col min="1" max="1" width="8.453125" customWidth="1"/>
    <col min="5" max="5" width="18.1796875" bestFit="1" customWidth="1"/>
    <col min="6" max="6" width="23.81640625" customWidth="1"/>
    <col min="7" max="7" width="25.7265625" bestFit="1" customWidth="1"/>
    <col min="8" max="8" width="16.7265625" customWidth="1"/>
    <col min="11" max="14" width="14.453125" customWidth="1"/>
    <col min="18" max="18" width="27.7265625" customWidth="1"/>
  </cols>
  <sheetData>
    <row r="1" spans="2:19" ht="12.5"/>
    <row r="2" spans="2:19" ht="12.5">
      <c r="I2" s="97"/>
      <c r="J2" s="97"/>
    </row>
    <row r="3" spans="2:19" ht="15.5">
      <c r="B3" s="440" t="s">
        <v>10</v>
      </c>
      <c r="C3" s="441"/>
      <c r="D3" s="441"/>
      <c r="E3" s="440" t="s">
        <v>210</v>
      </c>
      <c r="F3" s="442" t="str">
        <f ca="1">+F$3</f>
        <v>I</v>
      </c>
      <c r="G3" s="442" t="str">
        <f ca="1">+G$3</f>
        <v>II</v>
      </c>
      <c r="H3" s="442" t="str">
        <f ca="1">+H$3</f>
        <v>III</v>
      </c>
      <c r="I3" s="955" t="str">
        <f ca="1">+I$3</f>
        <v>I</v>
      </c>
      <c r="J3" s="955"/>
      <c r="K3" s="955" t="s">
        <v>20</v>
      </c>
      <c r="L3" s="955"/>
      <c r="M3" s="955" t="s">
        <v>21</v>
      </c>
      <c r="N3" s="955"/>
    </row>
    <row r="4" spans="2:19" ht="15.5">
      <c r="B4" s="86" t="s">
        <v>216</v>
      </c>
      <c r="C4" s="83"/>
      <c r="D4" s="84"/>
      <c r="E4" s="85"/>
      <c r="F4" s="87" t="str">
        <f ca="1">+F$3</f>
        <v>I</v>
      </c>
      <c r="G4" s="87" t="str">
        <f ca="1">+G$3</f>
        <v>II</v>
      </c>
      <c r="H4" s="87" t="str">
        <f ca="1">+H$3</f>
        <v>III</v>
      </c>
      <c r="I4" s="442" t="s">
        <v>541</v>
      </c>
      <c r="J4" s="442" t="s">
        <v>542</v>
      </c>
      <c r="K4" s="442" t="s">
        <v>541</v>
      </c>
      <c r="L4" s="442" t="s">
        <v>542</v>
      </c>
      <c r="M4" s="442" t="s">
        <v>541</v>
      </c>
      <c r="N4" s="442" t="s">
        <v>542</v>
      </c>
    </row>
    <row r="5" spans="2:19" ht="15.5">
      <c r="B5" s="15" t="s">
        <v>543</v>
      </c>
      <c r="C5" s="15"/>
      <c r="D5" s="20"/>
      <c r="E5" s="26">
        <f t="shared" ref="E5:E10" si="0">+SUM(F5:H5)</f>
        <v>82705760.5424591</v>
      </c>
      <c r="F5" s="16">
        <f>+INDEX('Phase I Pro Forma'!$F$28:$Z$28,1,MATCH(1,'Phase I Pro Forma'!$F$3:$Z$3,0))</f>
        <v>3954800.7202643594</v>
      </c>
      <c r="G5" s="16">
        <f>+INDEX('Phase II Pro Forma'!$F$27:$Z$27,1,MATCH(1,'Phase II Pro Forma'!$F$2:$Z$2,0))</f>
        <v>31251704.170787815</v>
      </c>
      <c r="H5" s="16">
        <f>+INDEX('Phase III Pro Forma'!$F$28:$Z$28,1,MATCH(1,'Phase III Pro Forma'!$F$3:$Z$3,0))</f>
        <v>47499255.651406936</v>
      </c>
      <c r="I5" s="21"/>
      <c r="J5" s="53">
        <f t="shared" ref="J5:J10" ca="1" si="1">+F5/$F$63</f>
        <v>9.6515527377150131E-3</v>
      </c>
      <c r="K5" s="21"/>
      <c r="L5" s="53">
        <f t="shared" ref="L5:L10" ca="1" si="2">+G5/$G$63</f>
        <v>6.3517482590100274E-2</v>
      </c>
      <c r="M5" s="21"/>
      <c r="N5" s="53">
        <f t="shared" ref="N5:N10" si="3">H5/$H$63</f>
        <v>0.12708370585983492</v>
      </c>
      <c r="O5" s="16"/>
      <c r="R5" s="21"/>
      <c r="S5" s="53"/>
    </row>
    <row r="6" spans="2:19" ht="15.5">
      <c r="B6" s="15" t="s">
        <v>544</v>
      </c>
      <c r="C6" s="15"/>
      <c r="D6" s="20"/>
      <c r="E6" s="26">
        <f t="shared" si="0"/>
        <v>386082142.41322112</v>
      </c>
      <c r="F6" s="16">
        <f>+INDEX('Phase I Pro Forma'!$F$51:$Z$51,1,MATCH(1,'Phase I Pro Forma'!$F$3:$Z$3,0))</f>
        <v>-5606767.7778386297</v>
      </c>
      <c r="G6" s="16">
        <f>+INDEX('Phase II Pro Forma'!$F$50:$Z$50,1,MATCH(1,'Phase II Pro Forma'!$F$2:$Z$2,0))</f>
        <v>152968267.50364634</v>
      </c>
      <c r="H6" s="16">
        <f>+INDEX('Phase III Pro Forma'!$F$51:$Z$51,1,MATCH(1,'Phase III Pro Forma'!$F$3:$Z$3,0))</f>
        <v>238720642.68741339</v>
      </c>
      <c r="I6" s="21"/>
      <c r="J6" s="53">
        <f t="shared" ca="1" si="1"/>
        <v>-1.3683120522015453E-2</v>
      </c>
      <c r="K6" s="21"/>
      <c r="L6" s="53">
        <f t="shared" ca="1" si="2"/>
        <v>0.31090014211393729</v>
      </c>
      <c r="M6" s="21"/>
      <c r="N6" s="53">
        <f t="shared" si="3"/>
        <v>0.63869430208764533</v>
      </c>
      <c r="O6" s="16"/>
      <c r="R6" s="21"/>
      <c r="S6" s="53"/>
    </row>
    <row r="7" spans="2:19" ht="15.5">
      <c r="B7" s="15" t="s">
        <v>545</v>
      </c>
      <c r="C7" s="15"/>
      <c r="D7" s="20"/>
      <c r="E7" s="26">
        <f t="shared" si="0"/>
        <v>284689576.10790229</v>
      </c>
      <c r="F7" s="16">
        <f>+INDEX('Phase I Pro Forma'!$F$72:$Z$72,1,MATCH(1,'Phase I Pro Forma'!$F$3:$Z$3,0))</f>
        <v>101473498.42015259</v>
      </c>
      <c r="G7" s="16">
        <f>+INDEX('Phase II Pro Forma'!$F$71:$Z$71,1,MATCH(1,'Phase II Pro Forma'!$F$2:$Z$2,0))</f>
        <v>117029996.11392519</v>
      </c>
      <c r="H7" s="16">
        <f>+INDEX('Phase III Pro Forma'!$F$72:$Z$72,1,MATCH(1,'Phase III Pro Forma'!$F$3:$Z$3,0))</f>
        <v>66186081.573824495</v>
      </c>
      <c r="I7" s="21"/>
      <c r="J7" s="53">
        <f t="shared" ca="1" si="1"/>
        <v>0.24764252126895467</v>
      </c>
      <c r="K7" s="21"/>
      <c r="L7" s="53">
        <f t="shared" ca="1" si="2"/>
        <v>0.23785745251083243</v>
      </c>
      <c r="M7" s="21"/>
      <c r="N7" s="53">
        <f t="shared" si="3"/>
        <v>0.17708009120125678</v>
      </c>
      <c r="O7" s="16"/>
      <c r="R7" s="21"/>
      <c r="S7" s="53"/>
    </row>
    <row r="8" spans="2:19" ht="15.5">
      <c r="B8" s="15" t="s">
        <v>546</v>
      </c>
      <c r="C8" s="15"/>
      <c r="D8" s="20"/>
      <c r="E8" s="26">
        <v>0</v>
      </c>
      <c r="F8" s="16">
        <f>+INDEX('Phase I Pro Forma'!$F$93:$Z$93,1,MATCH(1,'Phase I Pro Forma'!$F$3:$Z$3,0))</f>
        <v>14.074074073384205</v>
      </c>
      <c r="G8" s="16">
        <f ca="1">+INDEX('Phase II Pro Forma'!$F$92:$Z$92,1,MATCH(1,'Phase II Pro Forma'!$F$2:$Z$2,0))</f>
        <v>0</v>
      </c>
      <c r="H8" s="16">
        <v>0</v>
      </c>
      <c r="I8" s="21"/>
      <c r="J8" s="53">
        <f t="shared" ca="1" si="1"/>
        <v>3.4347285176152993E-8</v>
      </c>
      <c r="K8" s="21"/>
      <c r="L8" s="53">
        <f t="shared" ca="1" si="2"/>
        <v>0</v>
      </c>
      <c r="M8" s="21"/>
      <c r="N8" s="53">
        <f t="shared" si="3"/>
        <v>0</v>
      </c>
      <c r="O8" s="16"/>
      <c r="R8" s="21"/>
      <c r="S8" s="53"/>
    </row>
    <row r="9" spans="2:19" ht="15.5">
      <c r="B9" s="15" t="s">
        <v>547</v>
      </c>
      <c r="C9" s="15"/>
      <c r="D9" s="20"/>
      <c r="E9" s="26">
        <f t="shared" si="0"/>
        <v>355500546.46037024</v>
      </c>
      <c r="F9" s="16">
        <f>+INDEX('Phase I Pro Forma'!$F$114:$Z$114,1,MATCH(1,'Phase I Pro Forma'!$F$3:$Z$3,0))</f>
        <v>174682201.53846154</v>
      </c>
      <c r="G9" s="16">
        <f>+INDEX('Phase II Pro Forma'!$F$113:$Z$113,1,MATCH(1,'Phase II Pro Forma'!$F$2:$Z$2,0))</f>
        <v>180818344.92190871</v>
      </c>
      <c r="H9" s="16">
        <f>+INDEX('Phase III Pro Forma'!$F$114:$Z$114,1,MATCH(1,'Phase III Pro Forma'!$F$3:$Z$3,0))</f>
        <v>0</v>
      </c>
      <c r="I9" s="21"/>
      <c r="J9" s="53">
        <f t="shared" ca="1" si="1"/>
        <v>0.42630579888635356</v>
      </c>
      <c r="K9" s="21"/>
      <c r="L9" s="53">
        <f t="shared" ca="1" si="2"/>
        <v>0.36750399315131355</v>
      </c>
      <c r="M9" s="21"/>
      <c r="N9" s="53">
        <f t="shared" si="3"/>
        <v>0</v>
      </c>
      <c r="O9" s="16"/>
      <c r="R9" s="21"/>
      <c r="S9" s="53"/>
    </row>
    <row r="10" spans="2:19" ht="15.5">
      <c r="B10" s="15" t="s">
        <v>548</v>
      </c>
      <c r="C10" s="15"/>
      <c r="D10" s="20"/>
      <c r="E10" s="26">
        <f t="shared" si="0"/>
        <v>103395298.5163098</v>
      </c>
      <c r="F10" s="16">
        <f>+INDEX('Phase I Pro Forma'!$F$136:$Z$136,1,MATCH(1,'Phase I Pro Forma'!$F$3:$Z$3,0))</f>
        <v>71308937.056334928</v>
      </c>
      <c r="G10" s="16">
        <f>+INDEX('Phase II Pro Forma'!$F$135:$Z$135,1,MATCH(1,'Phase II Pro Forma'!$F$2:$Z$2,0))</f>
        <v>9949048.4382608719</v>
      </c>
      <c r="H10" s="16">
        <f>+INDEX('Phase III Pro Forma'!$F$136:$Z$136,1,MATCH(1,'Phase III Pro Forma'!$F$3:$Z$3,0))</f>
        <v>22137313.021714009</v>
      </c>
      <c r="I10" s="21"/>
      <c r="J10" s="53">
        <f t="shared" ca="1" si="1"/>
        <v>0.17402696503595541</v>
      </c>
      <c r="K10" s="21"/>
      <c r="L10" s="53">
        <f t="shared" ca="1" si="2"/>
        <v>2.0220929633526893E-2</v>
      </c>
      <c r="M10" s="21"/>
      <c r="N10" s="53">
        <f t="shared" si="3"/>
        <v>5.9228123430504036E-2</v>
      </c>
      <c r="O10" s="16"/>
      <c r="R10" s="21"/>
      <c r="S10" s="53"/>
    </row>
    <row r="11" spans="2:19" ht="5.25" customHeight="1">
      <c r="B11" s="15"/>
      <c r="C11" s="15"/>
      <c r="D11" s="20"/>
      <c r="E11" s="26"/>
      <c r="F11" s="16"/>
      <c r="G11" s="16"/>
      <c r="H11" s="16"/>
      <c r="I11" s="21"/>
      <c r="J11" s="21"/>
      <c r="K11" s="21"/>
      <c r="L11" s="21"/>
      <c r="M11" s="21"/>
      <c r="N11" s="21"/>
      <c r="R11" s="21"/>
      <c r="S11" s="21"/>
    </row>
    <row r="12" spans="2:19" ht="15.5">
      <c r="B12" s="15" t="s">
        <v>164</v>
      </c>
      <c r="C12" s="15"/>
      <c r="D12" s="24"/>
      <c r="E12" s="77"/>
      <c r="F12" s="78">
        <f>+Assumptions!N149</f>
        <v>0.65</v>
      </c>
      <c r="G12" s="78">
        <f>+Assumptions!O149</f>
        <v>0.65</v>
      </c>
      <c r="H12" s="78">
        <f>+Assumptions!P149</f>
        <v>0.65</v>
      </c>
      <c r="I12" s="21"/>
      <c r="J12" s="21"/>
      <c r="K12" s="21"/>
      <c r="L12" s="21"/>
      <c r="M12" s="21"/>
      <c r="N12" s="21"/>
      <c r="R12" s="21"/>
      <c r="S12" s="21"/>
    </row>
    <row r="13" spans="2:19" ht="15.5">
      <c r="B13" s="62" t="s">
        <v>549</v>
      </c>
      <c r="C13" s="62"/>
      <c r="D13" s="62"/>
      <c r="E13" s="18">
        <f ca="1">+SUM(F13:H13)</f>
        <v>788042669.77431881</v>
      </c>
      <c r="F13" s="58">
        <f>+F12*SUM(F5:F10)</f>
        <v>224778244.62044176</v>
      </c>
      <c r="G13" s="664">
        <f ca="1">+G12*SUM(G5:G10)</f>
        <v>319811284.74654377</v>
      </c>
      <c r="H13" s="58">
        <f>+H12*SUM(H5:H10)</f>
        <v>243453140.40733328</v>
      </c>
      <c r="I13" s="21"/>
      <c r="J13" s="21"/>
      <c r="K13" s="21"/>
      <c r="L13" s="21"/>
      <c r="M13" s="21"/>
      <c r="N13" s="21"/>
      <c r="R13" s="21"/>
      <c r="S13" s="21"/>
    </row>
    <row r="14" spans="2:19" ht="15.5">
      <c r="B14" s="5"/>
      <c r="D14" s="3"/>
      <c r="E14" s="2"/>
      <c r="I14" s="21"/>
      <c r="J14" s="21"/>
      <c r="K14" s="21"/>
      <c r="L14" s="21"/>
      <c r="M14" s="21"/>
      <c r="N14" s="21"/>
      <c r="R14" s="21"/>
      <c r="S14" s="21"/>
    </row>
    <row r="15" spans="2:19" ht="15.5">
      <c r="B15" s="15" t="s">
        <v>550</v>
      </c>
      <c r="C15" s="15"/>
      <c r="D15" s="20"/>
      <c r="E15" s="26">
        <f t="shared" ref="E15:E20" si="4">+SUM(F15:H15)</f>
        <v>4755581.2311913986</v>
      </c>
      <c r="F15" s="16">
        <f>+INDEX('Phase I Pro Forma'!$F$26:$Z$26,1,MATCH(1,'Phase I Pro Forma'!$F$3:$Z$3,0))</f>
        <v>227401.04141520069</v>
      </c>
      <c r="G15" s="16">
        <f>+INDEX('Phase II Pro Forma'!$F$25:$Z$25,1,MATCH(1,'Phase II Pro Forma'!$F$2:$Z$2,0))</f>
        <v>1796972.9898202994</v>
      </c>
      <c r="H15" s="16">
        <f>+INDEX('Phase III Pro Forma'!$F$26:$Z$26,1,MATCH(1,'Phase III Pro Forma'!$F$3:$Z$3,0))</f>
        <v>2731207.1999558988</v>
      </c>
      <c r="I15" s="362">
        <f t="shared" ref="I15:I20" ca="1" si="5">+F15/$F$62</f>
        <v>8.802819724705065E-3</v>
      </c>
      <c r="J15" s="21"/>
      <c r="K15" s="53">
        <f t="shared" ref="K15:K20" ca="1" si="6">+G15/$G$62</f>
        <v>6.0643175172165435E-2</v>
      </c>
      <c r="L15" s="21"/>
      <c r="M15" s="362">
        <f>+H15/$H$62</f>
        <v>0.12840091344837914</v>
      </c>
      <c r="N15" s="21"/>
      <c r="O15" s="16"/>
      <c r="R15" s="53"/>
      <c r="S15" s="21"/>
    </row>
    <row r="16" spans="2:19" ht="15.5">
      <c r="B16" s="15" t="s">
        <v>551</v>
      </c>
      <c r="C16" s="15"/>
      <c r="D16" s="20"/>
      <c r="E16" s="26">
        <f t="shared" si="4"/>
        <v>21234517.832727164</v>
      </c>
      <c r="F16" s="16">
        <f>+INDEX('Phase I Pro Forma'!$F$49:$Z$49,1,MATCH(1,'Phase I Pro Forma'!$F$3:$Z$3,0))</f>
        <v>-308372.22778112465</v>
      </c>
      <c r="G16" s="16">
        <f>+INDEX('Phase II Pro Forma'!$F$48:$Z$48,1,MATCH(1,'Phase II Pro Forma'!$F$2:$Z$2,0))</f>
        <v>8413254.7127005495</v>
      </c>
      <c r="H16" s="16">
        <f>+INDEX('Phase III Pro Forma'!$F$49:$Z$49,1,MATCH(1,'Phase III Pro Forma'!$F$3:$Z$3,0))</f>
        <v>13129635.347807737</v>
      </c>
      <c r="I16" s="53">
        <f t="shared" ca="1" si="5"/>
        <v>-1.1937259004485248E-2</v>
      </c>
      <c r="J16" s="21"/>
      <c r="K16" s="53">
        <f ca="1">+G16/$G$62</f>
        <v>0.28392551373928404</v>
      </c>
      <c r="L16" s="21"/>
      <c r="M16" s="362">
        <f>+H16/$H$62</f>
        <v>0.61725714985295244</v>
      </c>
      <c r="N16" s="21"/>
      <c r="R16" s="53"/>
      <c r="S16" s="21"/>
    </row>
    <row r="17" spans="2:19" ht="15.5">
      <c r="B17" s="15" t="s">
        <v>552</v>
      </c>
      <c r="C17" s="15"/>
      <c r="D17" s="20"/>
      <c r="E17" s="26">
        <f t="shared" si="4"/>
        <v>17081374.566474132</v>
      </c>
      <c r="F17" s="16">
        <f>+INDEX('Phase I Pro Forma'!$F$70:$Z$70,1,MATCH(1,'Phase I Pro Forma'!$F$3:$Z$3,0))</f>
        <v>6088409.9052091548</v>
      </c>
      <c r="G17" s="16">
        <f>+INDEX('Phase II Pro Forma'!$F$69:$Z$69,1,MATCH(1,'Phase II Pro Forma'!$F$2:$Z$2,0))</f>
        <v>7021799.7668355107</v>
      </c>
      <c r="H17" s="16">
        <f>+INDEX('Phase III Pro Forma'!$F$70:$Z$70,1,MATCH(1,'Phase III Pro Forma'!$F$3:$Z$3,0))</f>
        <v>3971164.8944294695</v>
      </c>
      <c r="I17" s="53">
        <f t="shared" ca="1" si="5"/>
        <v>0.23568570518464765</v>
      </c>
      <c r="J17" s="21"/>
      <c r="K17" s="53">
        <f ca="1">+G17/$G$62</f>
        <v>0.23696752021111872</v>
      </c>
      <c r="L17" s="21"/>
      <c r="M17" s="362">
        <f>+H17/$H$62</f>
        <v>0.18669444043173053</v>
      </c>
      <c r="N17" s="21"/>
      <c r="R17" s="53"/>
      <c r="S17" s="21"/>
    </row>
    <row r="18" spans="2:19" ht="15.5">
      <c r="B18" s="15" t="s">
        <v>553</v>
      </c>
      <c r="C18" s="15"/>
      <c r="D18" s="20"/>
      <c r="E18" s="26">
        <f t="shared" ca="1" si="4"/>
        <v>0.94999999995343387</v>
      </c>
      <c r="F18" s="16">
        <f>+INDEX('Phase I Pro Forma'!$F$91:$Z$91,1,MATCH(1,'Phase I Pro Forma'!$F$3:$Z$3,0))</f>
        <v>0.94999999995343387</v>
      </c>
      <c r="G18" s="16">
        <f ca="1">+INDEX('Phase II Pro Forma'!$F$90:$Z$90,1,MATCH(1,'Phase II Pro Forma'!$F$2:$Z$2,0))</f>
        <v>0</v>
      </c>
      <c r="H18" s="16">
        <v>0</v>
      </c>
      <c r="I18" s="53">
        <f t="shared" ca="1" si="5"/>
        <v>3.6775023922563677E-8</v>
      </c>
      <c r="J18" s="21"/>
      <c r="K18" s="53">
        <f t="shared" ca="1" si="6"/>
        <v>0</v>
      </c>
      <c r="L18" s="21"/>
      <c r="M18" s="53">
        <f t="shared" ref="M18:M20" si="7">+H18/$H$62</f>
        <v>0</v>
      </c>
      <c r="N18" s="21"/>
      <c r="R18" s="53"/>
      <c r="S18" s="21"/>
    </row>
    <row r="19" spans="2:19" ht="15.5">
      <c r="B19" s="15" t="s">
        <v>554</v>
      </c>
      <c r="C19" s="15"/>
      <c r="D19" s="20"/>
      <c r="E19" s="26">
        <f t="shared" si="4"/>
        <v>23107535.519924067</v>
      </c>
      <c r="F19" s="16">
        <f>+INDEX('Phase I Pro Forma'!$F$112:$Z$112,1,MATCH(1,'Phase I Pro Forma'!$F$3:$Z$3,0))</f>
        <v>11354343.1</v>
      </c>
      <c r="G19" s="16">
        <f>+INDEX('Phase II Pro Forma'!$F$111:$Z$111,1,MATCH(1,'Phase II Pro Forma'!$F$2:$Z$2,0))</f>
        <v>11753192.419924065</v>
      </c>
      <c r="H19" s="16">
        <f>+INDEX('Phase III Pro Forma'!$F$112:$Z$112,1,MATCH(1,'Phase III Pro Forma'!$F$3:$Z$3,0))</f>
        <v>0</v>
      </c>
      <c r="I19" s="53">
        <f t="shared" ca="1" si="5"/>
        <v>0.43953288331364543</v>
      </c>
      <c r="J19" s="21"/>
      <c r="K19" s="53">
        <f t="shared" ca="1" si="6"/>
        <v>0.39663974405363678</v>
      </c>
      <c r="L19" s="21"/>
      <c r="M19" s="53">
        <f t="shared" si="7"/>
        <v>0</v>
      </c>
      <c r="N19" s="21"/>
      <c r="R19" s="53"/>
      <c r="S19" s="21"/>
    </row>
    <row r="20" spans="2:19" ht="15.5">
      <c r="B20" s="15" t="s">
        <v>555</v>
      </c>
      <c r="C20" s="15"/>
      <c r="D20" s="20"/>
      <c r="E20" s="26">
        <f t="shared" si="4"/>
        <v>6720694.4035601383</v>
      </c>
      <c r="F20" s="16">
        <f>+INDEX('Phase I Pro Forma'!$F$134:$Z$134,1,MATCH(1,'Phase I Pro Forma'!$F$3:$Z$3,0))</f>
        <v>4635080.9086617706</v>
      </c>
      <c r="G20" s="16">
        <f>+INDEX('Phase II Pro Forma'!$F$133:$Z$133,1,MATCH(1,'Phase II Pro Forma'!$F$2:$Z$2,0))</f>
        <v>646688.14848695672</v>
      </c>
      <c r="H20" s="16">
        <f>+INDEX('Phase III Pro Forma'!$F$134:$Z$134,1,MATCH(1,'Phase III Pro Forma'!$F$3:$Z$3,0))</f>
        <v>1438925.3464114107</v>
      </c>
      <c r="I20" s="53">
        <f t="shared" ca="1" si="5"/>
        <v>0.1794265382183263</v>
      </c>
      <c r="J20" s="21"/>
      <c r="K20" s="53">
        <f t="shared" ca="1" si="6"/>
        <v>2.1824046823530518E-2</v>
      </c>
      <c r="L20" s="21"/>
      <c r="M20" s="53">
        <f t="shared" si="7"/>
        <v>6.764749626693789E-2</v>
      </c>
      <c r="N20" s="21"/>
      <c r="R20" s="53"/>
      <c r="S20" s="21"/>
    </row>
    <row r="21" spans="2:19" ht="5.25" customHeight="1">
      <c r="B21" s="15"/>
      <c r="C21" s="15"/>
      <c r="D21" s="20"/>
      <c r="E21" s="26"/>
      <c r="F21" s="16"/>
      <c r="G21" s="16"/>
      <c r="H21" s="16"/>
      <c r="I21" s="21"/>
      <c r="J21" s="21"/>
      <c r="K21" s="21"/>
      <c r="L21" s="21"/>
      <c r="M21" s="21"/>
      <c r="N21" s="21"/>
    </row>
    <row r="22" spans="2:19" ht="15.5">
      <c r="B22" s="15" t="s">
        <v>165</v>
      </c>
      <c r="C22" s="15"/>
      <c r="D22" s="24"/>
      <c r="E22" s="77"/>
      <c r="F22" s="51">
        <f>+Assumptions!N150</f>
        <v>1.25</v>
      </c>
      <c r="G22" s="51">
        <f>+Assumptions!O150</f>
        <v>1.25</v>
      </c>
      <c r="H22" s="51">
        <f>+Assumptions!P150</f>
        <v>1.25</v>
      </c>
      <c r="I22" s="21"/>
      <c r="J22" s="21"/>
      <c r="K22" s="21"/>
      <c r="L22" s="21"/>
      <c r="M22" s="21"/>
      <c r="N22" s="21"/>
    </row>
    <row r="23" spans="2:19" ht="15.5">
      <c r="B23" s="15" t="s">
        <v>556</v>
      </c>
      <c r="C23" s="15"/>
      <c r="D23" s="24"/>
      <c r="E23" s="26"/>
      <c r="F23" s="16">
        <f>+SUM(F15:F20)/F22</f>
        <v>17597490.942004003</v>
      </c>
      <c r="G23" s="16">
        <f ca="1">+SUM(G15:G20)/G22</f>
        <v>23705526.430213906</v>
      </c>
      <c r="H23" s="16">
        <f>+SUM(H15:H20)/H22</f>
        <v>17016746.230883613</v>
      </c>
      <c r="I23" s="21"/>
      <c r="J23" s="21"/>
      <c r="K23" s="21"/>
      <c r="L23" s="21"/>
      <c r="M23" s="21"/>
      <c r="N23" s="21"/>
    </row>
    <row r="24" spans="2:19" ht="15.5">
      <c r="B24" s="15" t="s">
        <v>167</v>
      </c>
      <c r="C24" s="15"/>
      <c r="D24" s="24"/>
      <c r="E24" s="77"/>
      <c r="F24" s="50">
        <f>+Assumptions!N153</f>
        <v>30</v>
      </c>
      <c r="G24" s="50">
        <f>+Assumptions!O153</f>
        <v>30</v>
      </c>
      <c r="H24" s="50">
        <f>+Assumptions!P153</f>
        <v>30</v>
      </c>
      <c r="I24" s="21"/>
      <c r="J24" s="21"/>
      <c r="K24" s="21"/>
      <c r="L24" s="21"/>
      <c r="M24" s="21"/>
      <c r="N24" s="21"/>
    </row>
    <row r="25" spans="2:19" ht="15.5">
      <c r="B25" s="15" t="s">
        <v>158</v>
      </c>
      <c r="C25" s="15"/>
      <c r="D25" s="24"/>
      <c r="E25" s="77"/>
      <c r="F25" s="79">
        <f>+Assumptions!N151</f>
        <v>0.06</v>
      </c>
      <c r="G25" s="79">
        <f>+Assumptions!O151</f>
        <v>0.06</v>
      </c>
      <c r="H25" s="79">
        <f>+Assumptions!P151</f>
        <v>0.06</v>
      </c>
      <c r="I25" s="21"/>
      <c r="J25" s="21"/>
      <c r="K25" s="21"/>
      <c r="L25" s="21"/>
      <c r="M25" s="21"/>
      <c r="N25" s="21"/>
    </row>
    <row r="26" spans="2:19" ht="15.5">
      <c r="B26" s="62" t="s">
        <v>557</v>
      </c>
      <c r="C26" s="62"/>
      <c r="D26" s="62"/>
      <c r="E26" s="18">
        <f ca="1">+SUM(F26:H26)</f>
        <v>802761698.79147124</v>
      </c>
      <c r="F26" s="58">
        <f>+PV(F25,F24,-F23)</f>
        <v>242226491.50654978</v>
      </c>
      <c r="G26" s="58">
        <f ca="1">+PV(G25,G24,-G23)</f>
        <v>326302568.6690644</v>
      </c>
      <c r="H26" s="58">
        <f>+PV(H25,H24,-H23)</f>
        <v>234232638.61585712</v>
      </c>
      <c r="I26" s="21"/>
      <c r="J26" s="21"/>
      <c r="K26" s="21"/>
      <c r="L26" s="21"/>
      <c r="M26" s="21"/>
      <c r="N26" s="21"/>
    </row>
    <row r="27" spans="2:19" ht="5.25" customHeight="1">
      <c r="B27" s="5"/>
      <c r="D27" s="3"/>
      <c r="E27" s="2"/>
      <c r="I27" s="21"/>
      <c r="J27" s="21"/>
      <c r="K27" s="21"/>
      <c r="L27" s="21"/>
      <c r="M27" s="21"/>
      <c r="N27" s="21"/>
    </row>
    <row r="28" spans="2:19" ht="15.5">
      <c r="B28" s="17" t="s">
        <v>558</v>
      </c>
      <c r="C28" s="17"/>
      <c r="D28" s="17"/>
      <c r="E28" s="18">
        <f ca="1">+SUM(F28:H28)</f>
        <v>778822167.98284268</v>
      </c>
      <c r="F28" s="18">
        <f>+MIN(F26,F13)</f>
        <v>224778244.62044176</v>
      </c>
      <c r="G28" s="18">
        <f ca="1">+MIN(G26,G13)</f>
        <v>319811284.74654377</v>
      </c>
      <c r="H28" s="18">
        <f>+MIN(H26,H13)</f>
        <v>234232638.61585712</v>
      </c>
      <c r="I28" s="21"/>
      <c r="J28" s="21"/>
      <c r="K28" s="21"/>
      <c r="L28" s="21"/>
      <c r="M28" s="21"/>
      <c r="N28" s="21"/>
    </row>
    <row r="29" spans="2:19" ht="15.5">
      <c r="B29" s="5"/>
      <c r="D29" s="3"/>
      <c r="E29" s="2"/>
      <c r="I29" s="21"/>
      <c r="J29" s="21"/>
      <c r="K29" s="21"/>
      <c r="L29" s="21"/>
      <c r="M29" s="21"/>
      <c r="N29" s="21"/>
    </row>
    <row r="30" spans="2:19" ht="15.5">
      <c r="B30" s="86" t="s">
        <v>168</v>
      </c>
      <c r="C30" s="83"/>
      <c r="D30" s="84"/>
      <c r="E30" s="85"/>
      <c r="F30" s="87" t="str">
        <f ca="1">+F$3</f>
        <v>I</v>
      </c>
      <c r="G30" s="87" t="str">
        <f ca="1">+G$3</f>
        <v>II</v>
      </c>
      <c r="H30" s="87" t="str">
        <f ca="1">+H$3</f>
        <v>III</v>
      </c>
      <c r="I30" s="21"/>
      <c r="J30" s="21"/>
      <c r="K30" s="21"/>
      <c r="L30" s="21"/>
      <c r="M30" s="21"/>
      <c r="N30" s="21"/>
    </row>
    <row r="31" spans="2:19" ht="15.5">
      <c r="B31" s="15" t="s">
        <v>559</v>
      </c>
      <c r="C31" s="15"/>
      <c r="D31" s="20"/>
      <c r="E31" s="26">
        <v>60599497</v>
      </c>
      <c r="F31" s="16">
        <f ca="1">+INDEX('Phase I Pro Forma'!$F$208:$Z$208,1,MATCH(1,'Phase I Pro Forma'!$F$3:$Z$3,0))</f>
        <v>60599496.972913936</v>
      </c>
      <c r="G31" s="16">
        <v>0</v>
      </c>
      <c r="H31" s="16">
        <v>0</v>
      </c>
      <c r="I31" s="21"/>
      <c r="J31" s="53">
        <f ca="1">+F31/$F$63</f>
        <v>0.14789095134836119</v>
      </c>
      <c r="K31" s="21"/>
      <c r="L31" s="53">
        <v>0</v>
      </c>
      <c r="M31" s="21"/>
      <c r="N31" s="53">
        <v>0</v>
      </c>
      <c r="O31" s="16"/>
      <c r="S31" s="53"/>
    </row>
    <row r="32" spans="2:19" ht="15.5">
      <c r="B32" s="15"/>
      <c r="C32" s="15"/>
      <c r="D32" s="20"/>
      <c r="E32" s="26"/>
      <c r="F32" s="16"/>
      <c r="G32" s="16"/>
      <c r="H32" s="16"/>
      <c r="I32" s="21"/>
      <c r="J32" s="21"/>
      <c r="K32" s="21"/>
      <c r="L32" s="21"/>
      <c r="M32" s="21"/>
      <c r="N32" s="21"/>
    </row>
    <row r="33" spans="2:19" ht="15.5">
      <c r="B33" s="15" t="s">
        <v>164</v>
      </c>
      <c r="C33" s="15"/>
      <c r="D33" s="24"/>
      <c r="E33" s="77"/>
      <c r="F33" s="78">
        <f>+Assumptions!N155</f>
        <v>0.8</v>
      </c>
      <c r="G33" s="78">
        <f>+Assumptions!O155</f>
        <v>0.8</v>
      </c>
      <c r="H33" s="78">
        <f>+Assumptions!P155</f>
        <v>0.8</v>
      </c>
      <c r="I33" s="21"/>
      <c r="J33" s="21"/>
      <c r="K33" s="21"/>
      <c r="L33" s="21"/>
      <c r="M33" s="21"/>
      <c r="N33" s="21"/>
    </row>
    <row r="34" spans="2:19" ht="15.5">
      <c r="B34" s="62" t="s">
        <v>549</v>
      </c>
      <c r="C34" s="62"/>
      <c r="D34" s="62"/>
      <c r="E34" s="18">
        <f ca="1">+SUM(F34:H34)</f>
        <v>48479597.57833115</v>
      </c>
      <c r="F34" s="664">
        <f ca="1">+F33*SUM(F31)</f>
        <v>48479597.57833115</v>
      </c>
      <c r="G34" s="58">
        <f>+G33*SUM(G31)</f>
        <v>0</v>
      </c>
      <c r="H34" s="58">
        <f>+H33*SUM(H31)</f>
        <v>0</v>
      </c>
      <c r="I34" s="21"/>
      <c r="J34" s="21"/>
      <c r="K34" s="21"/>
      <c r="L34" s="21"/>
      <c r="M34" s="21"/>
      <c r="N34" s="21"/>
    </row>
    <row r="35" spans="2:19" ht="15.5">
      <c r="B35" s="6"/>
      <c r="D35" s="4"/>
      <c r="I35" s="21"/>
      <c r="J35" s="21"/>
      <c r="K35" s="21"/>
      <c r="L35" s="21"/>
      <c r="M35" s="21"/>
      <c r="N35" s="21"/>
    </row>
    <row r="36" spans="2:19" ht="15.5">
      <c r="B36" s="15" t="s">
        <v>560</v>
      </c>
      <c r="C36" s="15"/>
      <c r="D36" s="20"/>
      <c r="E36" s="26">
        <f ca="1">+SUM(F36:H36)</f>
        <v>3651867.5876161545</v>
      </c>
      <c r="F36" s="16">
        <f ca="1">+INDEX('Phase I Pro Forma'!$F$206:$Z$206,1,MATCH(1,'Phase I Pro Forma'!$F$3:$Z$3,0))</f>
        <v>3651867.5876161545</v>
      </c>
      <c r="G36" s="16">
        <v>0</v>
      </c>
      <c r="H36" s="16">
        <v>0</v>
      </c>
      <c r="I36" s="53">
        <f ca="1">+F36/$F$62</f>
        <v>0.14136580831915982</v>
      </c>
      <c r="J36" s="21"/>
      <c r="K36" s="53">
        <f ca="1">G36/$G$62</f>
        <v>0</v>
      </c>
      <c r="L36" s="21"/>
      <c r="M36" s="53">
        <f>+H36/$H$62</f>
        <v>0</v>
      </c>
      <c r="N36" s="21"/>
      <c r="O36" s="16"/>
      <c r="R36" s="53"/>
    </row>
    <row r="37" spans="2:19" ht="15.5">
      <c r="B37" s="6"/>
      <c r="D37" s="4"/>
      <c r="I37" s="21"/>
      <c r="J37" s="21"/>
      <c r="K37" s="21"/>
      <c r="L37" s="21"/>
      <c r="M37" s="21"/>
      <c r="N37" s="21"/>
    </row>
    <row r="38" spans="2:19" ht="15.5">
      <c r="B38" s="15" t="s">
        <v>165</v>
      </c>
      <c r="C38" s="15"/>
      <c r="D38" s="24"/>
      <c r="E38" s="77"/>
      <c r="F38" s="51">
        <f>+Assumptions!N156</f>
        <v>1.3</v>
      </c>
      <c r="G38" s="51">
        <f>+Assumptions!O156</f>
        <v>1.3</v>
      </c>
      <c r="H38" s="51">
        <f>+Assumptions!P156</f>
        <v>1.3</v>
      </c>
      <c r="I38" s="21"/>
      <c r="J38" s="21"/>
      <c r="K38" s="21"/>
      <c r="L38" s="21"/>
      <c r="M38" s="21"/>
      <c r="N38" s="21"/>
    </row>
    <row r="39" spans="2:19" ht="15.5">
      <c r="B39" s="15" t="s">
        <v>556</v>
      </c>
      <c r="C39" s="15"/>
      <c r="D39" s="24"/>
      <c r="E39" s="26"/>
      <c r="F39" s="16">
        <f ca="1">+SUM(F36)/F38</f>
        <v>2809128.9135508877</v>
      </c>
      <c r="G39" s="16">
        <f>+SUM(G36)/G38</f>
        <v>0</v>
      </c>
      <c r="H39" s="16">
        <f>+SUM(H36)/H38</f>
        <v>0</v>
      </c>
      <c r="I39" s="21"/>
      <c r="J39" s="21"/>
      <c r="K39" s="21"/>
      <c r="L39" s="21"/>
      <c r="M39" s="21"/>
      <c r="N39" s="21"/>
    </row>
    <row r="40" spans="2:19" ht="15.5">
      <c r="B40" s="15" t="s">
        <v>167</v>
      </c>
      <c r="C40" s="15"/>
      <c r="D40" s="24"/>
      <c r="E40" s="77"/>
      <c r="F40" s="88" t="s">
        <v>171</v>
      </c>
      <c r="G40" s="88" t="s">
        <v>171</v>
      </c>
      <c r="H40" s="88" t="s">
        <v>171</v>
      </c>
      <c r="I40" s="21"/>
      <c r="J40" s="21"/>
      <c r="K40" s="21"/>
      <c r="L40" s="21"/>
      <c r="M40" s="21"/>
      <c r="N40" s="21"/>
    </row>
    <row r="41" spans="2:19" ht="15.5">
      <c r="B41" s="15" t="s">
        <v>158</v>
      </c>
      <c r="C41" s="15"/>
      <c r="D41" s="24"/>
      <c r="E41" s="77"/>
      <c r="F41" s="79">
        <f>+Assumptions!N157</f>
        <v>0.06</v>
      </c>
      <c r="G41" s="79">
        <f>+Assumptions!O157</f>
        <v>0.06</v>
      </c>
      <c r="H41" s="79">
        <f>+Assumptions!P157</f>
        <v>0.06</v>
      </c>
      <c r="I41" s="21"/>
      <c r="J41" s="21"/>
      <c r="K41" s="21"/>
      <c r="L41" s="21"/>
      <c r="M41" s="21"/>
      <c r="N41" s="21"/>
    </row>
    <row r="42" spans="2:19" ht="15.5">
      <c r="B42" s="62" t="s">
        <v>557</v>
      </c>
      <c r="C42" s="62"/>
      <c r="D42" s="62"/>
      <c r="E42" s="18">
        <f ca="1">+SUM(F42:H42)</f>
        <v>46818815.225848131</v>
      </c>
      <c r="F42" s="58">
        <f ca="1">+F39/F41</f>
        <v>46818815.225848131</v>
      </c>
      <c r="G42" s="58">
        <f>+G39/G41</f>
        <v>0</v>
      </c>
      <c r="H42" s="58">
        <f>+H39/H41</f>
        <v>0</v>
      </c>
      <c r="I42" s="21"/>
      <c r="J42" s="21"/>
      <c r="K42" s="21"/>
      <c r="L42" s="21"/>
      <c r="M42" s="21"/>
      <c r="N42" s="21"/>
    </row>
    <row r="43" spans="2:19" ht="15.5">
      <c r="B43" s="5"/>
      <c r="D43" s="3"/>
      <c r="E43" s="2"/>
      <c r="I43" s="21"/>
      <c r="J43" s="21"/>
      <c r="K43" s="21"/>
      <c r="L43" s="21"/>
      <c r="M43" s="21"/>
      <c r="N43" s="21"/>
    </row>
    <row r="44" spans="2:19" ht="15.5">
      <c r="B44" s="17" t="s">
        <v>558</v>
      </c>
      <c r="C44" s="17"/>
      <c r="D44" s="17"/>
      <c r="E44" s="18">
        <f ca="1">+SUM(F44:H44)</f>
        <v>46818815.225848131</v>
      </c>
      <c r="F44" s="18">
        <f ca="1">+MIN(F42,F34)</f>
        <v>46818815.225848131</v>
      </c>
      <c r="G44" s="18">
        <f>+MIN(G42,G34)</f>
        <v>0</v>
      </c>
      <c r="H44" s="18">
        <f>+MIN(H42,H34)</f>
        <v>0</v>
      </c>
      <c r="I44" s="21"/>
      <c r="J44" s="21"/>
      <c r="K44" s="21"/>
      <c r="L44" s="21"/>
      <c r="M44" s="21"/>
      <c r="N44" s="21"/>
    </row>
    <row r="45" spans="2:19" ht="15.5">
      <c r="B45" s="6"/>
      <c r="I45" s="21"/>
      <c r="J45" s="21"/>
      <c r="K45" s="21"/>
      <c r="L45" s="21"/>
      <c r="M45" s="21"/>
      <c r="N45" s="21"/>
    </row>
    <row r="46" spans="2:19" ht="15.5">
      <c r="B46" s="86" t="s">
        <v>231</v>
      </c>
      <c r="C46" s="83"/>
      <c r="D46" s="84"/>
      <c r="E46" s="85"/>
      <c r="F46" s="87" t="str">
        <f ca="1">+F$3</f>
        <v>I</v>
      </c>
      <c r="G46" s="87" t="str">
        <f ca="1">+G$3</f>
        <v>II</v>
      </c>
      <c r="H46" s="87" t="str">
        <f ca="1">+H$3</f>
        <v>III</v>
      </c>
      <c r="I46" s="21"/>
      <c r="J46" s="21"/>
      <c r="K46" s="21"/>
      <c r="L46" s="21"/>
      <c r="M46" s="21"/>
      <c r="N46" s="21"/>
      <c r="R46" s="21"/>
      <c r="S46" s="53"/>
    </row>
    <row r="47" spans="2:19" ht="15.5">
      <c r="B47" s="15" t="s">
        <v>561</v>
      </c>
      <c r="C47" s="15"/>
      <c r="D47" s="20"/>
      <c r="E47" s="26">
        <f ca="1">+SUM(F47:H47)</f>
        <v>55432950.641364068</v>
      </c>
      <c r="F47" s="16">
        <f>+INDEX('Phase I Pro Forma'!$F$253:$Z$253,1,MATCH(1,'Phase I Pro Forma'!$F$3:$Z$3,0))</f>
        <v>3345795.5345138763</v>
      </c>
      <c r="G47" s="16">
        <f ca="1">+INDEX('Phase II Pro Forma'!$F$185:$Z$185,1,MATCH(1,'Phase II Pro Forma'!$F$2:$Z$2,0))</f>
        <v>1.4249999999999999E-4</v>
      </c>
      <c r="H47" s="58">
        <f ca="1">+H44/H46</f>
        <v>0</v>
      </c>
      <c r="I47" s="21"/>
      <c r="J47" s="53">
        <f ca="1">F47/$F$63</f>
        <v>8.1652968973904456E-3</v>
      </c>
      <c r="K47" s="21"/>
      <c r="L47" s="53">
        <f ca="1">G47/$G$63</f>
        <v>2.8962392641454213E-13</v>
      </c>
      <c r="M47" s="21"/>
      <c r="N47" s="53">
        <f ca="1">+H47/$H$63</f>
        <v>0</v>
      </c>
      <c r="O47" s="16"/>
      <c r="R47" s="21"/>
      <c r="S47" s="21"/>
    </row>
    <row r="48" spans="2:19" ht="15.5">
      <c r="B48" s="15"/>
      <c r="C48" s="15"/>
      <c r="D48" s="20"/>
      <c r="E48" s="26"/>
      <c r="F48" s="16"/>
      <c r="G48" s="16"/>
      <c r="H48" s="16"/>
      <c r="I48" s="21"/>
      <c r="J48" s="21"/>
      <c r="K48" s="21"/>
      <c r="L48" s="21"/>
      <c r="M48" s="21"/>
      <c r="N48" s="21"/>
      <c r="R48" s="21"/>
      <c r="S48" s="21"/>
    </row>
    <row r="49" spans="2:19" ht="15.5">
      <c r="B49" s="15" t="s">
        <v>164</v>
      </c>
      <c r="C49" s="15"/>
      <c r="D49" s="24"/>
      <c r="E49" s="77"/>
      <c r="F49" s="78">
        <f>+Assumptions!N161</f>
        <v>0.75</v>
      </c>
      <c r="G49" s="78">
        <f>+Assumptions!O161</f>
        <v>0.75</v>
      </c>
      <c r="H49" s="78">
        <f>+Assumptions!P161</f>
        <v>0.75</v>
      </c>
      <c r="I49" s="21"/>
      <c r="J49" s="21"/>
      <c r="K49" s="21"/>
      <c r="L49" s="21"/>
      <c r="M49" s="21"/>
      <c r="N49" s="21"/>
      <c r="R49" s="21"/>
      <c r="S49" s="21"/>
    </row>
    <row r="50" spans="2:19" ht="15.5">
      <c r="B50" s="62" t="s">
        <v>549</v>
      </c>
      <c r="C50" s="62"/>
      <c r="D50" s="62"/>
      <c r="E50" s="18">
        <f ca="1">+SUM(F50:H50)</f>
        <v>2509346.6510454398</v>
      </c>
      <c r="F50" s="58">
        <f>+F49*SUM(F47)</f>
        <v>2509346.6508854073</v>
      </c>
      <c r="G50" s="58">
        <f ca="1">+G49*SUM(G47)</f>
        <v>1.06875E-4</v>
      </c>
      <c r="H50" s="58">
        <f ca="1">+H47/H49</f>
        <v>0</v>
      </c>
      <c r="I50" s="21"/>
      <c r="J50" s="21"/>
      <c r="K50" s="21"/>
      <c r="L50" s="21"/>
      <c r="M50" s="21"/>
      <c r="N50" s="21"/>
      <c r="R50" s="21"/>
      <c r="S50" s="21"/>
    </row>
    <row r="51" spans="2:19" ht="15.5">
      <c r="B51" s="6"/>
      <c r="D51" s="4"/>
      <c r="I51" s="21"/>
      <c r="J51" s="21"/>
      <c r="K51" s="21"/>
      <c r="L51" s="21"/>
      <c r="M51" s="21"/>
      <c r="N51" s="21"/>
      <c r="R51" s="53"/>
      <c r="S51" s="21"/>
    </row>
    <row r="52" spans="2:19" ht="15.5">
      <c r="B52" s="15" t="s">
        <v>562</v>
      </c>
      <c r="C52" s="15"/>
      <c r="D52" s="20"/>
      <c r="E52" s="26">
        <f ca="1">+SUM(F52:H52)</f>
        <v>184018.75440610069</v>
      </c>
      <c r="F52" s="16">
        <f>+INDEX('Phase I Pro Forma'!$F$251:$Z$251,1,MATCH(1,'Phase I Pro Forma'!$F$3:$Z$3,0))</f>
        <v>184018.75439826321</v>
      </c>
      <c r="G52" s="16">
        <f ca="1">+INDEX('Phase II Pro Forma'!$F$183:$Z$183,1,MATCH(1,'Phase II Pro Forma'!$F$2:$Z$2,0))</f>
        <v>7.8374999999999991E-6</v>
      </c>
      <c r="H52" s="16">
        <v>0</v>
      </c>
      <c r="I52" s="53">
        <f ca="1">F52/$F$62</f>
        <v>7.1234674689770643E-3</v>
      </c>
      <c r="J52" s="21"/>
      <c r="K52" s="53">
        <f ca="1">+G52/$G$62</f>
        <v>2.6449528629775148E-13</v>
      </c>
      <c r="L52" s="21"/>
      <c r="M52" s="53">
        <f>+H52/$H$62</f>
        <v>0</v>
      </c>
      <c r="N52" s="21"/>
      <c r="O52" s="16"/>
    </row>
    <row r="53" spans="2:19" ht="15.5">
      <c r="B53" s="6"/>
      <c r="D53" s="4"/>
      <c r="I53" s="21"/>
      <c r="J53" s="21"/>
      <c r="K53" s="21"/>
      <c r="L53" s="21"/>
      <c r="M53" s="21"/>
      <c r="N53" s="21"/>
    </row>
    <row r="54" spans="2:19" ht="15.5">
      <c r="B54" s="15" t="s">
        <v>165</v>
      </c>
      <c r="C54" s="15"/>
      <c r="D54" s="24"/>
      <c r="E54" s="77"/>
      <c r="F54" s="51">
        <f>+Assumptions!N162</f>
        <v>1.3</v>
      </c>
      <c r="G54" s="51">
        <f>+Assumptions!O162</f>
        <v>1.3</v>
      </c>
      <c r="H54" s="51">
        <f>+Assumptions!P162</f>
        <v>1.3</v>
      </c>
      <c r="I54" s="21"/>
      <c r="J54" s="21"/>
      <c r="K54" s="21"/>
      <c r="L54" s="21"/>
      <c r="M54" s="21"/>
      <c r="N54" s="21"/>
    </row>
    <row r="55" spans="2:19" ht="15.5">
      <c r="B55" s="15" t="s">
        <v>556</v>
      </c>
      <c r="C55" s="15"/>
      <c r="D55" s="24"/>
      <c r="E55" s="26"/>
      <c r="F55" s="16">
        <f>+SUM(F52)/F54</f>
        <v>141552.88799866399</v>
      </c>
      <c r="G55" s="16">
        <f ca="1">+SUM(G52)/G54</f>
        <v>6.0288461538461527E-6</v>
      </c>
      <c r="H55" s="16">
        <f>+SUM(H52)/H54</f>
        <v>0</v>
      </c>
      <c r="I55" s="21"/>
      <c r="J55" s="21"/>
      <c r="K55" s="21"/>
      <c r="L55" s="21"/>
      <c r="M55" s="21"/>
      <c r="N55" s="21"/>
    </row>
    <row r="56" spans="2:19" ht="15.5">
      <c r="B56" s="15" t="s">
        <v>167</v>
      </c>
      <c r="C56" s="15"/>
      <c r="D56" s="24"/>
      <c r="E56" s="77"/>
      <c r="F56" s="88" t="s">
        <v>171</v>
      </c>
      <c r="G56" s="88" t="s">
        <v>171</v>
      </c>
      <c r="H56" s="88" t="s">
        <v>171</v>
      </c>
      <c r="I56" s="21"/>
      <c r="J56" s="21"/>
      <c r="K56" s="21"/>
      <c r="L56" s="21"/>
      <c r="M56" s="21"/>
      <c r="N56" s="21"/>
    </row>
    <row r="57" spans="2:19" ht="15.5">
      <c r="B57" s="15" t="s">
        <v>158</v>
      </c>
      <c r="C57" s="15"/>
      <c r="D57" s="24"/>
      <c r="E57" s="77"/>
      <c r="F57" s="79">
        <f>+Assumptions!N163</f>
        <v>5.5E-2</v>
      </c>
      <c r="G57" s="79">
        <f>+Assumptions!O163</f>
        <v>5.5E-2</v>
      </c>
      <c r="H57" s="79">
        <f>+Assumptions!P163</f>
        <v>5.5E-2</v>
      </c>
      <c r="I57" s="21"/>
      <c r="J57" s="21"/>
      <c r="K57" s="21"/>
      <c r="L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+SUM(F58:H58)</f>
        <v>2573688.8728125971</v>
      </c>
      <c r="F58" s="58">
        <f>+F55/F57</f>
        <v>2573688.8727029818</v>
      </c>
      <c r="G58" s="58">
        <f ca="1">+G55/G57</f>
        <v>1.096153846153846E-4</v>
      </c>
      <c r="H58" s="58">
        <f>+H55/H57</f>
        <v>0</v>
      </c>
      <c r="I58" s="21"/>
      <c r="J58" s="21"/>
      <c r="K58" s="21"/>
      <c r="L58" s="21"/>
      <c r="M58" s="21"/>
      <c r="N58" s="21"/>
    </row>
    <row r="59" spans="2:19" ht="15.5">
      <c r="B59" s="5"/>
      <c r="D59" s="3"/>
      <c r="E59" s="2"/>
      <c r="I59" s="21"/>
      <c r="J59" s="21"/>
      <c r="K59" s="21"/>
      <c r="L59" s="21"/>
      <c r="M59" s="21"/>
      <c r="N59" s="21"/>
    </row>
    <row r="60" spans="2:19" ht="15.5">
      <c r="B60" s="17" t="s">
        <v>558</v>
      </c>
      <c r="C60" s="17"/>
      <c r="D60" s="17"/>
      <c r="E60" s="18">
        <f ca="1">+SUM(F60:H60)</f>
        <v>4058106.6509922822</v>
      </c>
      <c r="F60" s="18">
        <f>+MIN(F58,F50)</f>
        <v>2509346.6508854073</v>
      </c>
      <c r="G60" s="18">
        <f ca="1">+MIN(G58,G50)</f>
        <v>1.06875E-4</v>
      </c>
      <c r="H60" s="18">
        <v>1548760</v>
      </c>
      <c r="I60" s="21"/>
      <c r="J60" s="21"/>
      <c r="K60" s="21"/>
      <c r="L60" s="21"/>
      <c r="M60" s="21"/>
      <c r="N60" s="21"/>
    </row>
    <row r="61" spans="2:19" ht="15.5">
      <c r="B61" s="1"/>
      <c r="D61" s="4"/>
      <c r="I61" s="21"/>
      <c r="J61" s="21"/>
      <c r="K61" s="21"/>
      <c r="L61" s="21"/>
      <c r="M61" s="21"/>
      <c r="N61" s="21"/>
    </row>
    <row r="62" spans="2:19" ht="18.5">
      <c r="B62" s="543" t="s">
        <v>563</v>
      </c>
      <c r="C62" s="543"/>
      <c r="D62" s="543"/>
      <c r="E62" s="544">
        <f ca="1">+SUM(F62:H62)</f>
        <v>76735590.84589915</v>
      </c>
      <c r="F62" s="545">
        <f ca="1">+SUM(F15:F20,F36,F52)</f>
        <v>25832750.019519418</v>
      </c>
      <c r="G62" s="545">
        <f ca="1">+SUM(G15:G20,G36,G52)</f>
        <v>29631908.037775218</v>
      </c>
      <c r="H62" s="545">
        <f>+SUM(H15:H20,H36,H52)</f>
        <v>21270932.788604517</v>
      </c>
      <c r="I62" s="546">
        <f ca="1">+SUM(I5:I61)</f>
        <v>1</v>
      </c>
      <c r="K62" s="546">
        <f ca="1">+SUM(K5:K61)</f>
        <v>1</v>
      </c>
      <c r="M62" s="546">
        <f>+SUM(M5:M61)</f>
        <v>1</v>
      </c>
    </row>
    <row r="63" spans="2:19" ht="16" customHeight="1">
      <c r="B63" s="543" t="s">
        <v>211</v>
      </c>
      <c r="C63" s="543"/>
      <c r="D63" s="543"/>
      <c r="E63" s="544">
        <v>1246674065</v>
      </c>
      <c r="F63" s="545">
        <f ca="1">+SUM(F5:F10,F31,F47)</f>
        <v>409757976.53887665</v>
      </c>
      <c r="G63" s="545">
        <f ca="1">+SUM(G5:G10,G31,G47)</f>
        <v>492017361.14867139</v>
      </c>
      <c r="H63" s="545">
        <v>373763539</v>
      </c>
      <c r="J63" s="546">
        <f ca="1">+SUM(J5:J61)</f>
        <v>0.99999999999999989</v>
      </c>
      <c r="L63" s="546">
        <f ca="1">+SUM(L5:L61)</f>
        <v>1</v>
      </c>
      <c r="N63" s="546" t="e">
        <f ca="1">+SUM(N5:N61)</f>
        <v>#REF!</v>
      </c>
    </row>
    <row r="64" spans="2:19" ht="16" customHeight="1">
      <c r="B64" s="543" t="s">
        <v>564</v>
      </c>
      <c r="C64" s="543"/>
      <c r="D64" s="543"/>
      <c r="E64" s="544">
        <f ca="1">+SUM(F64:H64)</f>
        <v>829699089.85968304</v>
      </c>
      <c r="F64" s="545">
        <f ca="1">+F60+F44+F28</f>
        <v>274106406.49717534</v>
      </c>
      <c r="G64" s="545">
        <f ca="1">+G60+G44+G28</f>
        <v>319811284.74665064</v>
      </c>
      <c r="H64" s="545">
        <f>+H60+H44+H28</f>
        <v>235781398.61585712</v>
      </c>
    </row>
    <row r="65" spans="2:18" ht="16" customHeight="1">
      <c r="B65" s="954" t="s">
        <v>565</v>
      </c>
      <c r="C65" s="954"/>
      <c r="D65" s="954"/>
      <c r="E65" s="954"/>
      <c r="F65" s="954"/>
      <c r="G65" s="954"/>
      <c r="H65" s="954"/>
    </row>
    <row r="66" spans="2:18" ht="16" customHeight="1">
      <c r="B66" s="1"/>
      <c r="D66" s="4"/>
    </row>
    <row r="67" spans="2:18" ht="21" customHeight="1" thickBot="1">
      <c r="B67" s="54" t="s">
        <v>566</v>
      </c>
      <c r="C67" s="21"/>
      <c r="D67" s="21"/>
      <c r="E67" s="239" t="s">
        <v>567</v>
      </c>
      <c r="F67" s="239" t="s">
        <v>568</v>
      </c>
      <c r="G67" s="239" t="s">
        <v>190</v>
      </c>
      <c r="H67" s="239" t="s">
        <v>52</v>
      </c>
      <c r="J67" s="953" t="s">
        <v>566</v>
      </c>
      <c r="K67" s="953"/>
      <c r="L67" s="953"/>
      <c r="M67" s="953"/>
      <c r="N67" s="953"/>
      <c r="O67" s="953"/>
      <c r="P67" s="953"/>
      <c r="Q67" s="953"/>
      <c r="R67" s="953"/>
    </row>
    <row r="68" spans="2:18" ht="16" customHeight="1">
      <c r="B68" s="21" t="s">
        <v>25</v>
      </c>
      <c r="C68" s="21"/>
      <c r="D68" s="21"/>
      <c r="E68" s="16">
        <f ca="1">-Budget!$M$83</f>
        <v>-275201146.63070071</v>
      </c>
      <c r="F68" s="238">
        <f ca="1">+'S&amp;U'!$Q$20*'Loan Sizing'!E68/'Loan Sizing'!$E$76+G68</f>
        <v>138221251.2663855</v>
      </c>
      <c r="G68" s="16">
        <f>+'S&amp;U'!$G$20</f>
        <v>117834510.85754186</v>
      </c>
      <c r="H68" s="22">
        <f ca="1">+Budget!$G$12</f>
        <v>1015030</v>
      </c>
    </row>
    <row r="69" spans="2:18" ht="16" customHeight="1">
      <c r="B69" s="21" t="s">
        <v>27</v>
      </c>
      <c r="C69" s="21"/>
      <c r="D69" s="21"/>
      <c r="E69" s="16">
        <f ca="1">-Budget!$N$83</f>
        <v>-417606529.5285511</v>
      </c>
      <c r="F69" s="238">
        <f ca="1">+'S&amp;U'!$Q$20*'Loan Sizing'!E69/'Loan Sizing'!$E$76+G69</f>
        <v>30936048.104339231</v>
      </c>
      <c r="G69" s="16">
        <f>+'S&amp;U'!$G$22</f>
        <v>0</v>
      </c>
      <c r="H69" s="22">
        <f ca="1">+Budget!$G$13</f>
        <v>1522293</v>
      </c>
    </row>
    <row r="70" spans="2:18" ht="16" customHeight="1">
      <c r="B70" s="21" t="s">
        <v>29</v>
      </c>
      <c r="C70" s="21"/>
      <c r="D70" s="21"/>
      <c r="E70" s="16">
        <f ca="1">-H70*400</f>
        <v>-133926000</v>
      </c>
      <c r="F70" s="238">
        <f ca="1">+(5000000*'Loan Sizing'!E70)/'Loan Sizing'!$E$76+G70</f>
        <v>641103.49681817519</v>
      </c>
      <c r="G70" s="16">
        <v>0</v>
      </c>
      <c r="H70" s="22">
        <f ca="1">+Budget!$G$14</f>
        <v>334815</v>
      </c>
    </row>
    <row r="71" spans="2:18" ht="16" customHeight="1">
      <c r="B71" s="21" t="s">
        <v>31</v>
      </c>
      <c r="C71" s="21"/>
      <c r="D71" s="21"/>
      <c r="E71" s="16">
        <f ca="1">-Budget!$P$83</f>
        <v>-19370445.585821975</v>
      </c>
      <c r="F71" s="238">
        <f ca="1">+'S&amp;U'!$Q$20*'Loan Sizing'!E71/'Loan Sizing'!$E$76+G71</f>
        <v>1434951.3096023195</v>
      </c>
      <c r="G71" s="16">
        <v>0</v>
      </c>
      <c r="H71" s="22">
        <f ca="1">+Budget!$G$15</f>
        <v>68945</v>
      </c>
    </row>
    <row r="72" spans="2:18" ht="16" customHeight="1">
      <c r="B72" s="21" t="s">
        <v>143</v>
      </c>
      <c r="C72" s="21"/>
      <c r="D72" s="21"/>
      <c r="E72" s="16">
        <f ca="1">-Budget!$Q$83</f>
        <v>-8728696.328840442</v>
      </c>
      <c r="F72" s="238">
        <f ca="1">+'S&amp;U'!$Q$20*'Loan Sizing'!E72/'Loan Sizing'!$E$76+G72</f>
        <v>11722616.732377442</v>
      </c>
      <c r="G72" s="16">
        <f>+'S&amp;U'!$G$21</f>
        <v>11076000.000062399</v>
      </c>
      <c r="H72" s="22">
        <f ca="1">+Budget!$G$16</f>
        <v>107898</v>
      </c>
    </row>
    <row r="73" spans="2:18" ht="16" customHeight="1">
      <c r="B73" s="21" t="s">
        <v>35</v>
      </c>
      <c r="C73" s="21"/>
      <c r="D73" s="21"/>
      <c r="E73" s="16">
        <f ca="1">-Budget!$R$83</f>
        <v>-174273651.85267881</v>
      </c>
      <c r="F73" s="238">
        <f ca="1">+'S&amp;U'!$Q$20*'Loan Sizing'!E73/'Loan Sizing'!$E$76+G73</f>
        <v>12910090.469897075</v>
      </c>
      <c r="G73" s="16">
        <v>0</v>
      </c>
      <c r="H73" s="22">
        <f ca="1">+Budget!$G$17</f>
        <v>625000</v>
      </c>
    </row>
    <row r="74" spans="2:18" ht="16" customHeight="1">
      <c r="B74" s="21" t="s">
        <v>232</v>
      </c>
      <c r="C74" s="21"/>
      <c r="D74" s="21"/>
      <c r="E74" s="16">
        <f ca="1">-Budget!$S$83</f>
        <v>-8449145.9058928862</v>
      </c>
      <c r="F74" s="238">
        <f ca="1">+'S&amp;U'!$Q$20*'Loan Sizing'!E74/'Loan Sizing'!$E$76+G74</f>
        <v>625907.80005371734</v>
      </c>
      <c r="G74" s="16">
        <v>0</v>
      </c>
      <c r="H74" s="22">
        <f ca="1">+Budget!$G$18</f>
        <v>37784</v>
      </c>
    </row>
    <row r="75" spans="2:18" ht="16" customHeight="1">
      <c r="B75" s="21" t="s">
        <v>104</v>
      </c>
      <c r="C75" s="21"/>
      <c r="D75" s="21"/>
      <c r="E75" s="16">
        <f ca="1">-Budget!$T$81-Budget!$U$81</f>
        <v>-6940324.8750645081</v>
      </c>
      <c r="F75" s="238">
        <v>257900</v>
      </c>
      <c r="G75" s="16">
        <v>0</v>
      </c>
      <c r="H75" s="22">
        <f ca="1">+Budget!$G$19+Budget!$G$20</f>
        <v>1396224</v>
      </c>
    </row>
    <row r="76" spans="2:18" ht="16" customHeight="1">
      <c r="B76" s="54" t="s">
        <v>210</v>
      </c>
      <c r="C76" s="21"/>
      <c r="D76" s="21"/>
      <c r="E76" s="16">
        <f ca="1">+SUM(E68:E75)</f>
        <v>-1044495940.7075504</v>
      </c>
      <c r="F76" s="16">
        <f ca="1">+SUM(F68:F75)</f>
        <v>196749869.17947346</v>
      </c>
      <c r="G76" s="16">
        <f>+SUM(G68:G75)</f>
        <v>128910510.85760427</v>
      </c>
      <c r="H76" s="21"/>
    </row>
    <row r="77" spans="2:18" ht="16" customHeight="1">
      <c r="B77" s="21"/>
      <c r="C77" s="21"/>
      <c r="D77" s="21"/>
      <c r="E77" s="16"/>
      <c r="F77" s="238"/>
      <c r="G77" s="21"/>
      <c r="H77" s="21"/>
    </row>
    <row r="78" spans="2:18" ht="16" customHeight="1">
      <c r="B78" s="54"/>
      <c r="C78" s="21"/>
      <c r="D78" s="21"/>
      <c r="E78" s="239" t="s">
        <v>11</v>
      </c>
      <c r="F78" s="239" t="s">
        <v>569</v>
      </c>
      <c r="G78" s="239" t="s">
        <v>570</v>
      </c>
      <c r="H78" s="21"/>
    </row>
    <row r="79" spans="2:18" ht="16" customHeight="1">
      <c r="B79" s="21" t="str">
        <f t="shared" ref="B79:B86" si="8">+B68</f>
        <v>Affordable Residential</v>
      </c>
      <c r="C79" s="21"/>
      <c r="D79" s="21"/>
      <c r="E79" s="53">
        <f ca="1">-$E$15/E68</f>
        <v>1.7280383055863616E-2</v>
      </c>
      <c r="F79" s="53">
        <f ca="1">-$E$15/SUM(E68:F68)</f>
        <v>3.4717366505087E-2</v>
      </c>
      <c r="G79" s="53">
        <f>+Assumptions!M128</f>
        <v>5.7500000000000002E-2</v>
      </c>
      <c r="H79" s="53"/>
    </row>
    <row r="80" spans="2:18" ht="16" customHeight="1">
      <c r="B80" s="21" t="str">
        <f t="shared" si="8"/>
        <v>Market Rate Residential</v>
      </c>
      <c r="C80" s="21"/>
      <c r="D80" s="21"/>
      <c r="E80" s="53">
        <f ca="1">-$E$16/E69</f>
        <v>5.0848146116631528E-2</v>
      </c>
      <c r="F80" s="53">
        <f ca="1">-$E$16/SUM(E69:F69)</f>
        <v>5.4916314673193301E-2</v>
      </c>
      <c r="G80" s="53">
        <f>+Assumptions!M129</f>
        <v>5.5E-2</v>
      </c>
      <c r="H80" s="53"/>
    </row>
    <row r="81" spans="2:18" ht="16" customHeight="1">
      <c r="B81" s="21" t="str">
        <f t="shared" si="8"/>
        <v>Retail</v>
      </c>
      <c r="C81" s="21"/>
      <c r="D81" s="21"/>
      <c r="E81" s="53">
        <f ca="1">-$E$17/E70</f>
        <v>0.12754337892921563</v>
      </c>
      <c r="F81" s="53">
        <f ca="1">-$E$17/SUM(E70:F70)</f>
        <v>0.12815686559104136</v>
      </c>
      <c r="G81" s="53">
        <f>+Assumptions!M130</f>
        <v>0.06</v>
      </c>
      <c r="H81" s="53"/>
    </row>
    <row r="82" spans="2:18" ht="16" customHeight="1">
      <c r="B82" s="21" t="str">
        <f t="shared" si="8"/>
        <v>Hotel</v>
      </c>
      <c r="C82" s="21"/>
      <c r="D82" s="21"/>
      <c r="E82" s="53">
        <f ca="1">-$E$36/E71</f>
        <v>0.18852780497156485</v>
      </c>
      <c r="F82" s="53">
        <f ca="1">-$E$36/SUM(E71:F71)</f>
        <v>0.20361120420629272</v>
      </c>
      <c r="G82" s="53">
        <f>+Assumptions!M131</f>
        <v>6.5000000000000002E-2</v>
      </c>
      <c r="H82" s="53"/>
    </row>
    <row r="83" spans="2:18" ht="16" customHeight="1">
      <c r="B83" s="21" t="s">
        <v>143</v>
      </c>
      <c r="C83" s="21"/>
      <c r="D83" s="21"/>
      <c r="E83" s="53">
        <v>0.01</v>
      </c>
      <c r="F83" s="53">
        <f ca="1">-$E$18/SUM(E72:F72)</f>
        <v>-3.1730970497115071E-7</v>
      </c>
      <c r="G83" s="53">
        <f>+Assumptions!M132</f>
        <v>6.7500000000000004E-2</v>
      </c>
      <c r="H83" s="53"/>
    </row>
    <row r="84" spans="2:18" ht="16" customHeight="1">
      <c r="B84" s="21" t="str">
        <f t="shared" si="8"/>
        <v>Office</v>
      </c>
      <c r="C84" s="21"/>
      <c r="D84" s="21"/>
      <c r="E84" s="53">
        <f ca="1">-$E$19/E73</f>
        <v>0.13259339707563988</v>
      </c>
      <c r="F84" s="53">
        <f ca="1">-$E$19/SUM(E73:F73)</f>
        <v>0.14320169511572114</v>
      </c>
      <c r="G84" s="53">
        <f>+Assumptions!M133</f>
        <v>6.5000000000000002E-2</v>
      </c>
      <c r="H84" s="53"/>
    </row>
    <row r="85" spans="2:18" ht="16" customHeight="1">
      <c r="B85" s="21" t="str">
        <f t="shared" si="8"/>
        <v>Light Industrial</v>
      </c>
      <c r="C85" s="21"/>
      <c r="D85" s="21"/>
      <c r="E85" s="53">
        <f ca="1">-$E$52/E74</f>
        <v>2.1779568781947079E-2</v>
      </c>
      <c r="F85" s="53">
        <f ca="1">-$E$52/SUM(E74:F74)</f>
        <v>2.3522070006887733E-2</v>
      </c>
      <c r="G85" s="53">
        <f>+Assumptions!M134</f>
        <v>5.5E-2</v>
      </c>
      <c r="H85" s="53"/>
    </row>
    <row r="86" spans="2:18" ht="16" customHeight="1">
      <c r="B86" s="21" t="str">
        <f t="shared" si="8"/>
        <v>Parking</v>
      </c>
      <c r="C86" s="21"/>
      <c r="D86" s="21"/>
      <c r="E86" s="53">
        <f ca="1">-$E$20/E75</f>
        <v>0.96835443938748933</v>
      </c>
      <c r="F86" s="53">
        <f ca="1">-$E$20/SUM(E75:F75)</f>
        <v>1.0057268924396641</v>
      </c>
      <c r="G86" s="53">
        <f>+Assumptions!M135</f>
        <v>6.5000000000000002E-2</v>
      </c>
      <c r="H86" s="53"/>
    </row>
    <row r="87" spans="2:18" ht="16" customHeight="1">
      <c r="B87" s="54"/>
      <c r="C87" s="21"/>
      <c r="D87" s="21"/>
      <c r="E87" s="16"/>
      <c r="F87" s="16"/>
      <c r="G87" s="16"/>
      <c r="H87" s="21"/>
    </row>
    <row r="88" spans="2:18" ht="16" customHeight="1">
      <c r="B88" s="54"/>
      <c r="C88" s="21"/>
      <c r="D88" s="21"/>
      <c r="E88" s="239" t="s">
        <v>571</v>
      </c>
    </row>
    <row r="89" spans="2:18" ht="16" customHeight="1">
      <c r="B89" s="21" t="s">
        <v>2</v>
      </c>
      <c r="C89" s="21"/>
      <c r="D89" s="21"/>
      <c r="E89" s="53">
        <v>0.12</v>
      </c>
    </row>
    <row r="90" spans="2:18" ht="16" customHeight="1">
      <c r="B90" s="21" t="s">
        <v>1</v>
      </c>
      <c r="C90" s="21"/>
      <c r="D90" s="21"/>
      <c r="E90" s="53">
        <v>0.185</v>
      </c>
    </row>
    <row r="91" spans="2:18" ht="16" customHeight="1">
      <c r="B91" s="21" t="s">
        <v>246</v>
      </c>
      <c r="C91" s="21" t="s">
        <v>246</v>
      </c>
      <c r="D91" s="21" t="s">
        <v>246</v>
      </c>
      <c r="E91" s="53" t="s">
        <v>246</v>
      </c>
      <c r="F91" s="21" t="s">
        <v>246</v>
      </c>
    </row>
    <row r="96" spans="2:18" ht="16" customHeight="1" thickBot="1">
      <c r="B96" s="54" t="s">
        <v>3</v>
      </c>
      <c r="C96" s="21"/>
      <c r="D96" s="21"/>
      <c r="E96" s="239" t="s">
        <v>567</v>
      </c>
      <c r="F96" s="239" t="s">
        <v>568</v>
      </c>
      <c r="G96" s="239" t="s">
        <v>190</v>
      </c>
      <c r="H96" s="239" t="s">
        <v>52</v>
      </c>
      <c r="J96" s="953" t="s">
        <v>3</v>
      </c>
      <c r="K96" s="953"/>
      <c r="L96" s="953"/>
      <c r="M96" s="953"/>
      <c r="N96" s="953"/>
      <c r="O96" s="953"/>
      <c r="P96" s="953"/>
      <c r="Q96" s="953"/>
      <c r="R96" s="953"/>
    </row>
    <row r="97" spans="1:8" ht="16" customHeight="1">
      <c r="A97" s="100">
        <v>0</v>
      </c>
      <c r="B97" s="21" t="s">
        <v>25</v>
      </c>
      <c r="C97" s="21"/>
      <c r="D97" s="21"/>
      <c r="E97" s="16">
        <f ca="1">-OFFSET(Budget!$Y$83,0,'Loan Sizing'!A97)</f>
        <v>-67724787.90833813</v>
      </c>
      <c r="F97" s="706">
        <f ca="1">+'S&amp;U'!$R$20*'Loan Sizing'!E97/'Loan Sizing'!$E$105+G97</f>
        <v>17819126.187612023</v>
      </c>
      <c r="G97" s="16">
        <f>+'S&amp;U'!$H$20</f>
        <v>5803911.2099087201</v>
      </c>
      <c r="H97" s="22">
        <f ca="1">+Budget!$H$12</f>
        <v>233923</v>
      </c>
    </row>
    <row r="98" spans="1:8" ht="16" customHeight="1">
      <c r="A98" s="100">
        <f>+A97+1</f>
        <v>1</v>
      </c>
      <c r="B98" s="21" t="s">
        <v>27</v>
      </c>
      <c r="C98" s="21"/>
      <c r="D98" s="21"/>
      <c r="E98" s="16">
        <f ca="1">-OFFSET(Budget!$Y$83,0,'Loan Sizing'!A98)</f>
        <v>-101288463.4041945</v>
      </c>
      <c r="F98" s="16">
        <f ca="1">+'S&amp;U'!$R$20*'Loan Sizing'!E98/'Loan Sizing'!$E$105+G98</f>
        <v>17969826.117577195</v>
      </c>
      <c r="G98" s="16">
        <f>+'S&amp;U'!$H$22</f>
        <v>0</v>
      </c>
      <c r="H98" s="22">
        <f ca="1">+Budget!$H$13</f>
        <v>350884</v>
      </c>
    </row>
    <row r="99" spans="1:8" ht="16" customHeight="1">
      <c r="A99" s="100">
        <f t="shared" ref="A99:A104" si="9">+A98+1</f>
        <v>2</v>
      </c>
      <c r="B99" s="21" t="s">
        <v>29</v>
      </c>
      <c r="C99" s="21"/>
      <c r="D99" s="21"/>
      <c r="E99" s="16">
        <f ca="1">-OFFSET(Budget!$Y$83,0,'Loan Sizing'!A99)</f>
        <v>-40514287.862613723</v>
      </c>
      <c r="F99" s="16">
        <f ca="1">+'S&amp;U'!$R$20*'Loan Sizing'!E99/'Loan Sizing'!$E$105+G99</f>
        <v>7187735.7371233245</v>
      </c>
      <c r="G99" s="16">
        <v>0</v>
      </c>
      <c r="H99" s="22">
        <f ca="1">+Budget!$H$14</f>
        <v>149008</v>
      </c>
    </row>
    <row r="100" spans="1:8" ht="16" customHeight="1">
      <c r="A100" s="100">
        <f t="shared" si="9"/>
        <v>3</v>
      </c>
      <c r="B100" s="21" t="s">
        <v>31</v>
      </c>
      <c r="C100" s="21"/>
      <c r="D100" s="21"/>
      <c r="E100" s="16">
        <f ca="1">-OFFSET(Budget!$Y$83,0,'Loan Sizing'!A100)</f>
        <v>-19822766.957136456</v>
      </c>
      <c r="F100" s="16">
        <f ca="1">+'S&amp;U'!$R$20*'Loan Sizing'!E100/'Loan Sizing'!$E$105+G100</f>
        <v>3516804.0210810988</v>
      </c>
      <c r="G100" s="16">
        <v>0</v>
      </c>
      <c r="H100" s="22">
        <f ca="1">+Budget!$H$15</f>
        <v>68945</v>
      </c>
    </row>
    <row r="101" spans="1:8" ht="16" customHeight="1">
      <c r="A101" s="100">
        <f t="shared" si="9"/>
        <v>4</v>
      </c>
      <c r="B101" s="21" t="s">
        <v>143</v>
      </c>
      <c r="C101" s="21"/>
      <c r="D101" s="21"/>
      <c r="E101" s="16">
        <f ca="1">-OFFSET(Budget!$Y$83,0,'Loan Sizing'!A101)</f>
        <v>-8742164.0108358767</v>
      </c>
      <c r="F101" s="16">
        <f ca="1">+'S&amp;U'!$R$20*'Loan Sizing'!E101/'Loan Sizing'!$E$105+G101</f>
        <v>7088968.0163590712</v>
      </c>
      <c r="G101" s="16">
        <f>+'S&amp;U'!$H$21</f>
        <v>5538000</v>
      </c>
      <c r="H101" s="22">
        <f ca="1">+Budget!$H$16</f>
        <v>107898</v>
      </c>
    </row>
    <row r="102" spans="1:8" ht="16" customHeight="1">
      <c r="A102" s="100">
        <f t="shared" si="9"/>
        <v>5</v>
      </c>
      <c r="B102" s="21" t="s">
        <v>35</v>
      </c>
      <c r="C102" s="21"/>
      <c r="D102" s="21"/>
      <c r="E102" s="16">
        <f ca="1">-OFFSET(Budget!$Y$83,0,'Loan Sizing'!A102)</f>
        <v>-84295099.169178128</v>
      </c>
      <c r="F102" s="16">
        <f ca="1">+'S&amp;U'!$R$20*'Loan Sizing'!E102/'Loan Sizing'!$E$105+G102</f>
        <v>14954993.132725596</v>
      </c>
      <c r="G102" s="16">
        <v>0</v>
      </c>
      <c r="H102" s="22">
        <f ca="1">+Budget!$H$17</f>
        <v>312500</v>
      </c>
    </row>
    <row r="103" spans="1:8" ht="16" customHeight="1">
      <c r="A103" s="100">
        <f t="shared" si="9"/>
        <v>6</v>
      </c>
      <c r="B103" s="21" t="s">
        <v>232</v>
      </c>
      <c r="C103" s="21"/>
      <c r="D103" s="21"/>
      <c r="E103" s="16">
        <f ca="1">-OFFSET(Budget!$Y$83,0,'Loan Sizing'!A103)</f>
        <v>-7511978.7772703525</v>
      </c>
      <c r="F103" s="706">
        <f ca="1">+'S&amp;U'!$R$20*'Loan Sizing'!E103/'Loan Sizing'!$E$105+G103</f>
        <v>1332717.9413098716</v>
      </c>
      <c r="G103" s="16">
        <v>0</v>
      </c>
      <c r="H103" s="22">
        <f ca="1">+Budget!$H$18</f>
        <v>37784</v>
      </c>
    </row>
    <row r="104" spans="1:8" ht="16" customHeight="1">
      <c r="A104" s="100">
        <f t="shared" si="9"/>
        <v>7</v>
      </c>
      <c r="B104" s="21" t="s">
        <v>104</v>
      </c>
      <c r="C104" s="21"/>
      <c r="D104" s="21"/>
      <c r="E104" s="16">
        <f ca="1">-Budget!$AF$83-Budget!$AG$83</f>
        <v>-51968305.104197219</v>
      </c>
      <c r="F104" s="706">
        <f ca="1">+'S&amp;U'!$R$20*'Loan Sizing'!E104/'Loan Sizing'!$E$105+G104</f>
        <v>9219820.0561205372</v>
      </c>
      <c r="G104" s="16">
        <v>0</v>
      </c>
      <c r="H104" s="22">
        <f ca="1">+Budget!$H$19+Budget!$H$20</f>
        <v>1092752</v>
      </c>
    </row>
    <row r="105" spans="1:8" ht="16" customHeight="1">
      <c r="B105" s="54" t="s">
        <v>210</v>
      </c>
      <c r="C105" s="21"/>
      <c r="D105" s="21"/>
      <c r="E105" s="16">
        <f ca="1">+SUM(E97:E104)</f>
        <v>-381867853.19376439</v>
      </c>
      <c r="F105" s="16">
        <f ca="1">+SUM(F97:F104)</f>
        <v>79089991.209908724</v>
      </c>
      <c r="G105" s="16">
        <f>+SUM(G97:G104)</f>
        <v>11341911.20990872</v>
      </c>
      <c r="H105" s="21"/>
    </row>
    <row r="106" spans="1:8" ht="16" customHeight="1">
      <c r="B106" s="21"/>
      <c r="C106" s="21"/>
      <c r="D106" s="21"/>
      <c r="E106" s="16"/>
      <c r="F106" s="238"/>
      <c r="G106" s="21"/>
      <c r="H106" s="21"/>
    </row>
    <row r="107" spans="1:8" ht="16" customHeight="1">
      <c r="B107" s="54"/>
      <c r="C107" s="21"/>
      <c r="D107" s="21"/>
      <c r="E107" s="239" t="s">
        <v>11</v>
      </c>
      <c r="F107" s="239" t="s">
        <v>569</v>
      </c>
      <c r="G107" s="239" t="s">
        <v>570</v>
      </c>
      <c r="H107" s="21"/>
    </row>
    <row r="108" spans="1:8" ht="16" customHeight="1">
      <c r="B108" s="21" t="str">
        <f t="shared" ref="B108:B115" si="10">+B97</f>
        <v>Affordable Residential</v>
      </c>
      <c r="C108" s="21"/>
      <c r="D108" s="21"/>
      <c r="E108" s="53">
        <f ca="1">-$F$15/E97</f>
        <v>3.3577224593597222E-3</v>
      </c>
      <c r="F108" s="53">
        <f ca="1">-$F$15/SUM(E97:F97)</f>
        <v>4.5566180985184643E-3</v>
      </c>
      <c r="G108" s="53">
        <f>+$G$79</f>
        <v>5.7500000000000002E-2</v>
      </c>
      <c r="H108" s="53"/>
    </row>
    <row r="109" spans="1:8" ht="16" customHeight="1">
      <c r="B109" s="21" t="str">
        <f t="shared" si="10"/>
        <v>Market Rate Residential</v>
      </c>
      <c r="C109" s="21"/>
      <c r="D109" s="21"/>
      <c r="E109" s="53">
        <f ca="1">-$F$16/E98</f>
        <v>-3.0444950729537328E-3</v>
      </c>
      <c r="F109" s="53">
        <f ca="1">-$F$16/SUM(E98:F98)</f>
        <v>-3.7011194352629621E-3</v>
      </c>
      <c r="G109" s="53">
        <f>+$G$80</f>
        <v>5.5E-2</v>
      </c>
      <c r="H109" s="53"/>
    </row>
    <row r="110" spans="1:8" ht="16" customHeight="1">
      <c r="B110" s="21" t="str">
        <f t="shared" si="10"/>
        <v>Retail</v>
      </c>
      <c r="C110" s="21"/>
      <c r="D110" s="21"/>
      <c r="E110" s="53">
        <f ca="1">-$F$17/E99</f>
        <v>0.15027809265351774</v>
      </c>
      <c r="F110" s="53">
        <f ca="1">-$F$17/SUM(E99:F99)</f>
        <v>0.18268946281281609</v>
      </c>
      <c r="G110" s="53">
        <f>+$G$81</f>
        <v>0.06</v>
      </c>
      <c r="H110" s="53"/>
    </row>
    <row r="111" spans="1:8" ht="16" customHeight="1">
      <c r="B111" s="21" t="str">
        <f t="shared" si="10"/>
        <v>Hotel</v>
      </c>
      <c r="C111" s="21"/>
      <c r="D111" s="21"/>
      <c r="E111" s="53">
        <f ca="1">-$F$36/E100</f>
        <v>0.18422592544788174</v>
      </c>
      <c r="F111" s="53">
        <f ca="1">-$F$36/SUM(E100:F100)</f>
        <v>0.22395902664179568</v>
      </c>
      <c r="G111" s="53">
        <f>+$G$82</f>
        <v>6.5000000000000002E-2</v>
      </c>
      <c r="H111" s="53"/>
    </row>
    <row r="112" spans="1:8" ht="16" customHeight="1">
      <c r="B112" s="21" t="s">
        <v>143</v>
      </c>
      <c r="C112" s="21"/>
      <c r="D112" s="21"/>
      <c r="E112" s="53">
        <f ca="1">-$F$18/E101</f>
        <v>1.0866874595076376E-7</v>
      </c>
      <c r="F112" s="53">
        <f ca="1">-$F$18/SUM(E101:F101)</f>
        <v>5.7464450865312239E-7</v>
      </c>
      <c r="G112" s="53">
        <f>+$G$83</f>
        <v>6.7500000000000004E-2</v>
      </c>
      <c r="H112" s="53"/>
    </row>
    <row r="113" spans="1:18" ht="16" customHeight="1">
      <c r="B113" s="21" t="str">
        <f t="shared" si="10"/>
        <v>Office</v>
      </c>
      <c r="C113" s="21"/>
      <c r="D113" s="21"/>
      <c r="E113" s="53">
        <f ca="1">-$F$19/E102</f>
        <v>0.13469754721104391</v>
      </c>
      <c r="F113" s="53">
        <f ca="1">-$F$19/SUM(E102:F102)</f>
        <v>0.1637485684551874</v>
      </c>
      <c r="G113" s="53">
        <f>+$G$84</f>
        <v>6.5000000000000002E-2</v>
      </c>
      <c r="H113" s="53"/>
    </row>
    <row r="114" spans="1:18" ht="16" customHeight="1">
      <c r="B114" s="21" t="str">
        <f>+B103</f>
        <v>Light Industrial</v>
      </c>
      <c r="C114" s="21"/>
      <c r="D114" s="21"/>
      <c r="E114" s="53">
        <v>0</v>
      </c>
      <c r="F114" s="53">
        <v>0</v>
      </c>
      <c r="G114" s="53">
        <v>0</v>
      </c>
      <c r="H114" s="53"/>
    </row>
    <row r="115" spans="1:18" ht="16" customHeight="1">
      <c r="B115" s="21" t="str">
        <f t="shared" si="10"/>
        <v>Parking</v>
      </c>
      <c r="C115" s="21"/>
      <c r="D115" s="21"/>
      <c r="E115" s="53">
        <f ca="1">-$F$20/E104</f>
        <v>8.9190534487672155E-2</v>
      </c>
      <c r="F115" s="53">
        <f ca="1">-$F$20/SUM(E104:F104)</f>
        <v>0.10842678760309214</v>
      </c>
      <c r="G115" s="53">
        <f>+$G$86</f>
        <v>6.5000000000000002E-2</v>
      </c>
      <c r="H115" s="53"/>
    </row>
    <row r="116" spans="1:18" ht="16" customHeight="1">
      <c r="B116" s="54"/>
      <c r="C116" s="21"/>
      <c r="D116" s="21"/>
      <c r="E116" s="16"/>
      <c r="F116" s="16"/>
      <c r="G116" s="16"/>
      <c r="H116" s="21"/>
    </row>
    <row r="117" spans="1:18" ht="16" customHeight="1">
      <c r="B117" s="54"/>
      <c r="C117" s="21"/>
      <c r="D117" s="21"/>
      <c r="E117" s="239" t="s">
        <v>571</v>
      </c>
    </row>
    <row r="118" spans="1:18" ht="16" customHeight="1">
      <c r="B118" s="21" t="s">
        <v>2</v>
      </c>
      <c r="C118" s="21"/>
      <c r="D118" s="21"/>
      <c r="E118" s="53">
        <v>0.1</v>
      </c>
    </row>
    <row r="119" spans="1:18" ht="16" customHeight="1">
      <c r="B119" s="21" t="s">
        <v>1</v>
      </c>
      <c r="C119" s="21"/>
      <c r="D119" s="21"/>
      <c r="E119" s="53">
        <v>0.124</v>
      </c>
    </row>
    <row r="120" spans="1:18" ht="16" customHeight="1">
      <c r="B120" s="21" t="s">
        <v>246</v>
      </c>
      <c r="C120" s="21" t="s">
        <v>246</v>
      </c>
      <c r="D120" s="21" t="s">
        <v>246</v>
      </c>
      <c r="E120" s="53" t="s">
        <v>246</v>
      </c>
      <c r="F120" s="21" t="s">
        <v>246</v>
      </c>
    </row>
    <row r="125" spans="1:18" ht="16" customHeight="1" thickBot="1">
      <c r="B125" s="54" t="s">
        <v>4</v>
      </c>
      <c r="C125" s="21"/>
      <c r="D125" s="21"/>
      <c r="E125" s="239" t="s">
        <v>567</v>
      </c>
      <c r="F125" s="239" t="s">
        <v>568</v>
      </c>
      <c r="G125" s="239" t="s">
        <v>190</v>
      </c>
      <c r="H125" s="239" t="s">
        <v>52</v>
      </c>
      <c r="J125" s="953" t="s">
        <v>4</v>
      </c>
      <c r="K125" s="953"/>
      <c r="L125" s="953"/>
      <c r="M125" s="953"/>
      <c r="N125" s="953"/>
      <c r="O125" s="953"/>
      <c r="P125" s="953"/>
      <c r="Q125" s="953"/>
      <c r="R125" s="953"/>
    </row>
    <row r="126" spans="1:18" ht="16" customHeight="1">
      <c r="A126" s="100">
        <v>0</v>
      </c>
      <c r="B126" s="21" t="s">
        <v>25</v>
      </c>
      <c r="C126" s="21"/>
      <c r="D126" s="21"/>
      <c r="E126" s="16">
        <f ca="1">-OFFSET(Budget!$AJ$83,0,'Loan Sizing'!A126)</f>
        <v>-73479948.760762349</v>
      </c>
      <c r="F126" s="238">
        <f ca="1">+'S&amp;U'!$S$20*'Loan Sizing'!E126/'Loan Sizing'!$E$134+G126</f>
        <v>46604487.755223408</v>
      </c>
      <c r="G126" s="16">
        <f>+'S&amp;U'!$I$20</f>
        <v>44981034.314584278</v>
      </c>
      <c r="H126" s="22">
        <f ca="1">+Budget!$I$12</f>
        <v>230558</v>
      </c>
    </row>
    <row r="127" spans="1:18" ht="16" customHeight="1">
      <c r="A127" s="100">
        <f>+A126+1</f>
        <v>1</v>
      </c>
      <c r="B127" s="21" t="s">
        <v>27</v>
      </c>
      <c r="C127" s="21"/>
      <c r="D127" s="21"/>
      <c r="E127" s="16">
        <f ca="1">-OFFSET(Budget!$AJ$83,0,'Loan Sizing'!A127)</f>
        <v>-112450589.67186163</v>
      </c>
      <c r="F127" s="16">
        <f ca="1">+'S&amp;U'!$S$20*'Loan Sizing'!E127/'Loan Sizing'!$E$134+G127</f>
        <v>2484464.126384466</v>
      </c>
      <c r="G127" s="16">
        <f>+'S&amp;U'!$I$22</f>
        <v>0</v>
      </c>
      <c r="H127" s="22">
        <f ca="1">+Budget!$I$13</f>
        <v>345836</v>
      </c>
    </row>
    <row r="128" spans="1:18" ht="16" customHeight="1">
      <c r="A128" s="100">
        <f t="shared" ref="A128:A133" si="11">+A127+1</f>
        <v>2</v>
      </c>
      <c r="B128" s="21" t="s">
        <v>29</v>
      </c>
      <c r="C128" s="21"/>
      <c r="D128" s="21"/>
      <c r="E128" s="16">
        <f ca="1">-OFFSET(Budget!$AJ$83,0,'Loan Sizing'!A128)</f>
        <v>-36025456.327178471</v>
      </c>
      <c r="F128" s="16">
        <f ca="1">+'S&amp;U'!$S$20*'Loan Sizing'!E128/'Loan Sizing'!$E$134+G128</f>
        <v>795940.28046170087</v>
      </c>
      <c r="G128" s="16">
        <v>0</v>
      </c>
      <c r="H128" s="22">
        <f ca="1">+Budget!$I$14</f>
        <v>119723</v>
      </c>
    </row>
    <row r="129" spans="1:8" ht="16" customHeight="1">
      <c r="A129" s="100">
        <f t="shared" si="11"/>
        <v>3</v>
      </c>
      <c r="B129" s="21" t="s">
        <v>31</v>
      </c>
      <c r="C129" s="21"/>
      <c r="D129" s="21"/>
      <c r="E129" s="16">
        <f ca="1">-OFFSET(Budget!$AJ$83,0,'Loan Sizing'!A129)</f>
        <v>0</v>
      </c>
      <c r="F129" s="16">
        <f ca="1">+'S&amp;U'!$S$20*'Loan Sizing'!E129/'Loan Sizing'!$E$134+G129</f>
        <v>0</v>
      </c>
      <c r="G129" s="16">
        <v>0</v>
      </c>
      <c r="H129" s="22">
        <f ca="1">+Budget!$I$15</f>
        <v>0</v>
      </c>
    </row>
    <row r="130" spans="1:8" ht="16" customHeight="1">
      <c r="A130" s="100">
        <f t="shared" si="11"/>
        <v>4</v>
      </c>
      <c r="B130" s="21" t="s">
        <v>143</v>
      </c>
      <c r="C130" s="21"/>
      <c r="D130" s="21"/>
      <c r="E130" s="16">
        <f ca="1">-OFFSET(Budget!$AJ$83,0,'Loan Sizing'!A130)</f>
        <v>0</v>
      </c>
      <c r="F130" s="16">
        <f ca="1">+'S&amp;U'!$S$20*'Loan Sizing'!E130/'Loan Sizing'!$E$134+G130</f>
        <v>6.2400000000000012E-5</v>
      </c>
      <c r="G130" s="16">
        <f>+'S&amp;U'!$I$21</f>
        <v>6.2400000000000012E-5</v>
      </c>
      <c r="H130" s="22">
        <f ca="1">+Budget!$I$16</f>
        <v>0</v>
      </c>
    </row>
    <row r="131" spans="1:8" ht="16" customHeight="1">
      <c r="A131" s="100">
        <f t="shared" si="11"/>
        <v>5</v>
      </c>
      <c r="B131" s="21" t="s">
        <v>35</v>
      </c>
      <c r="C131" s="21"/>
      <c r="D131" s="21"/>
      <c r="E131" s="16">
        <f ca="1">-OFFSET(Budget!$AJ$83,0,'Loan Sizing'!A131)</f>
        <v>-91733336.597105131</v>
      </c>
      <c r="F131" s="16">
        <f ca="1">+'S&amp;U'!$S$20*'Loan Sizing'!E131/'Loan Sizing'!$E$134+G131</f>
        <v>2026740.6745852586</v>
      </c>
      <c r="G131" s="16">
        <v>0</v>
      </c>
      <c r="H131" s="22">
        <f ca="1">+Budget!$I$17</f>
        <v>312500</v>
      </c>
    </row>
    <row r="132" spans="1:8" ht="16" customHeight="1">
      <c r="A132" s="100">
        <f t="shared" si="11"/>
        <v>6</v>
      </c>
      <c r="B132" s="21" t="s">
        <v>232</v>
      </c>
      <c r="C132" s="21"/>
      <c r="D132" s="21"/>
      <c r="E132" s="16">
        <f ca="1">-OFFSET(Budget!$AJ$83,0,'Loan Sizing'!A132)</f>
        <v>-2.9966335991125142E-6</v>
      </c>
      <c r="F132" s="16">
        <f ca="1">+'S&amp;U'!$S$20*'Loan Sizing'!E132/'Loan Sizing'!$E$134+G132</f>
        <v>6.6207111039955455E-8</v>
      </c>
      <c r="G132" s="16">
        <v>0</v>
      </c>
      <c r="H132" s="22">
        <f ca="1">+Budget!$I$18</f>
        <v>0</v>
      </c>
    </row>
    <row r="133" spans="1:8" ht="16" customHeight="1">
      <c r="A133" s="100">
        <f t="shared" si="11"/>
        <v>7</v>
      </c>
      <c r="B133" s="21" t="s">
        <v>104</v>
      </c>
      <c r="C133" s="21"/>
      <c r="D133" s="21"/>
      <c r="E133" s="16">
        <f ca="1">-Budget!AQ83-Budget!AR83</f>
        <v>-16780996.805332609</v>
      </c>
      <c r="F133" s="16">
        <f ca="1">+'S&amp;U'!$S$20*'Loan Sizing'!E133/'Loan Sizing'!$E$134+G133</f>
        <v>370756.47792937874</v>
      </c>
      <c r="G133" s="16">
        <v>0</v>
      </c>
      <c r="H133" s="22">
        <f ca="1">+Budget!$I$19+Budget!$I$20</f>
        <v>105428</v>
      </c>
    </row>
    <row r="134" spans="1:8" ht="16" customHeight="1">
      <c r="B134" s="54" t="s">
        <v>210</v>
      </c>
      <c r="C134" s="21"/>
      <c r="D134" s="21"/>
      <c r="E134" s="16">
        <f ca="1">+SUM(E126:E133)</f>
        <v>-330470328.16224319</v>
      </c>
      <c r="F134" s="16">
        <f ca="1">+SUM(F126:F133)</f>
        <v>52282389.314646676</v>
      </c>
      <c r="G134" s="16">
        <f>+SUM(G126:G133)</f>
        <v>44981034.314646676</v>
      </c>
      <c r="H134" s="21"/>
    </row>
    <row r="135" spans="1:8" ht="16" customHeight="1">
      <c r="B135" s="21"/>
      <c r="C135" s="21"/>
      <c r="D135" s="21"/>
      <c r="E135" s="16"/>
      <c r="F135" s="238"/>
      <c r="G135" s="21"/>
      <c r="H135" s="21"/>
    </row>
    <row r="136" spans="1:8" ht="16" customHeight="1">
      <c r="B136" s="54"/>
      <c r="C136" s="21"/>
      <c r="D136" s="21"/>
      <c r="E136" s="239" t="s">
        <v>11</v>
      </c>
      <c r="F136" s="239" t="s">
        <v>569</v>
      </c>
      <c r="G136" s="239" t="s">
        <v>570</v>
      </c>
      <c r="H136" s="21"/>
    </row>
    <row r="137" spans="1:8" ht="16" customHeight="1">
      <c r="B137" s="21" t="str">
        <f t="shared" ref="B137:B144" si="12">+B126</f>
        <v>Affordable Residential</v>
      </c>
      <c r="C137" s="21"/>
      <c r="D137" s="21"/>
      <c r="E137" s="53">
        <f ca="1">-$G$15/E126</f>
        <v>2.4455283653924745E-2</v>
      </c>
      <c r="F137" s="53">
        <f ca="1">-$G$15/SUM(E126:F126)</f>
        <v>6.6862964302266278E-2</v>
      </c>
      <c r="G137" s="53">
        <f>+$G$79</f>
        <v>5.7500000000000002E-2</v>
      </c>
      <c r="H137" s="53"/>
    </row>
    <row r="138" spans="1:8" ht="16" customHeight="1">
      <c r="B138" s="21" t="str">
        <f t="shared" si="12"/>
        <v>Market Rate Residential</v>
      </c>
      <c r="C138" s="21"/>
      <c r="D138" s="21"/>
      <c r="E138" s="53">
        <f ca="1">-$G$16/E127</f>
        <v>7.4817346331851095E-2</v>
      </c>
      <c r="F138" s="53">
        <f ca="1">-$G$16/SUM(E127:F127)</f>
        <v>7.650769426464149E-2</v>
      </c>
      <c r="G138" s="53">
        <f>+$G$80</f>
        <v>5.5E-2</v>
      </c>
      <c r="H138" s="53"/>
    </row>
    <row r="139" spans="1:8" ht="16" customHeight="1">
      <c r="B139" s="21" t="str">
        <f t="shared" si="12"/>
        <v>Retail</v>
      </c>
      <c r="C139" s="21"/>
      <c r="D139" s="21"/>
      <c r="E139" s="53">
        <f ca="1">-$G$17/E128</f>
        <v>0.19491216719267748</v>
      </c>
      <c r="F139" s="53">
        <f ca="1">-$G$17/SUM(E128:F128)</f>
        <v>0.1993158168146312</v>
      </c>
      <c r="G139" s="53">
        <f>+$G$81</f>
        <v>0.06</v>
      </c>
      <c r="H139" s="53"/>
    </row>
    <row r="140" spans="1:8" ht="16" customHeight="1">
      <c r="B140" s="21" t="str">
        <f t="shared" si="12"/>
        <v>Hotel</v>
      </c>
      <c r="C140" s="21"/>
      <c r="D140" s="21"/>
      <c r="E140" s="53">
        <v>0</v>
      </c>
      <c r="F140" s="53">
        <v>0</v>
      </c>
      <c r="G140" s="53">
        <f>+$G$82</f>
        <v>6.5000000000000002E-2</v>
      </c>
      <c r="H140" s="53"/>
    </row>
    <row r="141" spans="1:8" ht="16" customHeight="1">
      <c r="B141" s="21" t="s">
        <v>143</v>
      </c>
      <c r="C141" s="21"/>
      <c r="D141" s="21"/>
      <c r="E141" s="362">
        <v>0</v>
      </c>
      <c r="F141" s="53">
        <v>0</v>
      </c>
      <c r="G141" s="53">
        <v>0</v>
      </c>
      <c r="H141" s="53"/>
    </row>
    <row r="142" spans="1:8" ht="16" customHeight="1">
      <c r="B142" s="21" t="str">
        <f t="shared" si="12"/>
        <v>Office</v>
      </c>
      <c r="C142" s="21"/>
      <c r="D142" s="21"/>
      <c r="E142" s="53">
        <f ca="1">-$G$19/E131</f>
        <v>0.12812345932149344</v>
      </c>
      <c r="F142" s="53">
        <f ca="1">-$G$19/SUM(E131:F131)</f>
        <v>0.13101815199938438</v>
      </c>
      <c r="G142" s="53">
        <f>+$G$84</f>
        <v>6.5000000000000002E-2</v>
      </c>
      <c r="H142" s="53"/>
    </row>
    <row r="143" spans="1:8" ht="16" customHeight="1">
      <c r="B143" s="21" t="str">
        <f t="shared" si="12"/>
        <v>Light Industrial</v>
      </c>
      <c r="C143" s="21"/>
      <c r="D143" s="21"/>
      <c r="E143" s="53">
        <v>0</v>
      </c>
      <c r="F143" s="53">
        <v>0</v>
      </c>
      <c r="G143" s="53">
        <v>0</v>
      </c>
      <c r="H143" s="53"/>
    </row>
    <row r="144" spans="1:8" ht="16" customHeight="1">
      <c r="B144" s="21" t="str">
        <f t="shared" si="12"/>
        <v>Parking</v>
      </c>
      <c r="C144" s="21"/>
      <c r="D144" s="21"/>
      <c r="E144" s="53">
        <f ca="1">-$F$20/E133</f>
        <v>0.27621010613558128</v>
      </c>
      <c r="F144" s="53">
        <f ca="1">-$G$20/SUM(E133:F133)</f>
        <v>3.9407597669795319E-2</v>
      </c>
      <c r="G144" s="53">
        <f>+$G$86</f>
        <v>6.5000000000000002E-2</v>
      </c>
      <c r="H144" s="53"/>
    </row>
    <row r="145" spans="1:20" ht="16" customHeight="1">
      <c r="B145" s="54"/>
      <c r="C145" s="21"/>
      <c r="D145" s="21"/>
      <c r="E145" s="16"/>
      <c r="F145" s="16"/>
      <c r="G145" s="16"/>
      <c r="H145" s="21"/>
    </row>
    <row r="146" spans="1:20" ht="16" customHeight="1">
      <c r="B146" s="54"/>
      <c r="C146" s="21"/>
      <c r="D146" s="21"/>
      <c r="E146" s="239" t="s">
        <v>571</v>
      </c>
    </row>
    <row r="147" spans="1:20" ht="16" customHeight="1">
      <c r="B147" s="21" t="s">
        <v>2</v>
      </c>
      <c r="C147" s="21"/>
      <c r="D147" s="21"/>
      <c r="E147" s="53">
        <v>0.151</v>
      </c>
    </row>
    <row r="148" spans="1:20" ht="16" customHeight="1">
      <c r="B148" s="21" t="s">
        <v>1</v>
      </c>
      <c r="C148" s="21"/>
      <c r="D148" s="21"/>
      <c r="E148" s="53">
        <v>0.248</v>
      </c>
    </row>
    <row r="149" spans="1:20" ht="16" customHeight="1">
      <c r="B149" s="21" t="s">
        <v>246</v>
      </c>
      <c r="C149" s="21"/>
      <c r="D149" s="21"/>
      <c r="E149" s="53"/>
    </row>
    <row r="153" spans="1:20" ht="16" customHeight="1">
      <c r="T153" t="s">
        <v>246</v>
      </c>
    </row>
    <row r="154" spans="1:20" ht="16" customHeight="1" thickBot="1">
      <c r="B154" s="54" t="s">
        <v>5</v>
      </c>
      <c r="C154" s="21"/>
      <c r="D154" s="21"/>
      <c r="E154" s="239" t="s">
        <v>567</v>
      </c>
      <c r="F154" s="239" t="s">
        <v>568</v>
      </c>
      <c r="G154" s="239" t="s">
        <v>190</v>
      </c>
      <c r="H154" s="239" t="s">
        <v>52</v>
      </c>
      <c r="J154" s="953" t="s">
        <v>5</v>
      </c>
      <c r="K154" s="953"/>
      <c r="L154" s="953"/>
      <c r="M154" s="953"/>
      <c r="N154" s="953"/>
      <c r="O154" s="953"/>
      <c r="P154" s="953"/>
      <c r="Q154" s="953"/>
      <c r="R154" s="953"/>
    </row>
    <row r="155" spans="1:20" ht="16" customHeight="1">
      <c r="A155" s="100">
        <v>0</v>
      </c>
      <c r="B155" s="21" t="s">
        <v>25</v>
      </c>
      <c r="C155" s="21"/>
      <c r="D155" s="21"/>
      <c r="E155" s="16">
        <f ca="1">-OFFSET(Budget!$AU$83,0,'Loan Sizing'!A155)</f>
        <v>-133521742.74481012</v>
      </c>
      <c r="F155" s="706">
        <f ca="1">+'S&amp;U'!$T$20*'Loan Sizing'!E155/'Loan Sizing'!$E$163+G155</f>
        <v>67902800.082715362</v>
      </c>
      <c r="G155" s="16">
        <f>+'S&amp;U'!$J$20</f>
        <v>67049565.333048873</v>
      </c>
      <c r="H155" s="22">
        <f ca="1">+Budget!$J$12</f>
        <v>550549</v>
      </c>
    </row>
    <row r="156" spans="1:20" ht="16" customHeight="1">
      <c r="A156" s="100">
        <f>+A155+1</f>
        <v>1</v>
      </c>
      <c r="B156" s="21" t="s">
        <v>27</v>
      </c>
      <c r="C156" s="21"/>
      <c r="D156" s="21"/>
      <c r="E156" s="16">
        <f ca="1">-OFFSET(Budget!$AU$83,0,'Loan Sizing'!A156)</f>
        <v>-201199006.65513781</v>
      </c>
      <c r="F156" s="16">
        <f ca="1">+'S&amp;U'!$T$20*'Loan Sizing'!E156/'Loan Sizing'!$E$163+G156</f>
        <v>1285708.0842978728</v>
      </c>
      <c r="G156" s="16">
        <f>+'S&amp;U'!$J$22</f>
        <v>0</v>
      </c>
      <c r="H156" s="22">
        <f ca="1">+Budget!$J$13</f>
        <v>825573</v>
      </c>
    </row>
    <row r="157" spans="1:20" ht="16" customHeight="1">
      <c r="A157" s="100">
        <f t="shared" ref="A157:A162" si="13">+A156+1</f>
        <v>2</v>
      </c>
      <c r="B157" s="21" t="s">
        <v>29</v>
      </c>
      <c r="C157" s="21"/>
      <c r="D157" s="21"/>
      <c r="E157" s="16">
        <f ca="1">-OFFSET(Budget!$AU$83,0,'Loan Sizing'!A157)</f>
        <v>-13938856.155767744</v>
      </c>
      <c r="F157" s="706">
        <f ca="1">+'S&amp;U'!$T$20*'Loan Sizing'!E157/'Loan Sizing'!$E$163+G157</f>
        <v>89072.5075797889</v>
      </c>
      <c r="G157" s="16">
        <v>0</v>
      </c>
      <c r="H157" s="22">
        <f ca="1">+Budget!$J$14</f>
        <v>66084</v>
      </c>
    </row>
    <row r="158" spans="1:20" ht="16" customHeight="1">
      <c r="A158" s="100">
        <f t="shared" si="13"/>
        <v>3</v>
      </c>
      <c r="B158" s="21" t="s">
        <v>31</v>
      </c>
      <c r="C158" s="21"/>
      <c r="D158" s="21"/>
      <c r="E158" s="16">
        <f ca="1">-OFFSET(Budget!$AU$83,0,'Loan Sizing'!A158)</f>
        <v>0</v>
      </c>
      <c r="F158" s="16">
        <f ca="1">+'S&amp;U'!$T$20*'Loan Sizing'!E158/'Loan Sizing'!$E$163+G158</f>
        <v>0</v>
      </c>
      <c r="G158" s="16">
        <v>0</v>
      </c>
      <c r="H158" s="22">
        <f ca="1">+Budget!$J$15</f>
        <v>0</v>
      </c>
    </row>
    <row r="159" spans="1:20" ht="16" customHeight="1">
      <c r="A159" s="100">
        <f t="shared" si="13"/>
        <v>4</v>
      </c>
      <c r="B159" s="21" t="s">
        <v>143</v>
      </c>
      <c r="C159" s="21"/>
      <c r="D159" s="21"/>
      <c r="E159" s="16">
        <f ca="1">-OFFSET(Budget!$AU$83,0,'Loan Sizing'!A159)</f>
        <v>0</v>
      </c>
      <c r="F159" s="16">
        <f ca="1">+'S&amp;U'!$T$20*'Loan Sizing'!E159/'Loan Sizing'!$E$163+G159</f>
        <v>5538000</v>
      </c>
      <c r="G159" s="16">
        <f>+'S&amp;U'!$J$21</f>
        <v>5538000</v>
      </c>
      <c r="H159" s="22">
        <f ca="1">+Budget!$J$16</f>
        <v>0</v>
      </c>
    </row>
    <row r="160" spans="1:20" ht="16" customHeight="1">
      <c r="A160" s="100">
        <f t="shared" si="13"/>
        <v>5</v>
      </c>
      <c r="B160" s="21" t="s">
        <v>35</v>
      </c>
      <c r="C160" s="21"/>
      <c r="D160" s="21"/>
      <c r="E160" s="16">
        <f ca="1">-OFFSET(Budget!$AU$83,0,'Loan Sizing'!A160)</f>
        <v>0</v>
      </c>
      <c r="F160" s="16">
        <f ca="1">+'S&amp;U'!$T$20*'Loan Sizing'!E160/'Loan Sizing'!$E$163+G160</f>
        <v>0</v>
      </c>
      <c r="G160" s="16">
        <v>0</v>
      </c>
      <c r="H160" s="22">
        <f ca="1">+Budget!$J$17</f>
        <v>0</v>
      </c>
    </row>
    <row r="161" spans="1:8" ht="16" customHeight="1">
      <c r="A161" s="100">
        <f t="shared" si="13"/>
        <v>6</v>
      </c>
      <c r="B161" s="21" t="s">
        <v>332</v>
      </c>
      <c r="C161" s="21"/>
      <c r="D161" s="21"/>
      <c r="E161" s="16">
        <f ca="1">-OFFSET(Budget!$AU$83,0,'Loan Sizing'!A161)</f>
        <v>0</v>
      </c>
      <c r="F161" s="16">
        <f ca="1">+'S&amp;U'!$T$20*'Loan Sizing'!E161/'Loan Sizing'!$E$163+G161</f>
        <v>0</v>
      </c>
      <c r="G161" s="16">
        <v>0</v>
      </c>
      <c r="H161" s="22">
        <f ca="1">+Budget!$J$18</f>
        <v>0</v>
      </c>
    </row>
    <row r="162" spans="1:8" ht="16" customHeight="1">
      <c r="A162" s="100">
        <f t="shared" si="13"/>
        <v>7</v>
      </c>
      <c r="B162" s="21" t="s">
        <v>104</v>
      </c>
      <c r="C162" s="21"/>
      <c r="D162" s="21"/>
      <c r="E162" s="16">
        <f ca="1">-Budget!BB83-Budget!BC83</f>
        <v>-15367153.692573933</v>
      </c>
      <c r="F162" s="16">
        <f ca="1">+'S&amp;U'!$T$20*'Loan Sizing'!E162/'Loan Sizing'!$E$163+G162</f>
        <v>98199.658455846991</v>
      </c>
      <c r="G162" s="16">
        <v>0</v>
      </c>
      <c r="H162" s="22">
        <f ca="1">+Budget!$J$19+Budget!$J$20</f>
        <v>198044</v>
      </c>
    </row>
    <row r="163" spans="1:8" ht="16" customHeight="1">
      <c r="B163" s="54" t="s">
        <v>210</v>
      </c>
      <c r="C163" s="21"/>
      <c r="D163" s="21"/>
      <c r="E163" s="16">
        <f ca="1">+SUM(E155:E162)</f>
        <v>-364026759.24828959</v>
      </c>
      <c r="F163" s="16">
        <f ca="1">+SUM(F155:F162)</f>
        <v>74913780.333048865</v>
      </c>
      <c r="G163" s="16">
        <f>+SUM(G155:G162)</f>
        <v>72587565.33304888</v>
      </c>
      <c r="H163" s="21"/>
    </row>
    <row r="164" spans="1:8" ht="16" customHeight="1">
      <c r="B164" s="21"/>
      <c r="C164" s="21"/>
      <c r="D164" s="21"/>
      <c r="E164" s="16"/>
      <c r="F164" s="238"/>
      <c r="G164" s="21"/>
      <c r="H164" s="21"/>
    </row>
    <row r="165" spans="1:8" ht="16" customHeight="1">
      <c r="B165" s="54"/>
      <c r="C165" s="21"/>
      <c r="D165" s="21"/>
      <c r="E165" s="239" t="s">
        <v>11</v>
      </c>
      <c r="F165" s="239" t="s">
        <v>569</v>
      </c>
      <c r="G165" s="239" t="s">
        <v>570</v>
      </c>
      <c r="H165" s="21"/>
    </row>
    <row r="166" spans="1:8" ht="16" customHeight="1">
      <c r="B166" s="21" t="str">
        <f t="shared" ref="B166:B173" si="14">+B155</f>
        <v>Affordable Residential</v>
      </c>
      <c r="C166" s="21"/>
      <c r="D166" s="21"/>
      <c r="E166" s="53">
        <f ca="1">-$H$15/E155</f>
        <v>2.0455149429676377E-2</v>
      </c>
      <c r="F166" s="53">
        <f ca="1">-$H$15/SUM(E155:F155)</f>
        <v>4.1622237255791686E-2</v>
      </c>
      <c r="G166" s="53">
        <f>+$G$79</f>
        <v>5.7500000000000002E-2</v>
      </c>
      <c r="H166" s="53"/>
    </row>
    <row r="167" spans="1:8" ht="16" customHeight="1">
      <c r="B167" s="21" t="str">
        <f t="shared" si="14"/>
        <v>Market Rate Residential</v>
      </c>
      <c r="C167" s="21"/>
      <c r="D167" s="21"/>
      <c r="E167" s="53">
        <f ca="1">-$H$16/E156</f>
        <v>6.5256959097777234E-2</v>
      </c>
      <c r="F167" s="53">
        <f ca="1">-$H$16/SUM(E156:F156)</f>
        <v>6.567664803527419E-2</v>
      </c>
      <c r="G167" s="53">
        <f>+$G$80</f>
        <v>5.5E-2</v>
      </c>
      <c r="H167" s="53"/>
    </row>
    <row r="168" spans="1:8" ht="16" customHeight="1">
      <c r="B168" s="21" t="str">
        <f t="shared" si="14"/>
        <v>Retail</v>
      </c>
      <c r="C168" s="21"/>
      <c r="D168" s="21"/>
      <c r="E168" s="53">
        <f ca="1">-$H$17/E157</f>
        <v>0.28489890777632032</v>
      </c>
      <c r="F168" s="53">
        <f ca="1">-$H$17/SUM(E157:F157)</f>
        <v>0.28673118622679994</v>
      </c>
      <c r="G168" s="53">
        <f>+$G$81</f>
        <v>0.06</v>
      </c>
      <c r="H168" s="53"/>
    </row>
    <row r="169" spans="1:8" ht="16" customHeight="1">
      <c r="B169" s="21" t="str">
        <f t="shared" si="14"/>
        <v>Hotel</v>
      </c>
      <c r="C169" s="21"/>
      <c r="D169" s="21"/>
      <c r="E169" s="53">
        <v>0</v>
      </c>
      <c r="F169" s="53">
        <v>0</v>
      </c>
      <c r="G169" s="53">
        <f>+$G$82</f>
        <v>6.5000000000000002E-2</v>
      </c>
      <c r="H169" s="53"/>
    </row>
    <row r="170" spans="1:8" ht="16" customHeight="1">
      <c r="B170" s="21" t="s">
        <v>143</v>
      </c>
      <c r="C170" s="21"/>
      <c r="D170" s="21"/>
      <c r="E170" s="53">
        <v>0</v>
      </c>
      <c r="F170" s="53">
        <f ca="1">-$H$18/SUM(E159:F159)</f>
        <v>0</v>
      </c>
      <c r="G170" s="53">
        <f>+$G$83</f>
        <v>6.7500000000000004E-2</v>
      </c>
      <c r="H170" s="53"/>
    </row>
    <row r="171" spans="1:8" ht="16" customHeight="1">
      <c r="B171" s="21" t="str">
        <f t="shared" si="14"/>
        <v>Office</v>
      </c>
      <c r="C171" s="21"/>
      <c r="D171" s="21"/>
      <c r="E171" s="53">
        <v>0</v>
      </c>
      <c r="F171" s="53">
        <v>0</v>
      </c>
      <c r="G171" s="53">
        <f>+$G$84</f>
        <v>6.5000000000000002E-2</v>
      </c>
      <c r="H171" s="53"/>
    </row>
    <row r="172" spans="1:8" ht="16" customHeight="1">
      <c r="B172" s="21" t="str">
        <f t="shared" si="14"/>
        <v>Industrial</v>
      </c>
      <c r="C172" s="21"/>
      <c r="D172" s="21"/>
      <c r="E172" s="53">
        <v>0</v>
      </c>
      <c r="F172" s="53">
        <v>0</v>
      </c>
      <c r="G172" s="53">
        <f>+$G$85</f>
        <v>5.5E-2</v>
      </c>
      <c r="H172" s="53"/>
    </row>
    <row r="173" spans="1:8" ht="16" customHeight="1">
      <c r="B173" s="21" t="str">
        <f t="shared" si="14"/>
        <v>Parking</v>
      </c>
      <c r="C173" s="21"/>
      <c r="D173" s="21"/>
      <c r="E173" s="53">
        <f ca="1">-$H$20/E162</f>
        <v>9.3636425794762571E-2</v>
      </c>
      <c r="F173" s="53">
        <f ca="1">-$H$20/SUM(E162:F162)</f>
        <v>9.4238632403776251E-2</v>
      </c>
      <c r="G173" s="53">
        <f>+$G$86</f>
        <v>6.5000000000000002E-2</v>
      </c>
      <c r="H173" s="53"/>
    </row>
    <row r="174" spans="1:8" ht="16" customHeight="1">
      <c r="B174" s="54"/>
      <c r="C174" s="21"/>
      <c r="D174" s="21"/>
      <c r="E174" s="16"/>
      <c r="F174" s="16"/>
      <c r="G174" s="16"/>
      <c r="H174" s="21"/>
    </row>
    <row r="175" spans="1:8" ht="16" customHeight="1">
      <c r="B175" s="54"/>
      <c r="C175" s="21"/>
      <c r="D175" s="21"/>
      <c r="E175" s="239" t="s">
        <v>571</v>
      </c>
    </row>
    <row r="176" spans="1:8" ht="16" customHeight="1">
      <c r="B176" s="21" t="s">
        <v>2</v>
      </c>
      <c r="C176" s="21"/>
      <c r="D176" s="21"/>
      <c r="E176" s="53">
        <v>0.104</v>
      </c>
    </row>
    <row r="177" spans="2:5" ht="16" customHeight="1">
      <c r="B177" s="21" t="s">
        <v>1</v>
      </c>
      <c r="C177" s="21"/>
      <c r="D177" s="21"/>
      <c r="E177" s="53">
        <v>0.223</v>
      </c>
    </row>
    <row r="178" spans="2:5" ht="16" customHeight="1">
      <c r="B178" s="21" t="s">
        <v>246</v>
      </c>
      <c r="C178" s="21"/>
      <c r="D178" s="21"/>
      <c r="E178" s="53"/>
    </row>
  </sheetData>
  <mergeCells count="8">
    <mergeCell ref="J96:R96"/>
    <mergeCell ref="J125:R125"/>
    <mergeCell ref="J154:R154"/>
    <mergeCell ref="B65:H65"/>
    <mergeCell ref="I3:J3"/>
    <mergeCell ref="K3:L3"/>
    <mergeCell ref="M3:N3"/>
    <mergeCell ref="J67:R6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2:Z357"/>
  <sheetViews>
    <sheetView showGridLines="0" topLeftCell="A334" zoomScale="70" zoomScaleNormal="70" workbookViewId="0">
      <selection activeCell="I279" sqref="I279"/>
    </sheetView>
  </sheetViews>
  <sheetFormatPr defaultColWidth="14.453125" defaultRowHeight="15.5"/>
  <cols>
    <col min="1" max="1" width="8.54296875" style="21" bestFit="1" customWidth="1"/>
    <col min="2" max="2" width="78.1796875" style="21" bestFit="1" customWidth="1"/>
    <col min="3" max="3" width="1.81640625" style="21" bestFit="1" customWidth="1"/>
    <col min="4" max="4" width="18.1796875" style="21" bestFit="1" customWidth="1"/>
    <col min="5" max="5" width="3.453125" style="21" bestFit="1" customWidth="1"/>
    <col min="6" max="6" width="19.453125" style="21" customWidth="1"/>
    <col min="7" max="7" width="16.81640625" style="21" bestFit="1" customWidth="1"/>
    <col min="8" max="8" width="18.1796875" style="21" customWidth="1"/>
    <col min="9" max="26" width="16.1796875" style="21" bestFit="1" customWidth="1"/>
    <col min="27" max="16384" width="14.453125" style="21"/>
  </cols>
  <sheetData>
    <row r="2" spans="1:26">
      <c r="B2" s="71" t="s">
        <v>572</v>
      </c>
      <c r="C2" s="71"/>
      <c r="E2" s="71">
        <v>0</v>
      </c>
      <c r="F2" s="72">
        <v>0</v>
      </c>
      <c r="G2" s="72">
        <v>0</v>
      </c>
      <c r="H2" s="72">
        <v>0</v>
      </c>
      <c r="I2" s="72">
        <v>1</v>
      </c>
      <c r="J2" s="72">
        <v>2</v>
      </c>
      <c r="K2" s="72">
        <v>3</v>
      </c>
      <c r="L2" s="72">
        <v>4</v>
      </c>
      <c r="M2" s="72">
        <v>5</v>
      </c>
      <c r="N2" s="72">
        <v>6</v>
      </c>
      <c r="O2" s="72">
        <v>7</v>
      </c>
      <c r="P2" s="72">
        <v>8</v>
      </c>
      <c r="Q2" s="72">
        <v>9</v>
      </c>
      <c r="R2" s="72">
        <v>10</v>
      </c>
      <c r="S2" s="72">
        <v>11</v>
      </c>
      <c r="T2" s="72">
        <v>12</v>
      </c>
      <c r="U2" s="72">
        <v>13</v>
      </c>
      <c r="V2" s="72">
        <v>14</v>
      </c>
      <c r="W2" s="72">
        <v>15</v>
      </c>
      <c r="X2" s="72">
        <v>16</v>
      </c>
      <c r="Y2" s="72">
        <v>17</v>
      </c>
      <c r="Z2" s="72">
        <v>18</v>
      </c>
    </row>
    <row r="3" spans="1:26">
      <c r="B3" s="71" t="s">
        <v>573</v>
      </c>
      <c r="C3" s="71"/>
      <c r="F3" s="72">
        <v>0</v>
      </c>
      <c r="G3" s="72">
        <v>0</v>
      </c>
      <c r="H3" s="72">
        <v>0</v>
      </c>
      <c r="I3" s="72">
        <v>0</v>
      </c>
      <c r="J3" s="72">
        <v>0</v>
      </c>
      <c r="K3" s="72">
        <v>1</v>
      </c>
      <c r="L3" s="72">
        <v>2</v>
      </c>
      <c r="M3" s="72">
        <v>3</v>
      </c>
      <c r="N3" s="72">
        <v>4</v>
      </c>
      <c r="O3" s="72">
        <v>5</v>
      </c>
      <c r="P3" s="72">
        <v>6</v>
      </c>
      <c r="Q3" s="72">
        <v>7</v>
      </c>
      <c r="R3" s="72">
        <v>8</v>
      </c>
      <c r="S3" s="72">
        <v>9</v>
      </c>
      <c r="T3" s="72">
        <v>10</v>
      </c>
      <c r="U3" s="72">
        <v>11</v>
      </c>
      <c r="V3" s="72">
        <v>12</v>
      </c>
      <c r="W3" s="72">
        <v>13</v>
      </c>
      <c r="X3" s="72">
        <v>14</v>
      </c>
      <c r="Y3" s="72">
        <v>15</v>
      </c>
      <c r="Z3" s="72">
        <v>16</v>
      </c>
    </row>
    <row r="4" spans="1:26">
      <c r="F4" s="22"/>
      <c r="G4" s="22"/>
      <c r="H4" s="22"/>
      <c r="I4" s="22"/>
      <c r="J4" s="22"/>
      <c r="K4" s="22"/>
      <c r="L4" s="22"/>
      <c r="M4" s="22"/>
      <c r="N4" s="22"/>
    </row>
    <row r="5" spans="1:26">
      <c r="B5" s="618" t="s">
        <v>574</v>
      </c>
      <c r="C5" s="618"/>
      <c r="D5" s="619"/>
      <c r="E5" s="619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</row>
    <row r="6" spans="1:26">
      <c r="B6" s="54"/>
      <c r="F6" s="621">
        <v>2021</v>
      </c>
      <c r="G6" s="621">
        <v>2022</v>
      </c>
      <c r="H6" s="621">
        <v>2023</v>
      </c>
      <c r="I6" s="621">
        <v>2024</v>
      </c>
      <c r="J6" s="621">
        <v>2025</v>
      </c>
      <c r="K6" s="621">
        <v>2026</v>
      </c>
      <c r="L6" s="621">
        <v>2027</v>
      </c>
      <c r="M6" s="621">
        <v>2028</v>
      </c>
      <c r="N6" s="621">
        <v>2029</v>
      </c>
      <c r="O6" s="621">
        <v>2030</v>
      </c>
      <c r="P6" s="621">
        <v>2031</v>
      </c>
      <c r="Q6" s="621">
        <v>2032</v>
      </c>
      <c r="R6" s="621">
        <v>2033</v>
      </c>
      <c r="S6" s="621">
        <v>2034</v>
      </c>
      <c r="T6" s="621">
        <v>2035</v>
      </c>
      <c r="U6" s="621">
        <v>2036</v>
      </c>
      <c r="V6" s="621">
        <v>2037</v>
      </c>
      <c r="W6" s="621">
        <v>2038</v>
      </c>
      <c r="X6" s="621">
        <v>2039</v>
      </c>
      <c r="Y6" s="621">
        <v>2040</v>
      </c>
      <c r="Z6" s="621">
        <v>2041</v>
      </c>
    </row>
    <row r="7" spans="1:26" s="15" customFormat="1">
      <c r="B7" s="695" t="s">
        <v>25</v>
      </c>
      <c r="C7" s="695"/>
      <c r="D7" s="696"/>
      <c r="E7" s="696"/>
      <c r="F7" s="697">
        <v>44561</v>
      </c>
      <c r="G7" s="697">
        <v>44926</v>
      </c>
      <c r="H7" s="697">
        <v>45291</v>
      </c>
      <c r="I7" s="697">
        <v>45657</v>
      </c>
      <c r="J7" s="697">
        <v>46022</v>
      </c>
      <c r="K7" s="697">
        <v>46387</v>
      </c>
      <c r="L7" s="697">
        <v>46752</v>
      </c>
      <c r="M7" s="697">
        <v>47118</v>
      </c>
      <c r="N7" s="697">
        <v>47483</v>
      </c>
      <c r="O7" s="697">
        <v>11323</v>
      </c>
      <c r="P7" s="697">
        <v>11688</v>
      </c>
      <c r="Q7" s="697">
        <v>12054</v>
      </c>
      <c r="R7" s="697">
        <v>12419</v>
      </c>
      <c r="S7" s="697">
        <v>12784</v>
      </c>
      <c r="T7" s="697">
        <v>13149</v>
      </c>
      <c r="U7" s="697">
        <v>13515</v>
      </c>
      <c r="V7" s="697">
        <v>13880</v>
      </c>
      <c r="W7" s="697">
        <v>14245</v>
      </c>
      <c r="X7" s="697">
        <v>14610</v>
      </c>
      <c r="Y7" s="697">
        <v>14976</v>
      </c>
      <c r="Z7" s="697">
        <v>15341</v>
      </c>
    </row>
    <row r="8" spans="1:26" s="15" customFormat="1">
      <c r="A8" s="8" t="b">
        <v>1</v>
      </c>
      <c r="B8" s="15" t="s">
        <v>575</v>
      </c>
      <c r="D8" s="7"/>
      <c r="E8" s="7"/>
      <c r="F8" s="679">
        <f>+IF(AND(F7&gt;=Assumptions!$F$26,F7&lt;Assumptions!$F$28),Assumptions!$F$55/ROUNDUP((Assumptions!$F$27/12),0),0)</f>
        <v>0</v>
      </c>
      <c r="G8" s="679">
        <f>+IF(AND(G7&gt;=Assumptions!$F$26,G7&lt;Assumptions!$F$28),Assumptions!$F$55/ROUNDUP((Assumptions!$F$27/12),0),0)</f>
        <v>0</v>
      </c>
      <c r="H8" s="679">
        <f>+IF(AND(H7&gt;=Assumptions!$F$26,H7&lt;Assumptions!$F$28),Assumptions!$F$55/ROUNDUP((Assumptions!$F$27/12),0),0)</f>
        <v>0</v>
      </c>
      <c r="I8" s="679">
        <f>+IF(AND(I7&gt;=Assumptions!$F$26,I7&lt;Assumptions!$F$28),Assumptions!$F$55/ROUNDUP((Assumptions!$F$27/12),0),0)</f>
        <v>12852.000000000002</v>
      </c>
      <c r="J8" s="679">
        <f>+IF(AND(J7&gt;=Assumptions!$F$26,J7&lt;Assumptions!$F$28),Assumptions!$F$55/ROUNDUP((Assumptions!$F$27/12),0),0)</f>
        <v>12852.000000000002</v>
      </c>
      <c r="K8" s="679">
        <f>+IF(AND(K7&gt;=Assumptions!$F$26,K7&lt;Assumptions!$F$28),Assumptions!$F$55/ROUNDUP((Assumptions!$F$27/12),0),0)</f>
        <v>0</v>
      </c>
      <c r="L8" s="679">
        <f>+IF(AND(L7&gt;=Assumptions!$F$26,L7&lt;Assumptions!$F$28),Assumptions!$F$55/ROUNDUP((Assumptions!$F$27/12),0),0)</f>
        <v>0</v>
      </c>
      <c r="M8" s="679">
        <f>+IF(AND(M7&gt;=Assumptions!$F$26,M7&lt;Assumptions!$F$28),Assumptions!$F$55/ROUNDUP((Assumptions!$F$27/12),0),0)</f>
        <v>0</v>
      </c>
      <c r="N8" s="679">
        <f>+IF(AND(N7&gt;=Assumptions!$F$26,N7&lt;Assumptions!$F$28),Assumptions!$F$55/ROUNDUP((Assumptions!$F$27/12),0),0)</f>
        <v>0</v>
      </c>
      <c r="O8" s="679">
        <f>+IF(AND(O7&gt;=Assumptions!$F$26,O7&lt;Assumptions!$F$28),Assumptions!$F$55/ROUNDUP((Assumptions!$F$27/12),0),0)</f>
        <v>0</v>
      </c>
      <c r="P8" s="679">
        <f>+IF(AND(P7&gt;=Assumptions!$F$26,P7&lt;Assumptions!$F$28),Assumptions!$F$55/ROUNDUP((Assumptions!$F$27/12),0),0)</f>
        <v>0</v>
      </c>
      <c r="Q8" s="679">
        <f>+IF(AND(Q7&gt;=Assumptions!$F$26,Q7&lt;Assumptions!$F$28),Assumptions!$F$55/ROUNDUP((Assumptions!$F$27/12),0),0)</f>
        <v>0</v>
      </c>
      <c r="R8" s="679">
        <f>+IF(AND(R7&gt;=Assumptions!$F$26,R7&lt;Assumptions!$F$28),Assumptions!$F$55/ROUNDUP((Assumptions!$F$27/12),0),0)</f>
        <v>0</v>
      </c>
      <c r="S8" s="679">
        <f>+IF(AND(S7&gt;=Assumptions!$F$26,S7&lt;Assumptions!$F$28),Assumptions!$F$55/ROUNDUP((Assumptions!$F$27/12),0),0)</f>
        <v>0</v>
      </c>
      <c r="T8" s="679">
        <f>+IF(AND(T7&gt;=Assumptions!$F$26,T7&lt;Assumptions!$F$28),Assumptions!$F$55/ROUNDUP((Assumptions!$F$27/12),0),0)</f>
        <v>0</v>
      </c>
      <c r="U8" s="679">
        <f>+IF(AND(U7&gt;=Assumptions!$F$26,U7&lt;Assumptions!$F$28),Assumptions!$F$55/ROUNDUP((Assumptions!$F$27/12),0),0)</f>
        <v>0</v>
      </c>
      <c r="V8" s="679">
        <f>+IF(AND(V7&gt;=Assumptions!$F$26,V7&lt;Assumptions!$F$28),Assumptions!$F$55/ROUNDUP((Assumptions!$F$27/12),0),0)</f>
        <v>0</v>
      </c>
      <c r="W8" s="679">
        <f>+IF(AND(W7&gt;=Assumptions!$F$26,W7&lt;Assumptions!$F$28),Assumptions!$F$55/ROUNDUP((Assumptions!$F$27/12),0),0)</f>
        <v>0</v>
      </c>
      <c r="X8" s="679">
        <f>+IF(AND(X7&gt;=Assumptions!$F$26,X7&lt;Assumptions!$F$28),Assumptions!$F$55/ROUNDUP((Assumptions!$F$27/12),0),0)</f>
        <v>0</v>
      </c>
      <c r="Y8" s="679">
        <f>+IF(AND(Y7&gt;=Assumptions!$F$26,Y7&lt;Assumptions!$F$28),Assumptions!$F$55/ROUNDUP((Assumptions!$F$27/12),0),0)</f>
        <v>0</v>
      </c>
      <c r="Z8" s="679">
        <f>+IF(AND(Z7&gt;=Assumptions!$F$26,Z7&lt;Assumptions!$F$28),Assumptions!$F$55/ROUNDUP((Assumptions!$F$27/12),0),0)</f>
        <v>0</v>
      </c>
    </row>
    <row r="9" spans="1:26" s="15" customFormat="1">
      <c r="B9" s="15" t="s">
        <v>576</v>
      </c>
      <c r="D9" s="679">
        <v>0</v>
      </c>
      <c r="E9" s="679"/>
      <c r="F9" s="679">
        <f t="shared" ref="F9:H9" si="0">+E9+F8</f>
        <v>0</v>
      </c>
      <c r="G9" s="679">
        <f t="shared" si="0"/>
        <v>0</v>
      </c>
      <c r="H9" s="679">
        <f t="shared" si="0"/>
        <v>0</v>
      </c>
      <c r="I9" s="679">
        <f>+H9+I8</f>
        <v>12852.000000000002</v>
      </c>
      <c r="J9" s="679">
        <f t="shared" ref="J9:Z9" si="1">+I9+J8</f>
        <v>25704.000000000004</v>
      </c>
      <c r="K9" s="679">
        <f t="shared" si="1"/>
        <v>25704.000000000004</v>
      </c>
      <c r="L9" s="679">
        <f t="shared" si="1"/>
        <v>25704.000000000004</v>
      </c>
      <c r="M9" s="679">
        <f t="shared" si="1"/>
        <v>25704.000000000004</v>
      </c>
      <c r="N9" s="679">
        <f t="shared" si="1"/>
        <v>25704.000000000004</v>
      </c>
      <c r="O9" s="679">
        <f t="shared" si="1"/>
        <v>25704.000000000004</v>
      </c>
      <c r="P9" s="679">
        <f t="shared" si="1"/>
        <v>25704.000000000004</v>
      </c>
      <c r="Q9" s="679">
        <f t="shared" si="1"/>
        <v>25704.000000000004</v>
      </c>
      <c r="R9" s="679">
        <f t="shared" si="1"/>
        <v>25704.000000000004</v>
      </c>
      <c r="S9" s="679">
        <f t="shared" si="1"/>
        <v>25704.000000000004</v>
      </c>
      <c r="T9" s="679">
        <f t="shared" si="1"/>
        <v>25704.000000000004</v>
      </c>
      <c r="U9" s="679">
        <f t="shared" si="1"/>
        <v>25704.000000000004</v>
      </c>
      <c r="V9" s="679">
        <f t="shared" si="1"/>
        <v>25704.000000000004</v>
      </c>
      <c r="W9" s="679">
        <f t="shared" si="1"/>
        <v>25704.000000000004</v>
      </c>
      <c r="X9" s="679">
        <f t="shared" si="1"/>
        <v>25704.000000000004</v>
      </c>
      <c r="Y9" s="679">
        <f t="shared" si="1"/>
        <v>25704.000000000004</v>
      </c>
      <c r="Z9" s="679">
        <f t="shared" si="1"/>
        <v>25704.000000000004</v>
      </c>
    </row>
    <row r="10" spans="1:26" s="15" customFormat="1">
      <c r="B10" s="15" t="s">
        <v>577</v>
      </c>
      <c r="D10" s="679"/>
      <c r="E10" s="679"/>
      <c r="F10" s="679">
        <f t="shared" ref="F10:H10" si="2">+F11-E11</f>
        <v>0</v>
      </c>
      <c r="G10" s="679">
        <f t="shared" si="2"/>
        <v>0</v>
      </c>
      <c r="H10" s="679">
        <f t="shared" si="2"/>
        <v>0</v>
      </c>
      <c r="I10" s="679">
        <f>+I11-H11</f>
        <v>18.31383659260468</v>
      </c>
      <c r="J10" s="679">
        <f t="shared" ref="J10:R10" si="3">+J11-I11</f>
        <v>18.31383659260468</v>
      </c>
      <c r="K10" s="679">
        <f t="shared" si="3"/>
        <v>0</v>
      </c>
      <c r="L10" s="679">
        <f t="shared" si="3"/>
        <v>0</v>
      </c>
      <c r="M10" s="679">
        <f t="shared" si="3"/>
        <v>0</v>
      </c>
      <c r="N10" s="679">
        <f t="shared" si="3"/>
        <v>0</v>
      </c>
      <c r="O10" s="679">
        <f t="shared" si="3"/>
        <v>0</v>
      </c>
      <c r="P10" s="679">
        <f t="shared" si="3"/>
        <v>0</v>
      </c>
      <c r="Q10" s="679">
        <f t="shared" si="3"/>
        <v>0</v>
      </c>
      <c r="R10" s="679">
        <f t="shared" si="3"/>
        <v>0</v>
      </c>
      <c r="S10" s="679">
        <v>0</v>
      </c>
      <c r="T10" s="679">
        <v>0</v>
      </c>
      <c r="U10" s="679">
        <v>0</v>
      </c>
      <c r="V10" s="679">
        <v>0</v>
      </c>
      <c r="W10" s="679">
        <v>0</v>
      </c>
      <c r="X10" s="679">
        <v>0</v>
      </c>
      <c r="Y10" s="679">
        <v>0</v>
      </c>
      <c r="Z10" s="679">
        <v>0</v>
      </c>
    </row>
    <row r="11" spans="1:26" s="15" customFormat="1">
      <c r="B11" s="15" t="s">
        <v>578</v>
      </c>
      <c r="D11" s="679"/>
      <c r="E11" s="679"/>
      <c r="F11" s="679">
        <f>+F12*Assumptions!$F$56</f>
        <v>0</v>
      </c>
      <c r="G11" s="679">
        <f>+G12*Assumptions!$F$56</f>
        <v>0</v>
      </c>
      <c r="H11" s="679">
        <f>+H12*Assumptions!$F$56</f>
        <v>0</v>
      </c>
      <c r="I11" s="679">
        <f>+I12*Assumptions!$F$56</f>
        <v>18.31383659260468</v>
      </c>
      <c r="J11" s="679">
        <f>+J12*Assumptions!$F$56</f>
        <v>36.62767318520936</v>
      </c>
      <c r="K11" s="679">
        <f>+K12*Assumptions!$F$56</f>
        <v>36.62767318520936</v>
      </c>
      <c r="L11" s="679">
        <f>+L12*Assumptions!$F$56</f>
        <v>36.62767318520936</v>
      </c>
      <c r="M11" s="679">
        <f>+M12*Assumptions!$F$56</f>
        <v>36.62767318520936</v>
      </c>
      <c r="N11" s="679">
        <f>+N12*Assumptions!$F$56</f>
        <v>36.62767318520936</v>
      </c>
      <c r="O11" s="679">
        <f>+O12*Assumptions!$F$56</f>
        <v>36.62767318520936</v>
      </c>
      <c r="P11" s="679">
        <f>+P12*Assumptions!$F$56</f>
        <v>36.62767318520936</v>
      </c>
      <c r="Q11" s="679">
        <f>+Q12*Assumptions!$F$56</f>
        <v>36.62767318520936</v>
      </c>
      <c r="R11" s="679">
        <f>+R12*Assumptions!$F$56</f>
        <v>36.62767318520936</v>
      </c>
      <c r="S11" s="679">
        <f>+S12*Assumptions!$F$56</f>
        <v>36.62767318520936</v>
      </c>
      <c r="T11" s="679">
        <f>+T12*Assumptions!$F$56</f>
        <v>36.62767318520936</v>
      </c>
      <c r="U11" s="679">
        <f>+U12*Assumptions!$F$56</f>
        <v>36.62767318520936</v>
      </c>
      <c r="V11" s="679">
        <f>+V12*Assumptions!$F$56</f>
        <v>36.62767318520936</v>
      </c>
      <c r="W11" s="679">
        <f>+W12*Assumptions!$F$56</f>
        <v>36.62767318520936</v>
      </c>
      <c r="X11" s="679">
        <f>+X12*Assumptions!$F$56</f>
        <v>36.62767318520936</v>
      </c>
      <c r="Y11" s="679">
        <f>+Y12*Assumptions!$F$56</f>
        <v>36.62767318520936</v>
      </c>
      <c r="Z11" s="679">
        <f>+Z12*Assumptions!$F$56</f>
        <v>36.62767318520936</v>
      </c>
    </row>
    <row r="12" spans="1:26" s="15" customFormat="1">
      <c r="B12" s="15" t="s">
        <v>579</v>
      </c>
      <c r="D12" s="679"/>
      <c r="E12" s="679"/>
      <c r="F12" s="693">
        <f>+F9/SUM($F$8:$Z$8)</f>
        <v>0</v>
      </c>
      <c r="G12" s="693">
        <v>0</v>
      </c>
      <c r="H12" s="693">
        <v>0</v>
      </c>
      <c r="I12" s="693">
        <v>0.5</v>
      </c>
      <c r="J12" s="693">
        <v>1</v>
      </c>
      <c r="K12" s="693">
        <v>1</v>
      </c>
      <c r="L12" s="693">
        <v>1</v>
      </c>
      <c r="M12" s="693">
        <v>1</v>
      </c>
      <c r="N12" s="693">
        <v>1</v>
      </c>
      <c r="O12" s="693">
        <v>1</v>
      </c>
      <c r="P12" s="693">
        <v>1</v>
      </c>
      <c r="Q12" s="693">
        <v>1</v>
      </c>
      <c r="R12" s="693">
        <v>1</v>
      </c>
      <c r="S12" s="693">
        <v>1</v>
      </c>
      <c r="T12" s="693">
        <v>1</v>
      </c>
      <c r="U12" s="693">
        <v>1</v>
      </c>
      <c r="V12" s="693">
        <v>1</v>
      </c>
      <c r="W12" s="693">
        <v>1</v>
      </c>
      <c r="X12" s="693">
        <v>1</v>
      </c>
      <c r="Y12" s="693">
        <v>1</v>
      </c>
      <c r="Z12" s="693">
        <v>1</v>
      </c>
    </row>
    <row r="13" spans="1:26" s="15" customFormat="1">
      <c r="D13" s="679"/>
      <c r="E13" s="679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</row>
    <row r="14" spans="1:26" s="15" customFormat="1">
      <c r="B14" s="15" t="s">
        <v>580</v>
      </c>
      <c r="D14" s="679"/>
      <c r="E14" s="679"/>
      <c r="F14" s="693">
        <v>1</v>
      </c>
      <c r="G14" s="693">
        <f>+F14*(1+Assumptions!$N$63)</f>
        <v>1.02</v>
      </c>
      <c r="H14" s="693">
        <f>+G14*(1+Assumptions!$N$63)</f>
        <v>1.0404</v>
      </c>
      <c r="I14" s="693">
        <f>+H14*(1+Assumptions!$N$63)</f>
        <v>1.0612079999999999</v>
      </c>
      <c r="J14" s="693">
        <f>+I14*(1+Assumptions!$N$63)</f>
        <v>1.08243216</v>
      </c>
      <c r="K14" s="693">
        <f>+J14*(1+Assumptions!$N$63)</f>
        <v>1.1040808032</v>
      </c>
      <c r="L14" s="693">
        <f>+K14*(1+Assumptions!$N$63)</f>
        <v>1.1261624192640001</v>
      </c>
      <c r="M14" s="693">
        <f>+L14*(1+Assumptions!$N$63)</f>
        <v>1.14868566764928</v>
      </c>
      <c r="N14" s="693">
        <f>+M14*(1+Assumptions!$N$63)</f>
        <v>1.1716593810022657</v>
      </c>
      <c r="O14" s="693">
        <f>+N14*(1+Assumptions!$N$63)</f>
        <v>1.1950925686223111</v>
      </c>
      <c r="P14" s="693">
        <f>+O14*(1+Assumptions!$N$63)</f>
        <v>1.2189944199947573</v>
      </c>
      <c r="Q14" s="693">
        <f>+P14*(1+Assumptions!$N$63)</f>
        <v>1.2433743083946525</v>
      </c>
      <c r="R14" s="693">
        <f>+Q14*(1+Assumptions!$N$63)</f>
        <v>1.2682417945625455</v>
      </c>
      <c r="S14" s="693">
        <f>+R14*(1+Assumptions!$N$63)</f>
        <v>1.2936066304537963</v>
      </c>
      <c r="T14" s="693">
        <f>+S14*(1+Assumptions!$N$63)</f>
        <v>1.3194787630628724</v>
      </c>
      <c r="U14" s="693">
        <f>+T14*(1+Assumptions!$N$63)</f>
        <v>1.3458683383241299</v>
      </c>
      <c r="V14" s="693">
        <f>+U14*(1+Assumptions!$N$63)</f>
        <v>1.3727857050906125</v>
      </c>
      <c r="W14" s="693">
        <f>+V14*(1+Assumptions!$N$63)</f>
        <v>1.4002414191924248</v>
      </c>
      <c r="X14" s="693">
        <f>+W14*(1+Assumptions!$N$63)</f>
        <v>1.4282462475762734</v>
      </c>
      <c r="Y14" s="693">
        <f>+X14*(1+Assumptions!$N$63)</f>
        <v>1.4568111725277988</v>
      </c>
      <c r="Z14" s="693">
        <f>+Y14*(1+Assumptions!$N$63)</f>
        <v>1.4859473959783549</v>
      </c>
    </row>
    <row r="15" spans="1:26" s="15" customFormat="1">
      <c r="B15" s="15" t="s">
        <v>581</v>
      </c>
      <c r="D15" s="679"/>
      <c r="E15" s="679"/>
      <c r="F15" s="693">
        <v>1</v>
      </c>
      <c r="G15" s="693">
        <f>+F15*(1+Assumptions!$N$76)</f>
        <v>1.02</v>
      </c>
      <c r="H15" s="693">
        <f>+G15*(1+Assumptions!$N$76)</f>
        <v>1.0404</v>
      </c>
      <c r="I15" s="693">
        <f>+H15*(1+Assumptions!$N$76)</f>
        <v>1.0612079999999999</v>
      </c>
      <c r="J15" s="693">
        <f>+I15*(1+Assumptions!$N$76)</f>
        <v>1.08243216</v>
      </c>
      <c r="K15" s="693">
        <f>+J15*(1+Assumptions!$N$76)</f>
        <v>1.1040808032</v>
      </c>
      <c r="L15" s="693">
        <f>+K15*(1+Assumptions!$N$76)</f>
        <v>1.1261624192640001</v>
      </c>
      <c r="M15" s="693">
        <f>+L15*(1+Assumptions!$N$76)</f>
        <v>1.14868566764928</v>
      </c>
      <c r="N15" s="693">
        <f>+M15*(1+Assumptions!$N$76)</f>
        <v>1.1716593810022657</v>
      </c>
      <c r="O15" s="693">
        <f>+N15*(1+Assumptions!$N$76)</f>
        <v>1.1950925686223111</v>
      </c>
      <c r="P15" s="693">
        <f>+O15*(1+Assumptions!$N$76)</f>
        <v>1.2189944199947573</v>
      </c>
      <c r="Q15" s="693">
        <f>+P15*(1+Assumptions!$N$76)</f>
        <v>1.2433743083946525</v>
      </c>
      <c r="R15" s="693">
        <f>+Q15*(1+Assumptions!$N$76)</f>
        <v>1.2682417945625455</v>
      </c>
      <c r="S15" s="693">
        <f>+R15*(1+Assumptions!$N$76)</f>
        <v>1.2936066304537963</v>
      </c>
      <c r="T15" s="693">
        <f>+S15*(1+Assumptions!$N$76)</f>
        <v>1.3194787630628724</v>
      </c>
      <c r="U15" s="693">
        <f>+T15*(1+Assumptions!$N$76)</f>
        <v>1.3458683383241299</v>
      </c>
      <c r="V15" s="693">
        <f>+U15*(1+Assumptions!$N$76)</f>
        <v>1.3727857050906125</v>
      </c>
      <c r="W15" s="693">
        <f>+V15*(1+Assumptions!$N$76)</f>
        <v>1.4002414191924248</v>
      </c>
      <c r="X15" s="693">
        <f>+W15*(1+Assumptions!$N$76)</f>
        <v>1.4282462475762734</v>
      </c>
      <c r="Y15" s="693">
        <f>+X15*(1+Assumptions!$N$76)</f>
        <v>1.4568111725277988</v>
      </c>
      <c r="Z15" s="693">
        <f>+Y15*(1+Assumptions!$N$76)</f>
        <v>1.4859473959783549</v>
      </c>
    </row>
    <row r="16" spans="1:26" s="15" customForma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s="15" customFormat="1">
      <c r="B17" s="15" t="s">
        <v>582</v>
      </c>
      <c r="D17" s="7"/>
      <c r="E17" s="7"/>
      <c r="F17" s="7">
        <f>+F12*Assumptions!$F$54*F14</f>
        <v>0</v>
      </c>
      <c r="G17" s="7">
        <f>+G12*Assumptions!$F$54*G14</f>
        <v>0</v>
      </c>
      <c r="H17" s="7">
        <f>+H12*Assumptions!$F$54*H14</f>
        <v>0</v>
      </c>
      <c r="I17" s="7">
        <f>+I12*Assumptions!$F$54*I14</f>
        <v>225481.76969023587</v>
      </c>
      <c r="J17" s="7">
        <f>+J12*Assumptions!$F$54*J14</f>
        <v>459982.81016808125</v>
      </c>
      <c r="K17" s="7">
        <f>+K12*Assumptions!$F$54*K14</f>
        <v>469182.46637144289</v>
      </c>
      <c r="L17" s="7">
        <f>+L12*Assumptions!$F$54*L14</f>
        <v>478566.11569887173</v>
      </c>
      <c r="M17" s="7">
        <f>+M12*Assumptions!$F$54*M14</f>
        <v>488137.43801284919</v>
      </c>
      <c r="N17" s="7">
        <f>+N12*Assumptions!$F$54*N14</f>
        <v>497900.18677310622</v>
      </c>
      <c r="O17" s="7">
        <f>+O12*Assumptions!$F$54*O14</f>
        <v>507858.19050856831</v>
      </c>
      <c r="P17" s="7">
        <f>+P12*Assumptions!$F$54*P14</f>
        <v>518015.35431873973</v>
      </c>
      <c r="Q17" s="7">
        <f>+Q12*Assumptions!$F$54*Q14</f>
        <v>528375.66140511446</v>
      </c>
      <c r="R17" s="7">
        <f>+R12*Assumptions!$F$54*R14</f>
        <v>538943.17463321681</v>
      </c>
      <c r="S17" s="7">
        <f>+S12*Assumptions!$F$54*S14</f>
        <v>549722.03812588111</v>
      </c>
      <c r="T17" s="7">
        <f>+T12*Assumptions!$F$54*T14</f>
        <v>560716.47888839873</v>
      </c>
      <c r="U17" s="7">
        <f>+U12*Assumptions!$F$54*U14</f>
        <v>571930.80846616672</v>
      </c>
      <c r="V17" s="7">
        <f>+V12*Assumptions!$F$54*V14</f>
        <v>583369.42463549005</v>
      </c>
      <c r="W17" s="7">
        <f>+W12*Assumptions!$F$54*W14</f>
        <v>595036.81312819989</v>
      </c>
      <c r="X17" s="7">
        <f>+X12*Assumptions!$F$54*X14</f>
        <v>606937.54939076398</v>
      </c>
      <c r="Y17" s="7">
        <f>+Y12*Assumptions!$F$54*Y14</f>
        <v>619076.30037857918</v>
      </c>
      <c r="Z17" s="7">
        <f>+Z12*Assumptions!$F$54*Z14</f>
        <v>631457.8263861509</v>
      </c>
    </row>
    <row r="18" spans="2:26" s="15" customFormat="1">
      <c r="B18" s="15" t="s">
        <v>583</v>
      </c>
      <c r="D18" s="7"/>
      <c r="E18" s="7"/>
      <c r="F18" s="679">
        <f>-F17*Assumptions!$N$54</f>
        <v>0</v>
      </c>
      <c r="G18" s="679">
        <f>-G17*Assumptions!$N$54</f>
        <v>0</v>
      </c>
      <c r="H18" s="679">
        <f>-H17*Assumptions!$N$54</f>
        <v>0</v>
      </c>
      <c r="I18" s="679">
        <f>-I17*Assumptions!$N$54</f>
        <v>-4509.6353938047178</v>
      </c>
      <c r="J18" s="679">
        <f>-J17*Assumptions!$N$54</f>
        <v>-9199.6562033616246</v>
      </c>
      <c r="K18" s="679">
        <f>-K17*Assumptions!$N$54</f>
        <v>-9383.6493274288587</v>
      </c>
      <c r="L18" s="679">
        <f>-L17*Assumptions!$N$54</f>
        <v>-9571.3223139774345</v>
      </c>
      <c r="M18" s="679">
        <f>-M17*Assumptions!$N$54</f>
        <v>-9762.7487602569836</v>
      </c>
      <c r="N18" s="679">
        <f>-N17*Assumptions!$N$54</f>
        <v>-9958.0037354621254</v>
      </c>
      <c r="O18" s="679">
        <f>-O17*Assumptions!$N$54</f>
        <v>-10157.163810171367</v>
      </c>
      <c r="P18" s="679">
        <f>-P17*Assumptions!$N$54</f>
        <v>-10360.307086374794</v>
      </c>
      <c r="Q18" s="679">
        <f>-Q17*Assumptions!$N$54</f>
        <v>-10567.513228102289</v>
      </c>
      <c r="R18" s="679">
        <f>-R17*Assumptions!$N$54</f>
        <v>-10778.863492664337</v>
      </c>
      <c r="S18" s="679">
        <f>-S17*Assumptions!$N$54</f>
        <v>-10994.440762517623</v>
      </c>
      <c r="T18" s="679">
        <f>-T17*Assumptions!$N$54</f>
        <v>-11214.329577767974</v>
      </c>
      <c r="U18" s="679">
        <f>-U17*Assumptions!$N$54</f>
        <v>-11438.616169323335</v>
      </c>
      <c r="V18" s="679">
        <f>-V17*Assumptions!$N$54</f>
        <v>-11667.388492709801</v>
      </c>
      <c r="W18" s="679">
        <f>-W17*Assumptions!$N$54</f>
        <v>-11900.736262563998</v>
      </c>
      <c r="X18" s="679">
        <f>-X17*Assumptions!$N$54</f>
        <v>-12138.75098781528</v>
      </c>
      <c r="Y18" s="679">
        <f>-Y17*Assumptions!$N$54</f>
        <v>-12381.526007571583</v>
      </c>
      <c r="Z18" s="679">
        <f>-Z17*Assumptions!$N$54</f>
        <v>-12629.156527723018</v>
      </c>
    </row>
    <row r="19" spans="2:26" s="15" customFormat="1">
      <c r="B19" s="15" t="s">
        <v>87</v>
      </c>
      <c r="D19" s="7"/>
      <c r="E19" s="7"/>
      <c r="F19" s="681">
        <f>+F11*Assumptions!$F$89*(1-Assumptions!$N$54)*12</f>
        <v>0</v>
      </c>
      <c r="G19" s="681">
        <f>+G11*Assumptions!$F$89*(1-Assumptions!$N$54)*12</f>
        <v>0</v>
      </c>
      <c r="H19" s="681">
        <f>+H11*Assumptions!$F$89*(1-Assumptions!$N$54)*12</f>
        <v>0</v>
      </c>
      <c r="I19" s="681">
        <f>+I11*Assumptions!$F$89*(1-Assumptions!$N$54)*12</f>
        <v>1076.8535916451551</v>
      </c>
      <c r="J19" s="681">
        <f>+J11*Assumptions!$F$89*(1-Assumptions!$N$54)*12</f>
        <v>2153.7071832903102</v>
      </c>
      <c r="K19" s="681">
        <f>+K11*Assumptions!$F$89*(1-Assumptions!$N$54)*12</f>
        <v>2153.7071832903102</v>
      </c>
      <c r="L19" s="681">
        <f>+L11*Assumptions!$F$89*(1-Assumptions!$N$54)*12</f>
        <v>2153.7071832903102</v>
      </c>
      <c r="M19" s="681">
        <f>+M11*Assumptions!$F$89*(1-Assumptions!$N$54)*12</f>
        <v>2153.7071832903102</v>
      </c>
      <c r="N19" s="681">
        <f>+N11*Assumptions!$F$89*(1-Assumptions!$N$54)*12</f>
        <v>2153.7071832903102</v>
      </c>
      <c r="O19" s="681">
        <f>+O11*Assumptions!$F$89*(1-Assumptions!$N$54)*12</f>
        <v>2153.7071832903102</v>
      </c>
      <c r="P19" s="681">
        <f>+P11*Assumptions!$F$89*(1-Assumptions!$N$54)*12</f>
        <v>2153.7071832903102</v>
      </c>
      <c r="Q19" s="681">
        <f>+Q11*Assumptions!$F$89*(1-Assumptions!$N$54)*12</f>
        <v>2153.7071832903102</v>
      </c>
      <c r="R19" s="681">
        <f>+R11*Assumptions!$F$89*(1-Assumptions!$N$54)*12</f>
        <v>2153.7071832903102</v>
      </c>
      <c r="S19" s="681">
        <f>+S11*Assumptions!$F$89*(1-Assumptions!$N$54)*12</f>
        <v>2153.7071832903102</v>
      </c>
      <c r="T19" s="681">
        <f>+T11*Assumptions!$F$89*(1-Assumptions!$N$54)*12</f>
        <v>2153.7071832903102</v>
      </c>
      <c r="U19" s="681">
        <f>+U11*Assumptions!$F$89*(1-Assumptions!$N$54)*12</f>
        <v>2153.7071832903102</v>
      </c>
      <c r="V19" s="681">
        <f>+V11*Assumptions!$F$89*(1-Assumptions!$N$54)*12</f>
        <v>2153.7071832903102</v>
      </c>
      <c r="W19" s="681">
        <f>+W11*Assumptions!$F$89*(1-Assumptions!$N$54)*12</f>
        <v>2153.7071832903102</v>
      </c>
      <c r="X19" s="681">
        <f>+X11*Assumptions!$F$89*(1-Assumptions!$N$54)*12</f>
        <v>2153.7071832903102</v>
      </c>
      <c r="Y19" s="681">
        <f>+Y11*Assumptions!$F$89*(1-Assumptions!$N$54)*12</f>
        <v>2153.7071832903102</v>
      </c>
      <c r="Z19" s="681">
        <f>+Z11*Assumptions!$F$89*(1-Assumptions!$N$54)*12</f>
        <v>2153.7071832903102</v>
      </c>
    </row>
    <row r="20" spans="2:26" s="15" customFormat="1">
      <c r="B20" s="682" t="s">
        <v>584</v>
      </c>
      <c r="C20" s="682"/>
      <c r="D20" s="682"/>
      <c r="E20" s="682"/>
      <c r="F20" s="641">
        <f t="shared" ref="F20:H20" si="4">SUM(F17:F19)</f>
        <v>0</v>
      </c>
      <c r="G20" s="641">
        <f t="shared" si="4"/>
        <v>0</v>
      </c>
      <c r="H20" s="641">
        <f t="shared" si="4"/>
        <v>0</v>
      </c>
      <c r="I20" s="641">
        <f t="shared" ref="I20:O20" si="5">SUM(I17:I19)</f>
        <v>222048.98788807631</v>
      </c>
      <c r="J20" s="641">
        <f t="shared" si="5"/>
        <v>452936.86114800995</v>
      </c>
      <c r="K20" s="641">
        <f t="shared" si="5"/>
        <v>461952.52422730438</v>
      </c>
      <c r="L20" s="641">
        <f t="shared" si="5"/>
        <v>471148.50056818459</v>
      </c>
      <c r="M20" s="641">
        <f t="shared" si="5"/>
        <v>480528.39643588255</v>
      </c>
      <c r="N20" s="641">
        <f t="shared" si="5"/>
        <v>490095.89022093441</v>
      </c>
      <c r="O20" s="641">
        <f t="shared" si="5"/>
        <v>499854.73388168728</v>
      </c>
      <c r="P20" s="641">
        <f t="shared" ref="P20:T20" si="6">SUM(P17:P19)</f>
        <v>509808.75441565528</v>
      </c>
      <c r="Q20" s="641">
        <f t="shared" si="6"/>
        <v>519961.85536030249</v>
      </c>
      <c r="R20" s="641">
        <f t="shared" si="6"/>
        <v>530318.01832384279</v>
      </c>
      <c r="S20" s="641">
        <f t="shared" si="6"/>
        <v>540881.30454665376</v>
      </c>
      <c r="T20" s="641">
        <f t="shared" si="6"/>
        <v>551655.85649392102</v>
      </c>
      <c r="U20" s="641">
        <f>+U12*Assumptions!$F$54*U14</f>
        <v>571930.80846616672</v>
      </c>
      <c r="V20" s="641">
        <f t="shared" ref="V20:Z20" si="7">SUM(V17:V19)</f>
        <v>573855.74332607049</v>
      </c>
      <c r="W20" s="641">
        <f t="shared" si="7"/>
        <v>585289.7840489262</v>
      </c>
      <c r="X20" s="641">
        <f t="shared" si="7"/>
        <v>596952.50558623893</v>
      </c>
      <c r="Y20" s="641">
        <f t="shared" si="7"/>
        <v>608848.48155429785</v>
      </c>
      <c r="Z20" s="641">
        <f t="shared" si="7"/>
        <v>620982.37704171811</v>
      </c>
    </row>
    <row r="21" spans="2:26" s="15" customFormat="1"/>
    <row r="22" spans="2:26" s="15" customFormat="1">
      <c r="B22" s="15" t="s">
        <v>585</v>
      </c>
      <c r="F22" s="7">
        <f>+F11*Assumptions!$N$95*F15</f>
        <v>0</v>
      </c>
      <c r="G22" s="7">
        <f>+G11*Assumptions!$N$95*G15</f>
        <v>0</v>
      </c>
      <c r="H22" s="7">
        <f>+H11*Assumptions!$N$95*H15</f>
        <v>0</v>
      </c>
      <c r="I22" s="7">
        <f>+I11*Assumptions!$N$95*I15</f>
        <v>112721.78143603599</v>
      </c>
      <c r="J22" s="7">
        <f>+J11*Assumptions!$N$95*J15</f>
        <v>229952.43412951342</v>
      </c>
      <c r="K22" s="7">
        <f>+K11*Assumptions!$N$95*K15</f>
        <v>234551.4828121037</v>
      </c>
      <c r="L22" s="7">
        <f>+L11*Assumptions!$N$95*L15</f>
        <v>239242.51246834578</v>
      </c>
      <c r="M22" s="7">
        <f>+M11*Assumptions!$N$95*M15</f>
        <v>244027.36271771271</v>
      </c>
      <c r="N22" s="7">
        <f>+N11*Assumptions!$N$95*N15</f>
        <v>248907.90997206696</v>
      </c>
      <c r="O22" s="7">
        <f>+O11*Assumptions!$N$95*O15</f>
        <v>253886.06817150832</v>
      </c>
      <c r="P22" s="7">
        <f>+P11*Assumptions!$N$95*P15</f>
        <v>258963.78953493849</v>
      </c>
      <c r="Q22" s="7">
        <f>+Q11*Assumptions!$N$95*Q15</f>
        <v>264143.06532563723</v>
      </c>
      <c r="R22" s="7">
        <f>+R11*Assumptions!$N$95*R15</f>
        <v>269425.92663215002</v>
      </c>
      <c r="S22" s="7">
        <f>+S11*Assumptions!$N$95*S15</f>
        <v>274814.445164793</v>
      </c>
      <c r="T22" s="7">
        <f>+T11*Assumptions!$N$95*T15</f>
        <v>280310.73406808887</v>
      </c>
      <c r="U22" s="7">
        <f>+U11*Assumptions!$N$95*U15</f>
        <v>285916.94874945068</v>
      </c>
      <c r="V22" s="7">
        <f>+V11*Assumptions!$N$95*V15</f>
        <v>291635.28772443964</v>
      </c>
      <c r="W22" s="7">
        <f>+W11*Assumptions!$N$95*W15</f>
        <v>297467.99347892846</v>
      </c>
      <c r="X22" s="7">
        <f>+X11*Assumptions!$N$95*X15</f>
        <v>303417.35334850708</v>
      </c>
      <c r="Y22" s="7">
        <f>+Y11*Assumptions!$N$95*Y15</f>
        <v>309485.70041547721</v>
      </c>
      <c r="Z22" s="7">
        <f>+Z11*Assumptions!$N$95*Z15</f>
        <v>315675.41442378674</v>
      </c>
    </row>
    <row r="23" spans="2:26" s="15" customFormat="1">
      <c r="F23" s="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s="15" customFormat="1">
      <c r="B24" s="682" t="s">
        <v>586</v>
      </c>
      <c r="C24" s="682"/>
      <c r="D24" s="682"/>
      <c r="E24" s="682"/>
      <c r="F24" s="683">
        <v>0</v>
      </c>
      <c r="G24" s="683">
        <v>0</v>
      </c>
      <c r="H24" s="683">
        <v>0</v>
      </c>
      <c r="I24" s="683">
        <f>I22</f>
        <v>112721.78143603599</v>
      </c>
      <c r="J24" s="683">
        <f>J22</f>
        <v>229952.43412951342</v>
      </c>
      <c r="K24" s="683">
        <f t="shared" ref="K24:Z24" si="8">K22</f>
        <v>234551.4828121037</v>
      </c>
      <c r="L24" s="683">
        <f t="shared" si="8"/>
        <v>239242.51246834578</v>
      </c>
      <c r="M24" s="683">
        <f t="shared" si="8"/>
        <v>244027.36271771271</v>
      </c>
      <c r="N24" s="683">
        <f t="shared" si="8"/>
        <v>248907.90997206696</v>
      </c>
      <c r="O24" s="683">
        <f t="shared" si="8"/>
        <v>253886.06817150832</v>
      </c>
      <c r="P24" s="683">
        <f t="shared" si="8"/>
        <v>258963.78953493849</v>
      </c>
      <c r="Q24" s="683">
        <f t="shared" si="8"/>
        <v>264143.06532563723</v>
      </c>
      <c r="R24" s="683">
        <f t="shared" si="8"/>
        <v>269425.92663215002</v>
      </c>
      <c r="S24" s="683">
        <f t="shared" si="8"/>
        <v>274814.445164793</v>
      </c>
      <c r="T24" s="683">
        <f t="shared" si="8"/>
        <v>280310.73406808887</v>
      </c>
      <c r="U24" s="683">
        <f t="shared" si="8"/>
        <v>285916.94874945068</v>
      </c>
      <c r="V24" s="683">
        <f t="shared" si="8"/>
        <v>291635.28772443964</v>
      </c>
      <c r="W24" s="683">
        <f t="shared" si="8"/>
        <v>297467.99347892846</v>
      </c>
      <c r="X24" s="683">
        <f t="shared" si="8"/>
        <v>303417.35334850708</v>
      </c>
      <c r="Y24" s="683">
        <f t="shared" si="8"/>
        <v>309485.70041547721</v>
      </c>
      <c r="Z24" s="683">
        <f t="shared" si="8"/>
        <v>315675.41442378674</v>
      </c>
    </row>
    <row r="25" spans="2:26">
      <c r="B25" s="625"/>
    </row>
    <row r="26" spans="2:26">
      <c r="B26" s="643" t="s">
        <v>587</v>
      </c>
      <c r="C26" s="643"/>
      <c r="D26" s="643"/>
      <c r="E26" s="643"/>
      <c r="F26" s="644">
        <v>0</v>
      </c>
      <c r="G26" s="644">
        <f>G20-G24</f>
        <v>0</v>
      </c>
      <c r="H26" s="645">
        <v>0</v>
      </c>
      <c r="I26" s="644">
        <f>SUM(I20-I24)</f>
        <v>109327.20645204032</v>
      </c>
      <c r="J26" s="644">
        <f t="shared" ref="J26:Z26" si="9">J20-J24</f>
        <v>222984.42701849653</v>
      </c>
      <c r="K26" s="644">
        <f t="shared" si="9"/>
        <v>227401.04141520069</v>
      </c>
      <c r="L26" s="644">
        <f t="shared" si="9"/>
        <v>231905.98809983881</v>
      </c>
      <c r="M26" s="644">
        <f t="shared" si="9"/>
        <v>236501.03371816984</v>
      </c>
      <c r="N26" s="644">
        <f t="shared" si="9"/>
        <v>241187.98024886745</v>
      </c>
      <c r="O26" s="644">
        <f t="shared" si="9"/>
        <v>245968.66571017896</v>
      </c>
      <c r="P26" s="644">
        <f t="shared" si="9"/>
        <v>250844.96488071678</v>
      </c>
      <c r="Q26" s="644">
        <f t="shared" si="9"/>
        <v>255818.79003466526</v>
      </c>
      <c r="R26" s="644">
        <f t="shared" si="9"/>
        <v>260892.09169169277</v>
      </c>
      <c r="S26" s="644">
        <f t="shared" si="9"/>
        <v>266066.85938186076</v>
      </c>
      <c r="T26" s="644">
        <f t="shared" si="9"/>
        <v>271345.12242583215</v>
      </c>
      <c r="U26" s="644">
        <f t="shared" si="9"/>
        <v>286013.85971671605</v>
      </c>
      <c r="V26" s="644">
        <f t="shared" si="9"/>
        <v>282220.45560163085</v>
      </c>
      <c r="W26" s="644">
        <f t="shared" si="9"/>
        <v>287821.79056999774</v>
      </c>
      <c r="X26" s="644">
        <f t="shared" si="9"/>
        <v>293535.15223773185</v>
      </c>
      <c r="Y26" s="644">
        <f t="shared" si="9"/>
        <v>299362.78113882063</v>
      </c>
      <c r="Z26" s="644">
        <f t="shared" si="9"/>
        <v>305306.96261793136</v>
      </c>
    </row>
    <row r="27" spans="2:26">
      <c r="B27" s="646" t="s">
        <v>588</v>
      </c>
      <c r="C27" s="647"/>
      <c r="D27" s="647"/>
      <c r="E27" s="647"/>
      <c r="F27" s="648"/>
      <c r="G27" s="648">
        <v>0</v>
      </c>
      <c r="H27" s="648"/>
      <c r="I27" s="649">
        <f>+IFERROR(I26/I20,"")</f>
        <v>0.49235624756437374</v>
      </c>
      <c r="J27" s="649">
        <f>+IFERROR(J26/J20,"")</f>
        <v>0.49230797081368488</v>
      </c>
      <c r="K27" s="649">
        <f t="shared" ref="K27:Z27" si="10">+IFERROR(K26/K20,"")</f>
        <v>0.49226063175121365</v>
      </c>
      <c r="L27" s="649">
        <f t="shared" si="10"/>
        <v>0.49221421233468915</v>
      </c>
      <c r="M27" s="649">
        <f t="shared" si="10"/>
        <v>0.49216869486239911</v>
      </c>
      <c r="N27" s="649">
        <f t="shared" si="10"/>
        <v>0.49212406196701691</v>
      </c>
      <c r="O27" s="649">
        <f t="shared" si="10"/>
        <v>0.49208029660953118</v>
      </c>
      <c r="P27" s="649">
        <f t="shared" si="10"/>
        <v>0.49203738207327613</v>
      </c>
      <c r="Q27" s="649">
        <f t="shared" si="10"/>
        <v>0.49199530195806024</v>
      </c>
      <c r="R27" s="649">
        <f t="shared" si="10"/>
        <v>0.49195404017439398</v>
      </c>
      <c r="S27" s="649">
        <f t="shared" si="10"/>
        <v>0.49191358093781395</v>
      </c>
      <c r="T27" s="649">
        <f t="shared" si="10"/>
        <v>0.491873908763302</v>
      </c>
      <c r="U27" s="649">
        <f t="shared" si="10"/>
        <v>0.50008472263238035</v>
      </c>
      <c r="V27" s="649">
        <f t="shared" si="10"/>
        <v>0.49179686512481308</v>
      </c>
      <c r="W27" s="649">
        <f t="shared" si="10"/>
        <v>0.49175946413911409</v>
      </c>
      <c r="X27" s="649">
        <f t="shared" si="10"/>
        <v>0.49172279116152601</v>
      </c>
      <c r="Y27" s="649">
        <f t="shared" si="10"/>
        <v>0.49168683212380337</v>
      </c>
      <c r="Z27" s="649">
        <f t="shared" si="10"/>
        <v>0.49165157322559672</v>
      </c>
    </row>
    <row r="28" spans="2:26">
      <c r="B28" s="646" t="s">
        <v>589</v>
      </c>
      <c r="C28" s="647"/>
      <c r="D28" s="647"/>
      <c r="E28" s="647"/>
      <c r="F28" s="650">
        <f>F26/Assumptions!$N$128</f>
        <v>0</v>
      </c>
      <c r="G28" s="650">
        <f>G26/Assumptions!$N$128</f>
        <v>0</v>
      </c>
      <c r="H28" s="650">
        <f>H26/Assumptions!$N$128</f>
        <v>0</v>
      </c>
      <c r="I28" s="650">
        <f>I26/Assumptions!$N$128</f>
        <v>1901342.720905049</v>
      </c>
      <c r="J28" s="650">
        <f>J26/Assumptions!$N$128</f>
        <v>3877990.0351042873</v>
      </c>
      <c r="K28" s="650">
        <f>K26/Assumptions!$N$128</f>
        <v>3954800.7202643594</v>
      </c>
      <c r="L28" s="650">
        <f>L26/Assumptions!$N$128</f>
        <v>4033147.6191276312</v>
      </c>
      <c r="M28" s="650">
        <f>M26/Assumptions!$N$128</f>
        <v>4113061.4559681709</v>
      </c>
      <c r="N28" s="650">
        <f>N26/Assumptions!$N$128</f>
        <v>4194573.5695455205</v>
      </c>
      <c r="O28" s="650">
        <f>O26/Assumptions!$N$128</f>
        <v>4277715.9253944168</v>
      </c>
      <c r="P28" s="650">
        <f>P26/Assumptions!$N$128</f>
        <v>4362521.1283602919</v>
      </c>
      <c r="Q28" s="650">
        <f>Q26/Assumptions!$N$128</f>
        <v>4449022.4353854824</v>
      </c>
      <c r="R28" s="650">
        <f>R26/Assumptions!$N$128</f>
        <v>4537253.7685511783</v>
      </c>
      <c r="S28" s="650">
        <f>S26/Assumptions!$N$128</f>
        <v>4627249.7283801874</v>
      </c>
      <c r="T28" s="650">
        <f>T26/Assumptions!$N$128</f>
        <v>4719045.6074057762</v>
      </c>
      <c r="U28" s="650">
        <f>U26/Assumptions!$N$128</f>
        <v>4974154.0820298437</v>
      </c>
      <c r="V28" s="650">
        <f>V26/Assumptions!$N$128</f>
        <v>4908181.8365501016</v>
      </c>
      <c r="W28" s="650">
        <f>W26/Assumptions!$N$128</f>
        <v>5005596.3577390909</v>
      </c>
      <c r="X28" s="650">
        <f>X26/Assumptions!$N$128</f>
        <v>5104959.1693518581</v>
      </c>
      <c r="Y28" s="650">
        <f>Y26/Assumptions!$N$128</f>
        <v>5206309.2371968804</v>
      </c>
      <c r="Z28" s="650">
        <f>Z26/Assumptions!$N$128</f>
        <v>5309686.3063988062</v>
      </c>
    </row>
    <row r="30" spans="2:26">
      <c r="B30" s="622" t="s">
        <v>590</v>
      </c>
      <c r="C30" s="622"/>
      <c r="D30" s="623"/>
      <c r="E30" s="623"/>
      <c r="F30" s="624">
        <v>44561</v>
      </c>
      <c r="G30" s="624">
        <v>44926</v>
      </c>
      <c r="H30" s="624">
        <v>45291</v>
      </c>
      <c r="I30" s="624">
        <v>45657</v>
      </c>
      <c r="J30" s="624">
        <v>46022</v>
      </c>
      <c r="K30" s="624">
        <v>46387</v>
      </c>
      <c r="L30" s="624">
        <v>46752</v>
      </c>
      <c r="M30" s="624">
        <v>47118</v>
      </c>
      <c r="N30" s="624">
        <v>47483</v>
      </c>
      <c r="O30" s="624">
        <v>11323</v>
      </c>
      <c r="P30" s="624">
        <v>11688</v>
      </c>
      <c r="Q30" s="624">
        <v>12054</v>
      </c>
      <c r="R30" s="624">
        <v>12419</v>
      </c>
      <c r="S30" s="624">
        <v>12784</v>
      </c>
      <c r="T30" s="624">
        <v>13149</v>
      </c>
      <c r="U30" s="624">
        <v>13515</v>
      </c>
      <c r="V30" s="624">
        <v>13880</v>
      </c>
      <c r="W30" s="624">
        <v>14245</v>
      </c>
      <c r="X30" s="624">
        <v>14610</v>
      </c>
      <c r="Y30" s="624">
        <v>14976</v>
      </c>
      <c r="Z30" s="624">
        <v>15341</v>
      </c>
    </row>
    <row r="31" spans="2:26">
      <c r="B31" s="625" t="s">
        <v>575</v>
      </c>
      <c r="C31" s="625"/>
      <c r="D31" s="20"/>
      <c r="E31" s="20"/>
      <c r="F31" s="22">
        <f>+IF(AND(F30&gt;=Assumptions!$F$26,F30&lt;Assumptions!$F$28),Assumptions!$F$83/ROUNDUP((Assumptions!$F$27/12),0),0)</f>
        <v>0</v>
      </c>
      <c r="G31" s="22">
        <f>+IF(AND(G30&gt;=Assumptions!$F$26,G30&lt;Assumptions!$F$28),Assumptions!$F$83/ROUNDUP((Assumptions!$F$27/12),0),0)</f>
        <v>0</v>
      </c>
      <c r="H31" s="22">
        <f>+IF(AND(H30&gt;=Assumptions!$F$26,H30&lt;Assumptions!$F$28),Assumptions!$F$83/ROUNDUP((Assumptions!$F$27/12),0),0)</f>
        <v>0</v>
      </c>
      <c r="I31" s="22">
        <f>+IF(AND(I30&gt;=Assumptions!$F$26,I30&lt;Assumptions!$F$28),Assumptions!$F$83/ROUNDUP((Assumptions!$F$27/12),0),0)</f>
        <v>19278</v>
      </c>
      <c r="J31" s="22">
        <f>+IF(AND(J30&gt;=Assumptions!$F$26,J30&lt;Assumptions!$F$28),Assumptions!$F$83/ROUNDUP((Assumptions!$F$27/12),0),0)</f>
        <v>19278</v>
      </c>
      <c r="K31" s="22">
        <f>+IF(AND(K30&gt;=Assumptions!$F$26,K30&lt;Assumptions!$F$28),Assumptions!$F$83/ROUNDUP((Assumptions!$F$27/12),0),0)</f>
        <v>0</v>
      </c>
      <c r="L31" s="22">
        <f>+IF(AND(L30&gt;=Assumptions!$F$26,L30&lt;Assumptions!$F$28),Assumptions!$F$83/ROUNDUP((Assumptions!$F$27/12),0),0)</f>
        <v>0</v>
      </c>
      <c r="M31" s="22">
        <f>+IF(AND(M30&gt;=Assumptions!$F$26,M30&lt;Assumptions!$F$28),Assumptions!$F$83/ROUNDUP((Assumptions!$F$27/12),0),0)</f>
        <v>0</v>
      </c>
      <c r="N31" s="22">
        <f>+IF(AND(N30&gt;=Assumptions!$F$26,N30&lt;Assumptions!$F$28),Assumptions!$F$83/ROUNDUP((Assumptions!$F$27/12),0),0)</f>
        <v>0</v>
      </c>
      <c r="O31" s="22">
        <f>+IF(AND(O30&gt;=Assumptions!$F$26,O30&lt;Assumptions!$F$28),Assumptions!$F$83/ROUNDUP((Assumptions!$F$27/12),0),0)</f>
        <v>0</v>
      </c>
      <c r="P31" s="22">
        <f>+IF(AND(P30&gt;=Assumptions!$F$26,P30&lt;Assumptions!$F$28),Assumptions!$F$83/ROUNDUP((Assumptions!$F$27/12),0),0)</f>
        <v>0</v>
      </c>
      <c r="Q31" s="22">
        <f>+IF(AND(Q30&gt;=Assumptions!$F$26,Q30&lt;Assumptions!$F$28),Assumptions!$F$83/ROUNDUP((Assumptions!$F$27/12),0),0)</f>
        <v>0</v>
      </c>
      <c r="R31" s="22">
        <f>+IF(AND(R30&gt;=Assumptions!$F$26,R30&lt;Assumptions!$F$28),Assumptions!$F$83/ROUNDUP((Assumptions!$F$27/12),0),0)</f>
        <v>0</v>
      </c>
      <c r="S31" s="22">
        <f>+IF(AND(S30&gt;=Assumptions!$F$26,S30&lt;Assumptions!$F$28),Assumptions!$F$83/ROUNDUP((Assumptions!$F$27/12),0),0)</f>
        <v>0</v>
      </c>
      <c r="T31" s="22">
        <f>+IF(AND(T30&gt;=Assumptions!$F$26,T30&lt;Assumptions!$F$28),Assumptions!$F$83/ROUNDUP((Assumptions!$F$27/12),0),0)</f>
        <v>0</v>
      </c>
      <c r="U31" s="22">
        <f>+IF(AND(U30&gt;=Assumptions!$F$26,U30&lt;Assumptions!$F$28),Assumptions!$F$83/ROUNDUP((Assumptions!$F$27/12),0),0)</f>
        <v>0</v>
      </c>
      <c r="V31" s="22">
        <f>+IF(AND(V30&gt;=Assumptions!$F$26,V30&lt;Assumptions!$F$28),Assumptions!$F$83/ROUNDUP((Assumptions!$F$27/12),0),0)</f>
        <v>0</v>
      </c>
      <c r="W31" s="22">
        <f>+IF(AND(W30&gt;=Assumptions!$F$26,W30&lt;Assumptions!$F$28),Assumptions!$F$83/ROUNDUP((Assumptions!$F$27/12),0),0)</f>
        <v>0</v>
      </c>
      <c r="X31" s="22">
        <f>+IF(AND(X30&gt;=Assumptions!$F$26,X30&lt;Assumptions!$F$28),Assumptions!$F$83/ROUNDUP((Assumptions!$F$27/12),0),0)</f>
        <v>0</v>
      </c>
      <c r="Y31" s="22">
        <f>+IF(AND(Y30&gt;=Assumptions!$F$26,Y30&lt;Assumptions!$F$28),Assumptions!$F$83/ROUNDUP((Assumptions!$F$27/12),0),0)</f>
        <v>0</v>
      </c>
      <c r="Z31" s="22">
        <f>+IF(AND(Z30&gt;=Assumptions!$F$26,Z30&lt;Assumptions!$F$28),Assumptions!$F$83/ROUNDUP((Assumptions!$F$27/12),0),0)</f>
        <v>0</v>
      </c>
    </row>
    <row r="32" spans="2:26">
      <c r="B32" s="625" t="s">
        <v>576</v>
      </c>
      <c r="C32" s="625"/>
      <c r="D32" s="22">
        <v>0</v>
      </c>
      <c r="E32" s="22"/>
      <c r="F32" s="22">
        <f t="shared" ref="F32:H32" si="11">+E32+F31</f>
        <v>0</v>
      </c>
      <c r="G32" s="22">
        <f t="shared" si="11"/>
        <v>0</v>
      </c>
      <c r="H32" s="22">
        <f t="shared" si="11"/>
        <v>0</v>
      </c>
      <c r="I32" s="22">
        <f>+H32+I31</f>
        <v>19278</v>
      </c>
      <c r="J32" s="22">
        <f t="shared" ref="J32:Z32" si="12">+I32+J31</f>
        <v>38556</v>
      </c>
      <c r="K32" s="22">
        <f t="shared" si="12"/>
        <v>38556</v>
      </c>
      <c r="L32" s="22">
        <f t="shared" si="12"/>
        <v>38556</v>
      </c>
      <c r="M32" s="22">
        <f t="shared" si="12"/>
        <v>38556</v>
      </c>
      <c r="N32" s="22">
        <f t="shared" si="12"/>
        <v>38556</v>
      </c>
      <c r="O32" s="22">
        <f t="shared" si="12"/>
        <v>38556</v>
      </c>
      <c r="P32" s="22">
        <f t="shared" si="12"/>
        <v>38556</v>
      </c>
      <c r="Q32" s="22">
        <f t="shared" si="12"/>
        <v>38556</v>
      </c>
      <c r="R32" s="22">
        <f t="shared" si="12"/>
        <v>38556</v>
      </c>
      <c r="S32" s="22">
        <f t="shared" si="12"/>
        <v>38556</v>
      </c>
      <c r="T32" s="22">
        <f t="shared" si="12"/>
        <v>38556</v>
      </c>
      <c r="U32" s="22">
        <f t="shared" si="12"/>
        <v>38556</v>
      </c>
      <c r="V32" s="22">
        <f t="shared" si="12"/>
        <v>38556</v>
      </c>
      <c r="W32" s="22">
        <f t="shared" si="12"/>
        <v>38556</v>
      </c>
      <c r="X32" s="22">
        <f t="shared" si="12"/>
        <v>38556</v>
      </c>
      <c r="Y32" s="22">
        <f t="shared" si="12"/>
        <v>38556</v>
      </c>
      <c r="Z32" s="22">
        <f t="shared" si="12"/>
        <v>38556</v>
      </c>
    </row>
    <row r="33" spans="2:26">
      <c r="B33" s="625" t="s">
        <v>577</v>
      </c>
      <c r="C33" s="625"/>
      <c r="D33" s="22"/>
      <c r="E33" s="22"/>
      <c r="F33" s="22">
        <f t="shared" ref="F33:H33" si="13">+F34-E34</f>
        <v>0</v>
      </c>
      <c r="G33" s="22">
        <f t="shared" si="13"/>
        <v>0</v>
      </c>
      <c r="H33" s="22">
        <f t="shared" si="13"/>
        <v>0</v>
      </c>
      <c r="I33" s="22">
        <f>+I34-H34</f>
        <v>27.470754888907017</v>
      </c>
      <c r="J33" s="22">
        <f t="shared" ref="J33:Z33" si="14">+J34-I34</f>
        <v>27.470754888907017</v>
      </c>
      <c r="K33" s="22">
        <f t="shared" si="14"/>
        <v>0</v>
      </c>
      <c r="L33" s="22">
        <f t="shared" si="14"/>
        <v>0</v>
      </c>
      <c r="M33" s="22">
        <f t="shared" si="14"/>
        <v>0</v>
      </c>
      <c r="N33" s="22">
        <f t="shared" si="14"/>
        <v>0</v>
      </c>
      <c r="O33" s="22">
        <f t="shared" si="14"/>
        <v>0</v>
      </c>
      <c r="P33" s="22">
        <f t="shared" si="14"/>
        <v>0</v>
      </c>
      <c r="Q33" s="22">
        <f t="shared" si="14"/>
        <v>0</v>
      </c>
      <c r="R33" s="22">
        <f t="shared" si="14"/>
        <v>0</v>
      </c>
      <c r="S33" s="22">
        <f t="shared" si="14"/>
        <v>0</v>
      </c>
      <c r="T33" s="22">
        <f t="shared" si="14"/>
        <v>0</v>
      </c>
      <c r="U33" s="22">
        <f t="shared" si="14"/>
        <v>0</v>
      </c>
      <c r="V33" s="22">
        <f t="shared" si="14"/>
        <v>0</v>
      </c>
      <c r="W33" s="22">
        <f t="shared" si="14"/>
        <v>0</v>
      </c>
      <c r="X33" s="22">
        <f t="shared" si="14"/>
        <v>0</v>
      </c>
      <c r="Y33" s="22">
        <f t="shared" si="14"/>
        <v>0</v>
      </c>
      <c r="Z33" s="22">
        <f t="shared" si="14"/>
        <v>0</v>
      </c>
    </row>
    <row r="34" spans="2:26">
      <c r="B34" s="625" t="s">
        <v>578</v>
      </c>
      <c r="C34" s="625"/>
      <c r="D34" s="22"/>
      <c r="E34" s="22"/>
      <c r="F34" s="22">
        <f>+F35*Assumptions!$F$84</f>
        <v>0</v>
      </c>
      <c r="G34" s="22">
        <f>+G35*Assumptions!$F$84</f>
        <v>0</v>
      </c>
      <c r="H34" s="22">
        <f>+H35*Assumptions!$F$84</f>
        <v>0</v>
      </c>
      <c r="I34" s="22">
        <f>+I35*Assumptions!$F$84</f>
        <v>27.470754888907017</v>
      </c>
      <c r="J34" s="22">
        <f>+J35*Assumptions!$F$84</f>
        <v>54.941509777814034</v>
      </c>
      <c r="K34" s="22">
        <f>+K35*Assumptions!$F$84</f>
        <v>54.941509777814034</v>
      </c>
      <c r="L34" s="22">
        <f>+L35*Assumptions!$F$84</f>
        <v>54.941509777814034</v>
      </c>
      <c r="M34" s="22">
        <f>+M35*Assumptions!$F$84</f>
        <v>54.941509777814034</v>
      </c>
      <c r="N34" s="22">
        <f>+N35*Assumptions!$F$84</f>
        <v>54.941509777814034</v>
      </c>
      <c r="O34" s="22">
        <f>+O35*Assumptions!$F$84</f>
        <v>54.941509777814034</v>
      </c>
      <c r="P34" s="22">
        <f>+P35*Assumptions!$F$84</f>
        <v>54.941509777814034</v>
      </c>
      <c r="Q34" s="22">
        <f>+Q35*Assumptions!$F$84</f>
        <v>54.941509777814034</v>
      </c>
      <c r="R34" s="22">
        <f>+R35*Assumptions!$F$84</f>
        <v>54.941509777814034</v>
      </c>
      <c r="S34" s="22">
        <f>+S35*Assumptions!$F$84</f>
        <v>54.941509777814034</v>
      </c>
      <c r="T34" s="22">
        <f>+T35*Assumptions!$F$84</f>
        <v>54.941509777814034</v>
      </c>
      <c r="U34" s="22">
        <f>+U35*Assumptions!$F$84</f>
        <v>54.941509777814034</v>
      </c>
      <c r="V34" s="22">
        <f>+V35*Assumptions!$F$84</f>
        <v>54.941509777814034</v>
      </c>
      <c r="W34" s="22">
        <f>+W35*Assumptions!$F$84</f>
        <v>54.941509777814034</v>
      </c>
      <c r="X34" s="22">
        <f>+X35*Assumptions!$F$84</f>
        <v>54.941509777814034</v>
      </c>
      <c r="Y34" s="22">
        <f>+Y35*Assumptions!$F$84</f>
        <v>54.941509777814034</v>
      </c>
      <c r="Z34" s="22">
        <f>+Z35*Assumptions!$F$84</f>
        <v>54.941509777814034</v>
      </c>
    </row>
    <row r="35" spans="2:26">
      <c r="B35" s="625" t="s">
        <v>579</v>
      </c>
      <c r="C35" s="625"/>
      <c r="D35" s="22"/>
      <c r="E35" s="22"/>
      <c r="F35" s="49">
        <v>0</v>
      </c>
      <c r="G35" s="49">
        <v>0</v>
      </c>
      <c r="H35" s="49">
        <v>0</v>
      </c>
      <c r="I35" s="49">
        <v>0.5</v>
      </c>
      <c r="J35" s="49">
        <v>1</v>
      </c>
      <c r="K35" s="49">
        <v>1</v>
      </c>
      <c r="L35" s="49">
        <v>1</v>
      </c>
      <c r="M35" s="49">
        <v>1</v>
      </c>
      <c r="N35" s="49">
        <v>1</v>
      </c>
      <c r="O35" s="49">
        <v>1</v>
      </c>
      <c r="P35" s="49">
        <v>1</v>
      </c>
      <c r="Q35" s="49">
        <v>1</v>
      </c>
      <c r="R35" s="49">
        <v>1</v>
      </c>
      <c r="S35" s="49">
        <v>1</v>
      </c>
      <c r="T35" s="49">
        <v>1</v>
      </c>
      <c r="U35" s="49">
        <v>1</v>
      </c>
      <c r="V35" s="49">
        <v>1</v>
      </c>
      <c r="W35" s="49">
        <v>1</v>
      </c>
      <c r="X35" s="49">
        <v>1</v>
      </c>
      <c r="Y35" s="49">
        <v>1</v>
      </c>
      <c r="Z35" s="49">
        <v>1</v>
      </c>
    </row>
    <row r="36" spans="2:26">
      <c r="B36" s="625"/>
      <c r="C36" s="625"/>
      <c r="D36" s="20"/>
      <c r="E36" s="2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>
      <c r="B37" s="625" t="s">
        <v>580</v>
      </c>
      <c r="C37" s="625"/>
      <c r="D37" s="22"/>
      <c r="E37" s="22"/>
      <c r="F37" s="49">
        <v>1</v>
      </c>
      <c r="G37" s="49">
        <v>1.03</v>
      </c>
      <c r="H37" s="49">
        <v>1.06</v>
      </c>
      <c r="I37" s="49">
        <v>1.0900000000000001</v>
      </c>
      <c r="J37" s="49">
        <v>1.1299999999999999</v>
      </c>
      <c r="K37" s="49">
        <v>1.1599999999999999</v>
      </c>
      <c r="L37" s="49">
        <v>1.19</v>
      </c>
      <c r="M37" s="49">
        <v>1.23</v>
      </c>
      <c r="N37" s="49">
        <v>1.27</v>
      </c>
      <c r="O37" s="49">
        <v>1.3</v>
      </c>
      <c r="P37" s="49">
        <v>1.34</v>
      </c>
      <c r="Q37" s="49">
        <v>1.38</v>
      </c>
      <c r="R37" s="49">
        <v>1.43</v>
      </c>
      <c r="S37" s="49">
        <v>1.47</v>
      </c>
      <c r="T37" s="49">
        <v>1.51</v>
      </c>
      <c r="U37" s="49">
        <v>1.56</v>
      </c>
      <c r="V37" s="49">
        <v>1.6</v>
      </c>
      <c r="W37" s="49">
        <v>1.65</v>
      </c>
      <c r="X37" s="49">
        <v>1.7</v>
      </c>
      <c r="Y37" s="49">
        <v>1.75</v>
      </c>
      <c r="Z37" s="49">
        <v>1.81</v>
      </c>
    </row>
    <row r="38" spans="2:26">
      <c r="B38" s="625" t="s">
        <v>581</v>
      </c>
      <c r="C38" s="625"/>
      <c r="D38" s="22"/>
      <c r="E38" s="22"/>
      <c r="F38" s="49">
        <v>1</v>
      </c>
      <c r="G38" s="49">
        <v>1.02</v>
      </c>
      <c r="H38" s="49">
        <v>1.04</v>
      </c>
      <c r="I38" s="49">
        <v>1.06</v>
      </c>
      <c r="J38" s="49">
        <v>1.08</v>
      </c>
      <c r="K38" s="49">
        <v>1.1000000000000001</v>
      </c>
      <c r="L38" s="49">
        <v>1.1299999999999999</v>
      </c>
      <c r="M38" s="49">
        <v>1.1499999999999999</v>
      </c>
      <c r="N38" s="49">
        <v>1.17</v>
      </c>
      <c r="O38" s="49">
        <v>1.2</v>
      </c>
      <c r="P38" s="49">
        <v>1.22</v>
      </c>
      <c r="Q38" s="49">
        <v>1.24</v>
      </c>
      <c r="R38" s="49">
        <v>1.27</v>
      </c>
      <c r="S38" s="49">
        <v>1.29</v>
      </c>
      <c r="T38" s="49">
        <v>1.32</v>
      </c>
      <c r="U38" s="49">
        <v>1.35</v>
      </c>
      <c r="V38" s="49">
        <v>1.37</v>
      </c>
      <c r="W38" s="49">
        <v>1.4</v>
      </c>
      <c r="X38" s="49">
        <v>1.43</v>
      </c>
      <c r="Y38" s="49">
        <v>1.46</v>
      </c>
      <c r="Z38" s="49">
        <v>1.49</v>
      </c>
    </row>
    <row r="39" spans="2:26">
      <c r="B39" s="625"/>
      <c r="C39" s="625"/>
      <c r="D39" s="20"/>
      <c r="E39" s="2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s="15" customFormat="1">
      <c r="B40" s="15" t="s">
        <v>582</v>
      </c>
      <c r="D40" s="7"/>
      <c r="E40" s="7"/>
      <c r="F40" s="7">
        <v>0</v>
      </c>
      <c r="G40" s="7">
        <v>0</v>
      </c>
      <c r="H40" s="7">
        <v>0</v>
      </c>
      <c r="I40" s="7">
        <f>I35*Assumptions!$F$82*'Phase I Pro Forma'!I37</f>
        <v>760498.36258208018</v>
      </c>
      <c r="J40" s="7">
        <f>J35*Assumptions!$F$82*'Phase I Pro Forma'!J37</f>
        <v>1576813.1187481659</v>
      </c>
      <c r="K40" s="7">
        <f>K35*Assumptions!$F$82*'Phase I Pro Forma'!K37</f>
        <v>1618675.4139361703</v>
      </c>
      <c r="L40" s="7">
        <f>L35*Assumptions!$F$82*'Phase I Pro Forma'!L37</f>
        <v>1660537.7091241749</v>
      </c>
      <c r="M40" s="7">
        <f>M35*Assumptions!$F$82*'Phase I Pro Forma'!M37</f>
        <v>1716354.1027081807</v>
      </c>
      <c r="N40" s="7">
        <f>N35*Assumptions!$F$82*'Phase I Pro Forma'!N37</f>
        <v>1772170.4962921867</v>
      </c>
      <c r="O40" s="7">
        <f>O35*Assumptions!$F$82*'Phase I Pro Forma'!O37</f>
        <v>1814032.7914801911</v>
      </c>
      <c r="P40" s="7">
        <f>P35*Assumptions!$F$82*'Phase I Pro Forma'!P37</f>
        <v>1869849.1850641971</v>
      </c>
      <c r="Q40" s="7">
        <f>Q35*Assumptions!$F$82*'Phase I Pro Forma'!Q37</f>
        <v>1925665.5786482026</v>
      </c>
      <c r="R40" s="7">
        <f>R35*Assumptions!$F$82*'Phase I Pro Forma'!R37</f>
        <v>1995436.0706282102</v>
      </c>
      <c r="S40" s="7">
        <f>S35*Assumptions!$F$82*'Phase I Pro Forma'!S37</f>
        <v>2051252.464212216</v>
      </c>
      <c r="T40" s="7">
        <f>T35*Assumptions!$F$82*'Phase I Pro Forma'!T37</f>
        <v>2107068.857796222</v>
      </c>
      <c r="U40" s="7">
        <f>U35*Assumptions!$F$82*'Phase I Pro Forma'!U37</f>
        <v>2176839.3497762294</v>
      </c>
      <c r="V40" s="7">
        <f>V35*Assumptions!$F$82*'Phase I Pro Forma'!V37</f>
        <v>2232655.7433602354</v>
      </c>
      <c r="W40" s="7">
        <f>W35*Assumptions!$F$82*'Phase I Pro Forma'!W37</f>
        <v>2302426.2353402423</v>
      </c>
      <c r="X40" s="7">
        <f>X35*Assumptions!$F$82*'Phase I Pro Forma'!X37</f>
        <v>2372196.7273202497</v>
      </c>
      <c r="Y40" s="7">
        <f>Y35*Assumptions!$F$82*'Phase I Pro Forma'!Y37</f>
        <v>2441967.219300257</v>
      </c>
      <c r="Z40" s="7">
        <f>Z35*Assumptions!$F$82*'Phase I Pro Forma'!Z37</f>
        <v>2525691.8096762663</v>
      </c>
    </row>
    <row r="41" spans="2:26" s="15" customFormat="1">
      <c r="B41" s="15" t="s">
        <v>583</v>
      </c>
      <c r="D41" s="7"/>
      <c r="E41" s="7"/>
      <c r="F41" s="679">
        <f>-F40*Assumptions!$N$55</f>
        <v>0</v>
      </c>
      <c r="G41" s="679">
        <f>-G40*Assumptions!$N$55</f>
        <v>0</v>
      </c>
      <c r="H41" s="679">
        <f>-H40*Assumptions!$N$55</f>
        <v>0</v>
      </c>
      <c r="I41" s="679">
        <f>-I40*Assumptions!$N$55</f>
        <v>-38024.918129104008</v>
      </c>
      <c r="J41" s="679">
        <f>-J40*Assumptions!$N$55</f>
        <v>-78840.655937408301</v>
      </c>
      <c r="K41" s="679">
        <f>-K40*Assumptions!$N$55</f>
        <v>-80933.770696808526</v>
      </c>
      <c r="L41" s="679">
        <f>-L40*Assumptions!$N$55</f>
        <v>-83026.885456208751</v>
      </c>
      <c r="M41" s="679">
        <f>-M40*Assumptions!$N$55</f>
        <v>-85817.705135409036</v>
      </c>
      <c r="N41" s="679">
        <f>-N40*Assumptions!$N$55</f>
        <v>-88608.524814609336</v>
      </c>
      <c r="O41" s="679">
        <f>-O40*Assumptions!$N$55</f>
        <v>-90701.639574009561</v>
      </c>
      <c r="P41" s="679">
        <f>-P40*Assumptions!$N$55</f>
        <v>-93492.459253209861</v>
      </c>
      <c r="Q41" s="679">
        <f>-Q40*Assumptions!$N$55</f>
        <v>-96283.278932410132</v>
      </c>
      <c r="R41" s="679">
        <f>-R40*Assumptions!$N$55</f>
        <v>-99771.803531410522</v>
      </c>
      <c r="S41" s="679">
        <f>-S40*Assumptions!$N$55</f>
        <v>-102562.62321061081</v>
      </c>
      <c r="T41" s="679">
        <f>-T40*Assumptions!$N$55</f>
        <v>-105353.44288981111</v>
      </c>
      <c r="U41" s="679">
        <f>-U40*Assumptions!$N$55</f>
        <v>-108841.96748881147</v>
      </c>
      <c r="V41" s="679">
        <f>-V40*Assumptions!$N$55</f>
        <v>-111632.78716801177</v>
      </c>
      <c r="W41" s="679">
        <f>-W40*Assumptions!$N$55</f>
        <v>-115121.31176701211</v>
      </c>
      <c r="X41" s="679">
        <f>-X40*Assumptions!$N$55</f>
        <v>-118609.83636601249</v>
      </c>
      <c r="Y41" s="679">
        <f>-Y40*Assumptions!$N$55</f>
        <v>-122098.36096501286</v>
      </c>
      <c r="Z41" s="679">
        <f>-Z40*Assumptions!$N$55</f>
        <v>-126284.59048381331</v>
      </c>
    </row>
    <row r="42" spans="2:26" s="15" customFormat="1">
      <c r="B42" s="15" t="s">
        <v>591</v>
      </c>
      <c r="D42" s="7"/>
      <c r="E42" s="7"/>
      <c r="F42" s="681">
        <f>+F34*Assumptions!$F$90*(1-Assumptions!$N$55)*12</f>
        <v>0</v>
      </c>
      <c r="G42" s="681">
        <f>+G34*Assumptions!$F$90*(1-Assumptions!$N$55)*12</f>
        <v>0</v>
      </c>
      <c r="H42" s="681">
        <f>+H34*Assumptions!$F$90*(1-Assumptions!$N$55)*12</f>
        <v>0</v>
      </c>
      <c r="I42" s="681">
        <f>+I34*Assumptions!$F$90*(1-Assumptions!$N$55)*12</f>
        <v>17224.163315344696</v>
      </c>
      <c r="J42" s="681">
        <f>+J34*Assumptions!$F$90*(1-Assumptions!$N$55)*12</f>
        <v>34448.326630689393</v>
      </c>
      <c r="K42" s="681">
        <f>+K34*Assumptions!$F$90*(1-Assumptions!$N$55)*12</f>
        <v>34448.326630689393</v>
      </c>
      <c r="L42" s="681">
        <f>+L34*Assumptions!$F$90*(1-Assumptions!$N$55)*12</f>
        <v>34448.326630689393</v>
      </c>
      <c r="M42" s="681">
        <f>+M34*Assumptions!$F$90*(1-Assumptions!$N$55)*12</f>
        <v>34448.326630689393</v>
      </c>
      <c r="N42" s="681">
        <f>+N34*Assumptions!$F$90*(1-Assumptions!$N$55)*12</f>
        <v>34448.326630689393</v>
      </c>
      <c r="O42" s="681">
        <f>+O34*Assumptions!$F$90*(1-Assumptions!$N$55)*12</f>
        <v>34448.326630689393</v>
      </c>
      <c r="P42" s="681">
        <f>+P34*Assumptions!$F$90*(1-Assumptions!$N$55)*12</f>
        <v>34448.326630689393</v>
      </c>
      <c r="Q42" s="681">
        <f>+Q34*Assumptions!$F$90*(1-Assumptions!$N$55)*12</f>
        <v>34448.326630689393</v>
      </c>
      <c r="R42" s="681">
        <f>+R34*Assumptions!$F$90*(1-Assumptions!$N$55)*12</f>
        <v>34448.326630689393</v>
      </c>
      <c r="S42" s="681">
        <f>+S34*Assumptions!$F$90*(1-Assumptions!$N$55)*12</f>
        <v>34448.326630689393</v>
      </c>
      <c r="T42" s="681">
        <f>+T34*Assumptions!$F$90*(1-Assumptions!$N$55)*12</f>
        <v>34448.326630689393</v>
      </c>
      <c r="U42" s="681">
        <f>+U34*Assumptions!$F$90*(1-Assumptions!$N$55)*12</f>
        <v>34448.326630689393</v>
      </c>
      <c r="V42" s="681">
        <f>+V34*Assumptions!$F$90*(1-Assumptions!$N$55)*12</f>
        <v>34448.326630689393</v>
      </c>
      <c r="W42" s="681">
        <f>+W34*Assumptions!$F$90*(1-Assumptions!$N$55)*12</f>
        <v>34448.326630689393</v>
      </c>
      <c r="X42" s="681">
        <f>+X34*Assumptions!$F$90*(1-Assumptions!$N$55)*12</f>
        <v>34448.326630689393</v>
      </c>
      <c r="Y42" s="681">
        <f>+Y34*Assumptions!$F$90*(1-Assumptions!$N$55)*12</f>
        <v>34448.326630689393</v>
      </c>
      <c r="Z42" s="681">
        <f>+Z34*Assumptions!$F$90*(1-Assumptions!$N$55)*12</f>
        <v>34448.326630689393</v>
      </c>
    </row>
    <row r="43" spans="2:26" s="15" customFormat="1">
      <c r="B43" s="682" t="s">
        <v>584</v>
      </c>
      <c r="C43" s="682"/>
      <c r="D43" s="682"/>
      <c r="E43" s="682"/>
      <c r="F43" s="683">
        <v>0</v>
      </c>
      <c r="G43" s="683">
        <v>0</v>
      </c>
      <c r="H43" s="683">
        <v>0</v>
      </c>
      <c r="I43" s="683">
        <f>SUM(I40:I42)</f>
        <v>739697.60776832094</v>
      </c>
      <c r="J43" s="683">
        <f>SUM(J40:J42)</f>
        <v>1532420.789441447</v>
      </c>
      <c r="K43" s="683">
        <f t="shared" ref="K43:Z43" si="15">SUM(K40:K42)</f>
        <v>1572189.9698700511</v>
      </c>
      <c r="L43" s="683">
        <f t="shared" si="15"/>
        <v>1611959.1502986555</v>
      </c>
      <c r="M43" s="683">
        <f t="shared" si="15"/>
        <v>1664984.7242034611</v>
      </c>
      <c r="N43" s="683">
        <f t="shared" si="15"/>
        <v>1718010.2981082667</v>
      </c>
      <c r="O43" s="683">
        <f t="shared" si="15"/>
        <v>1757779.478536871</v>
      </c>
      <c r="P43" s="683">
        <f t="shared" si="15"/>
        <v>1810805.0524416766</v>
      </c>
      <c r="Q43" s="683">
        <f t="shared" si="15"/>
        <v>1863830.626346482</v>
      </c>
      <c r="R43" s="683">
        <f t="shared" si="15"/>
        <v>1930112.5937274892</v>
      </c>
      <c r="S43" s="683">
        <f t="shared" si="15"/>
        <v>1983138.1676322946</v>
      </c>
      <c r="T43" s="683">
        <f t="shared" si="15"/>
        <v>2036163.7415371004</v>
      </c>
      <c r="U43" s="683">
        <f t="shared" si="15"/>
        <v>2102445.7089181072</v>
      </c>
      <c r="V43" s="683">
        <f t="shared" si="15"/>
        <v>2155471.2828229126</v>
      </c>
      <c r="W43" s="683">
        <f t="shared" si="15"/>
        <v>2221753.2502039196</v>
      </c>
      <c r="X43" s="683">
        <f t="shared" si="15"/>
        <v>2288035.2175849262</v>
      </c>
      <c r="Y43" s="683">
        <f t="shared" si="15"/>
        <v>2354317.1849659332</v>
      </c>
      <c r="Z43" s="683">
        <f t="shared" si="15"/>
        <v>2433855.5458231419</v>
      </c>
    </row>
    <row r="44" spans="2:26" s="15" customFormat="1"/>
    <row r="45" spans="2:26" s="15" customFormat="1">
      <c r="B45" s="15" t="s">
        <v>585</v>
      </c>
      <c r="F45" s="7">
        <v>0</v>
      </c>
      <c r="G45" s="7">
        <v>0</v>
      </c>
      <c r="H45" s="7">
        <v>0</v>
      </c>
      <c r="I45" s="7">
        <f>I34*Assumptions!$N$96*I38</f>
        <v>174714.00109344863</v>
      </c>
      <c r="J45" s="7">
        <f>J34*Assumptions!$N$96*J38</f>
        <v>356020.98336023494</v>
      </c>
      <c r="K45" s="7">
        <f>K34*Assumptions!$N$96*K38</f>
        <v>362613.96453357267</v>
      </c>
      <c r="L45" s="7">
        <f>L34*Assumptions!$N$96*L38</f>
        <v>372503.43629357911</v>
      </c>
      <c r="M45" s="7">
        <f>M34*Assumptions!$N$96*M38</f>
        <v>379096.41746691678</v>
      </c>
      <c r="N45" s="7">
        <f>N34*Assumptions!$N$96*N38</f>
        <v>385689.39864025451</v>
      </c>
      <c r="O45" s="7">
        <f>O34*Assumptions!$N$96*O38</f>
        <v>395578.87040026102</v>
      </c>
      <c r="P45" s="7">
        <f>P34*Assumptions!$N$96*P38</f>
        <v>402171.85157359869</v>
      </c>
      <c r="Q45" s="7">
        <f>Q34*Assumptions!$N$96*Q38</f>
        <v>408764.83274693642</v>
      </c>
      <c r="R45" s="7">
        <f>R34*Assumptions!$N$96*R38</f>
        <v>418654.30450694292</v>
      </c>
      <c r="S45" s="7">
        <f>S34*Assumptions!$N$96*S38</f>
        <v>425247.28568028065</v>
      </c>
      <c r="T45" s="7">
        <f>T34*Assumptions!$N$96*T38</f>
        <v>435136.75744028715</v>
      </c>
      <c r="U45" s="7">
        <f>U34*Assumptions!$N$96*U38</f>
        <v>445026.22920029372</v>
      </c>
      <c r="V45" s="7">
        <f>V34*Assumptions!$N$96*V38</f>
        <v>451619.21037363139</v>
      </c>
      <c r="W45" s="7">
        <f>W34*Assumptions!$N$96*W38</f>
        <v>461508.68213363783</v>
      </c>
      <c r="X45" s="7">
        <f>X34*Assumptions!$N$96*X38</f>
        <v>471398.1538936444</v>
      </c>
      <c r="Y45" s="7">
        <f>Y34*Assumptions!$N$96*Y38</f>
        <v>481287.6256536509</v>
      </c>
      <c r="Z45" s="7">
        <f>Z34*Assumptions!$N$96*Z38</f>
        <v>491177.09741365747</v>
      </c>
    </row>
    <row r="46" spans="2:26" s="659" customFormat="1">
      <c r="B46" s="659" t="s">
        <v>592</v>
      </c>
      <c r="F46" s="698"/>
      <c r="G46" s="698">
        <v>0</v>
      </c>
      <c r="H46" s="698">
        <v>0</v>
      </c>
      <c r="I46" s="698">
        <f>-('Parcel x Block Info'!$P$15*0.36)*I35*-1</f>
        <v>729502.22660399985</v>
      </c>
      <c r="J46" s="698">
        <f>2*I46*1.02</f>
        <v>1488184.5422721598</v>
      </c>
      <c r="K46" s="698">
        <f t="shared" ref="K46:Z46" si="16">J46*1.02</f>
        <v>1517948.233117603</v>
      </c>
      <c r="L46" s="698">
        <f t="shared" si="16"/>
        <v>1548307.1977799551</v>
      </c>
      <c r="M46" s="698">
        <f t="shared" si="16"/>
        <v>1579273.3417355542</v>
      </c>
      <c r="N46" s="698">
        <f t="shared" si="16"/>
        <v>1610858.8085702653</v>
      </c>
      <c r="O46" s="698">
        <f t="shared" si="16"/>
        <v>1643075.9847416705</v>
      </c>
      <c r="P46" s="698">
        <f t="shared" si="16"/>
        <v>1675937.5044365041</v>
      </c>
      <c r="Q46" s="698">
        <f t="shared" si="16"/>
        <v>1709456.2545252342</v>
      </c>
      <c r="R46" s="698">
        <f t="shared" si="16"/>
        <v>1743645.379615739</v>
      </c>
      <c r="S46" s="698">
        <f t="shared" si="16"/>
        <v>1778518.2872080537</v>
      </c>
      <c r="T46" s="698">
        <f t="shared" si="16"/>
        <v>1814088.6529522149</v>
      </c>
      <c r="U46" s="698">
        <f t="shared" si="16"/>
        <v>1850370.4260112592</v>
      </c>
      <c r="V46" s="698">
        <f t="shared" si="16"/>
        <v>1887377.8345314844</v>
      </c>
      <c r="W46" s="698">
        <f t="shared" si="16"/>
        <v>1925125.3912221142</v>
      </c>
      <c r="X46" s="698">
        <f t="shared" si="16"/>
        <v>1963627.8990465566</v>
      </c>
      <c r="Y46" s="698">
        <f t="shared" si="16"/>
        <v>2002900.4570274877</v>
      </c>
      <c r="Z46" s="698">
        <f t="shared" si="16"/>
        <v>2042958.4661680374</v>
      </c>
    </row>
    <row r="47" spans="2:26" s="15" customFormat="1">
      <c r="B47" s="682" t="s">
        <v>586</v>
      </c>
      <c r="C47" s="682"/>
      <c r="D47" s="682"/>
      <c r="E47" s="682"/>
      <c r="F47" s="683">
        <v>0</v>
      </c>
      <c r="G47" s="683">
        <v>0</v>
      </c>
      <c r="H47" s="683">
        <v>0</v>
      </c>
      <c r="I47" s="683">
        <f t="shared" ref="I47:Z47" si="17">SUM(I45:I46)</f>
        <v>904216.22769744846</v>
      </c>
      <c r="J47" s="683">
        <f t="shared" si="17"/>
        <v>1844205.5256323947</v>
      </c>
      <c r="K47" s="683">
        <f t="shared" si="17"/>
        <v>1880562.1976511758</v>
      </c>
      <c r="L47" s="683">
        <f t="shared" si="17"/>
        <v>1920810.6340735343</v>
      </c>
      <c r="M47" s="683">
        <f t="shared" si="17"/>
        <v>1958369.759202471</v>
      </c>
      <c r="N47" s="683">
        <f t="shared" si="17"/>
        <v>1996548.2072105198</v>
      </c>
      <c r="O47" s="683">
        <f t="shared" si="17"/>
        <v>2038654.8551419317</v>
      </c>
      <c r="P47" s="683">
        <f t="shared" si="17"/>
        <v>2078109.3560101027</v>
      </c>
      <c r="Q47" s="683">
        <f t="shared" si="17"/>
        <v>2118221.0872721705</v>
      </c>
      <c r="R47" s="683">
        <f t="shared" si="17"/>
        <v>2162299.6841226821</v>
      </c>
      <c r="S47" s="683">
        <f t="shared" si="17"/>
        <v>2203765.5728883343</v>
      </c>
      <c r="T47" s="683">
        <f t="shared" si="17"/>
        <v>2249225.4103925023</v>
      </c>
      <c r="U47" s="683">
        <f t="shared" si="17"/>
        <v>2295396.655211553</v>
      </c>
      <c r="V47" s="683">
        <f t="shared" si="17"/>
        <v>2338997.0449051159</v>
      </c>
      <c r="W47" s="683">
        <f t="shared" si="17"/>
        <v>2386634.073355752</v>
      </c>
      <c r="X47" s="683">
        <f t="shared" si="17"/>
        <v>2435026.052940201</v>
      </c>
      <c r="Y47" s="683">
        <f t="shared" si="17"/>
        <v>2484188.0826811385</v>
      </c>
      <c r="Z47" s="683">
        <f t="shared" si="17"/>
        <v>2534135.5635816948</v>
      </c>
    </row>
    <row r="48" spans="2:26" s="15" customFormat="1"/>
    <row r="49" spans="1:26" s="15" customFormat="1">
      <c r="A49" s="693"/>
      <c r="B49" s="685" t="s">
        <v>587</v>
      </c>
      <c r="C49" s="685"/>
      <c r="D49" s="685"/>
      <c r="E49" s="685"/>
      <c r="F49" s="686">
        <f t="shared" ref="F49:H49" si="18">F43-F47</f>
        <v>0</v>
      </c>
      <c r="G49" s="686">
        <f t="shared" si="18"/>
        <v>0</v>
      </c>
      <c r="H49" s="686">
        <f t="shared" si="18"/>
        <v>0</v>
      </c>
      <c r="I49" s="686">
        <f>I43-I47</f>
        <v>-164518.61992912751</v>
      </c>
      <c r="J49" s="686">
        <f>J43-J47</f>
        <v>-311784.7361909477</v>
      </c>
      <c r="K49" s="686">
        <f>K43-K47</f>
        <v>-308372.22778112465</v>
      </c>
      <c r="L49" s="686">
        <f t="shared" ref="L49:Y49" si="19">L43-L47</f>
        <v>-308851.48377487878</v>
      </c>
      <c r="M49" s="694">
        <f t="shared" si="19"/>
        <v>-293385.03499900992</v>
      </c>
      <c r="N49" s="686">
        <f t="shared" si="19"/>
        <v>-278537.90910225315</v>
      </c>
      <c r="O49" s="686">
        <f t="shared" si="19"/>
        <v>-280875.37660506065</v>
      </c>
      <c r="P49" s="686">
        <f t="shared" si="19"/>
        <v>-267304.30356842605</v>
      </c>
      <c r="Q49" s="686">
        <f t="shared" si="19"/>
        <v>-254390.4609256885</v>
      </c>
      <c r="R49" s="686">
        <f t="shared" si="19"/>
        <v>-232187.09039519285</v>
      </c>
      <c r="S49" s="686">
        <f t="shared" si="19"/>
        <v>-220627.4052560397</v>
      </c>
      <c r="T49" s="686">
        <f t="shared" si="19"/>
        <v>-213061.66885540192</v>
      </c>
      <c r="U49" s="686">
        <f t="shared" si="19"/>
        <v>-192950.94629344577</v>
      </c>
      <c r="V49" s="686">
        <f t="shared" si="19"/>
        <v>-183525.76208220329</v>
      </c>
      <c r="W49" s="686">
        <f t="shared" si="19"/>
        <v>-164880.82315183245</v>
      </c>
      <c r="X49" s="686">
        <f t="shared" si="19"/>
        <v>-146990.83535527484</v>
      </c>
      <c r="Y49" s="686">
        <f t="shared" si="19"/>
        <v>-129870.89771520533</v>
      </c>
      <c r="Z49" s="686">
        <f t="shared" ref="Z49" si="20">Z43-Z47</f>
        <v>-100280.01775855292</v>
      </c>
    </row>
    <row r="50" spans="1:26" s="15" customFormat="1">
      <c r="B50" s="687" t="s">
        <v>588</v>
      </c>
      <c r="C50" s="688"/>
      <c r="D50" s="688"/>
      <c r="E50" s="688"/>
      <c r="F50" s="689"/>
      <c r="G50" s="689"/>
      <c r="H50" s="689"/>
      <c r="I50" s="690">
        <f t="shared" ref="I50:Y50" si="21">+IFERROR(I49/I43,"")</f>
        <v>-0.22241334594211101</v>
      </c>
      <c r="J50" s="690">
        <f t="shared" si="21"/>
        <v>-0.2034589574477062</v>
      </c>
      <c r="K50" s="690">
        <f t="shared" si="21"/>
        <v>-0.19614183634984839</v>
      </c>
      <c r="L50" s="690">
        <f t="shared" si="21"/>
        <v>-0.19160006859829939</v>
      </c>
      <c r="M50" s="690">
        <f t="shared" si="21"/>
        <v>-0.17620884488256619</v>
      </c>
      <c r="N50" s="690">
        <f t="shared" si="21"/>
        <v>-0.16212819527854777</v>
      </c>
      <c r="O50" s="690">
        <f t="shared" si="21"/>
        <v>-0.15978988265288763</v>
      </c>
      <c r="P50" s="690">
        <f t="shared" si="21"/>
        <v>-0.14761627885232309</v>
      </c>
      <c r="Q50" s="690">
        <f t="shared" si="21"/>
        <v>-0.13648797124036413</v>
      </c>
      <c r="R50" s="690">
        <f t="shared" si="21"/>
        <v>-0.12029717393159248</v>
      </c>
      <c r="S50" s="690">
        <f t="shared" si="21"/>
        <v>-0.1112516560151988</v>
      </c>
      <c r="T50" s="690">
        <f t="shared" si="21"/>
        <v>-0.10463876971631055</v>
      </c>
      <c r="U50" s="690">
        <f t="shared" si="21"/>
        <v>-9.1774520252765987E-2</v>
      </c>
      <c r="V50" s="690">
        <f t="shared" si="21"/>
        <v>-8.5144146222096179E-2</v>
      </c>
      <c r="W50" s="690">
        <f t="shared" si="21"/>
        <v>-7.421203193320372E-2</v>
      </c>
      <c r="X50" s="690">
        <f t="shared" si="21"/>
        <v>-6.4243257370149687E-2</v>
      </c>
      <c r="Y50" s="690">
        <f t="shared" si="21"/>
        <v>-5.5162872082201851E-2</v>
      </c>
      <c r="Z50" s="690">
        <f t="shared" ref="Z50" si="22">+IFERROR(Z49/Z43,"")</f>
        <v>-4.1202123901990954E-2</v>
      </c>
    </row>
    <row r="51" spans="1:26" s="15" customFormat="1">
      <c r="B51" s="687" t="s">
        <v>589</v>
      </c>
      <c r="C51" s="688"/>
      <c r="D51" s="688"/>
      <c r="E51" s="688"/>
      <c r="F51" s="691">
        <v>0</v>
      </c>
      <c r="G51" s="691">
        <v>0</v>
      </c>
      <c r="H51" s="691">
        <v>0</v>
      </c>
      <c r="I51" s="691">
        <f>I49/Assumptions!$N$129</f>
        <v>-2991247.6350750457</v>
      </c>
      <c r="J51" s="691">
        <f>J49/Assumptions!$N$129</f>
        <v>-5668813.3852899587</v>
      </c>
      <c r="K51" s="691">
        <f>K49/Assumptions!$N$129</f>
        <v>-5606767.7778386297</v>
      </c>
      <c r="L51" s="691">
        <f>L49/Assumptions!$N$129</f>
        <v>-5615481.523179614</v>
      </c>
      <c r="M51" s="691">
        <f>M49/Assumptions!$N$129</f>
        <v>-5334273.3636183618</v>
      </c>
      <c r="N51" s="691">
        <f>N49/Assumptions!$N$129</f>
        <v>-5064325.6200409662</v>
      </c>
      <c r="O51" s="691">
        <f>O49/Assumptions!$N$129</f>
        <v>-5106825.0291829212</v>
      </c>
      <c r="P51" s="691">
        <f>P49/Assumptions!$N$129</f>
        <v>-4860078.2466986552</v>
      </c>
      <c r="Q51" s="691">
        <f>Q49/Assumptions!$N$129</f>
        <v>-4625281.1077397913</v>
      </c>
      <c r="R51" s="691">
        <f>R49/Assumptions!$N$129</f>
        <v>-4221583.4617307791</v>
      </c>
      <c r="S51" s="691">
        <f>S49/Assumptions!$N$129</f>
        <v>-4011407.3682916309</v>
      </c>
      <c r="T51" s="691">
        <f>T49/Assumptions!$N$129</f>
        <v>-3873848.5246436712</v>
      </c>
      <c r="U51" s="691">
        <f>U49/Assumptions!$N$129</f>
        <v>-3508199.0235171956</v>
      </c>
      <c r="V51" s="691">
        <f>V49/Assumptions!$N$129</f>
        <v>-3336832.0378582417</v>
      </c>
      <c r="W51" s="691">
        <f>W49/Assumptions!$N$129</f>
        <v>-2997833.1482151356</v>
      </c>
      <c r="X51" s="691">
        <f>X49/Assumptions!$N$129</f>
        <v>-2672560.6428231788</v>
      </c>
      <c r="Y51" s="691">
        <f>Y49/Assumptions!$N$129</f>
        <v>-2361289.0493673696</v>
      </c>
      <c r="Z51" s="691">
        <f>Z49/Assumptions!$N$129</f>
        <v>-1823273.0501555076</v>
      </c>
    </row>
    <row r="53" spans="1:26">
      <c r="B53" s="622" t="s">
        <v>29</v>
      </c>
      <c r="C53" s="623"/>
      <c r="D53" s="623"/>
      <c r="E53" s="623"/>
      <c r="F53" s="624">
        <v>44561</v>
      </c>
      <c r="G53" s="624">
        <v>44926</v>
      </c>
      <c r="H53" s="624">
        <v>45291</v>
      </c>
      <c r="I53" s="624">
        <v>45657</v>
      </c>
      <c r="J53" s="624">
        <v>46022</v>
      </c>
      <c r="K53" s="624">
        <v>46387</v>
      </c>
      <c r="L53" s="624">
        <v>46752</v>
      </c>
      <c r="M53" s="624">
        <v>47118</v>
      </c>
      <c r="N53" s="624">
        <v>47483</v>
      </c>
      <c r="O53" s="624">
        <v>11323</v>
      </c>
      <c r="P53" s="624">
        <v>11688</v>
      </c>
      <c r="Q53" s="624">
        <v>12054</v>
      </c>
      <c r="R53" s="624">
        <v>12419</v>
      </c>
      <c r="S53" s="624">
        <v>12784</v>
      </c>
      <c r="T53" s="624">
        <v>13149</v>
      </c>
      <c r="U53" s="624">
        <v>13515</v>
      </c>
      <c r="V53" s="624">
        <v>13880</v>
      </c>
      <c r="W53" s="624">
        <v>14245</v>
      </c>
      <c r="X53" s="624">
        <v>14610</v>
      </c>
      <c r="Y53" s="624">
        <v>14976</v>
      </c>
      <c r="Z53" s="624">
        <v>15341</v>
      </c>
    </row>
    <row r="54" spans="1:26">
      <c r="B54" s="625" t="s">
        <v>575</v>
      </c>
      <c r="C54" s="625"/>
      <c r="D54" s="20"/>
      <c r="E54" s="20"/>
      <c r="F54" s="22">
        <f>+IF(AND(F53&gt;=Assumptions!$F$26,F53&lt;Assumptions!$F$28),Assumptions!$F$137/ROUNDUP((Assumptions!$F$27/12),0),0)</f>
        <v>0</v>
      </c>
      <c r="G54" s="22">
        <f>+IF(AND(G53&gt;=Assumptions!$F$26,G53&lt;Assumptions!$F$28),Assumptions!$F$137/ROUNDUP((Assumptions!$F$27/12),0),0)</f>
        <v>0</v>
      </c>
      <c r="H54" s="22">
        <f>+IF(AND(H53&gt;=Assumptions!$F$26,H53&lt;Assumptions!$F$28),Assumptions!$F$137/ROUNDUP((Assumptions!$F$27/12),0),0)</f>
        <v>0</v>
      </c>
      <c r="I54" s="22">
        <f>+IF(AND(I53&gt;=Assumptions!$F$26,I53&lt;Assumptions!$F$28),Assumptions!$F$137/ROUNDUP((Assumptions!$F$27/12),0),0)</f>
        <v>60736.700000000004</v>
      </c>
      <c r="J54" s="22">
        <f>+IF(AND(J53&gt;=Assumptions!$F$26,J53&lt;Assumptions!$F$28),Assumptions!$F$137/ROUNDUP((Assumptions!$F$27/12),0),0)</f>
        <v>60736.700000000004</v>
      </c>
      <c r="K54" s="22">
        <f>+IF(AND(K53&gt;=Assumptions!$F$26,K53&lt;Assumptions!$F$28),Assumptions!$F$137/ROUNDUP((Assumptions!$F$27/12),0),0)</f>
        <v>0</v>
      </c>
      <c r="L54" s="22">
        <f>+IF(AND(L53&gt;=Assumptions!$F$26,L53&lt;Assumptions!$F$28),Assumptions!$F$137/ROUNDUP((Assumptions!$F$27/12),0),0)</f>
        <v>0</v>
      </c>
      <c r="M54" s="22">
        <f>+IF(AND(M53&gt;=Assumptions!$F$26,M53&lt;Assumptions!$F$28),Assumptions!$F$137/ROUNDUP((Assumptions!$F$27/12),0),0)</f>
        <v>0</v>
      </c>
      <c r="N54" s="22">
        <f>+IF(AND(N53&gt;=Assumptions!$F$26,N53&lt;Assumptions!$F$28),Assumptions!$F$137/ROUNDUP((Assumptions!$F$27/12),0),0)</f>
        <v>0</v>
      </c>
      <c r="O54" s="22">
        <f>+IF(AND(O53&gt;=Assumptions!$F$26,O53&lt;Assumptions!$F$28),Assumptions!$F$137/ROUNDUP((Assumptions!$F$27/12),0),0)</f>
        <v>0</v>
      </c>
      <c r="P54" s="22">
        <f>+IF(AND(P53&gt;=Assumptions!$F$26,P53&lt;Assumptions!$F$28),Assumptions!$F$137/ROUNDUP((Assumptions!$F$27/12),0),0)</f>
        <v>0</v>
      </c>
      <c r="Q54" s="22">
        <f>+IF(AND(Q53&gt;=Assumptions!$F$26,Q53&lt;Assumptions!$F$28),Assumptions!$F$137/ROUNDUP((Assumptions!$F$27/12),0),0)</f>
        <v>0</v>
      </c>
      <c r="R54" s="22">
        <f>+IF(AND(R53&gt;=Assumptions!$F$26,R53&lt;Assumptions!$F$28),Assumptions!$F$137/ROUNDUP((Assumptions!$F$27/12),0),0)</f>
        <v>0</v>
      </c>
      <c r="S54" s="22">
        <f>+IF(AND(S53&gt;=Assumptions!$F$26,S53&lt;Assumptions!$F$28),Assumptions!$F$137/ROUNDUP((Assumptions!$F$27/12),0),0)</f>
        <v>0</v>
      </c>
      <c r="T54" s="22">
        <f>+IF(AND(T53&gt;=Assumptions!$F$26,T53&lt;Assumptions!$F$28),Assumptions!$F$137/ROUNDUP((Assumptions!$F$27/12),0),0)</f>
        <v>0</v>
      </c>
      <c r="U54" s="22">
        <f>+IF(AND(U53&gt;=Assumptions!$F$26,U53&lt;Assumptions!$F$28),Assumptions!$F$137/ROUNDUP((Assumptions!$F$27/12),0),0)</f>
        <v>0</v>
      </c>
      <c r="V54" s="22">
        <f>+IF(AND(V53&gt;=Assumptions!$F$26,V53&lt;Assumptions!$F$28),Assumptions!$F$137/ROUNDUP((Assumptions!$F$27/12),0),0)</f>
        <v>0</v>
      </c>
      <c r="W54" s="22">
        <f>+IF(AND(W53&gt;=Assumptions!$F$26,W53&lt;Assumptions!$F$28),Assumptions!$F$137/ROUNDUP((Assumptions!$F$27/12),0),0)</f>
        <v>0</v>
      </c>
      <c r="X54" s="22">
        <f>+IF(AND(X53&gt;=Assumptions!$F$26,X53&lt;Assumptions!$F$28),Assumptions!$F$137/ROUNDUP((Assumptions!$F$27/12),0),0)</f>
        <v>0</v>
      </c>
      <c r="Y54" s="22">
        <f>+IF(AND(Y53&gt;=Assumptions!$F$26,Y53&lt;Assumptions!$F$28),Assumptions!$F$137/ROUNDUP((Assumptions!$F$27/12),0),0)</f>
        <v>0</v>
      </c>
      <c r="Z54" s="22">
        <f>+IF(AND(Z53&gt;=Assumptions!$F$26,Z53&lt;Assumptions!$F$28),Assumptions!$F$137/ROUNDUP((Assumptions!$F$27/12),0),0)</f>
        <v>0</v>
      </c>
    </row>
    <row r="55" spans="1:26">
      <c r="B55" s="625" t="s">
        <v>576</v>
      </c>
      <c r="C55" s="625"/>
      <c r="D55" s="22">
        <v>0</v>
      </c>
      <c r="E55" s="22"/>
      <c r="F55" s="22">
        <f t="shared" ref="F55:H55" si="23">+E55+F54</f>
        <v>0</v>
      </c>
      <c r="G55" s="22">
        <f t="shared" si="23"/>
        <v>0</v>
      </c>
      <c r="H55" s="22">
        <f t="shared" si="23"/>
        <v>0</v>
      </c>
      <c r="I55" s="22">
        <f>+H55+I54</f>
        <v>60736.700000000004</v>
      </c>
      <c r="J55" s="22">
        <f t="shared" ref="J55:Z55" si="24">+I55+J54</f>
        <v>121473.40000000001</v>
      </c>
      <c r="K55" s="22">
        <f t="shared" si="24"/>
        <v>121473.40000000001</v>
      </c>
      <c r="L55" s="22">
        <f t="shared" si="24"/>
        <v>121473.40000000001</v>
      </c>
      <c r="M55" s="22">
        <f t="shared" si="24"/>
        <v>121473.40000000001</v>
      </c>
      <c r="N55" s="22">
        <f t="shared" si="24"/>
        <v>121473.40000000001</v>
      </c>
      <c r="O55" s="22">
        <f t="shared" si="24"/>
        <v>121473.40000000001</v>
      </c>
      <c r="P55" s="22">
        <f t="shared" si="24"/>
        <v>121473.40000000001</v>
      </c>
      <c r="Q55" s="22">
        <f t="shared" si="24"/>
        <v>121473.40000000001</v>
      </c>
      <c r="R55" s="22">
        <f t="shared" si="24"/>
        <v>121473.40000000001</v>
      </c>
      <c r="S55" s="22">
        <f t="shared" si="24"/>
        <v>121473.40000000001</v>
      </c>
      <c r="T55" s="22">
        <f t="shared" si="24"/>
        <v>121473.40000000001</v>
      </c>
      <c r="U55" s="22">
        <f t="shared" si="24"/>
        <v>121473.40000000001</v>
      </c>
      <c r="V55" s="22">
        <f t="shared" si="24"/>
        <v>121473.40000000001</v>
      </c>
      <c r="W55" s="22">
        <f t="shared" si="24"/>
        <v>121473.40000000001</v>
      </c>
      <c r="X55" s="22">
        <f t="shared" si="24"/>
        <v>121473.40000000001</v>
      </c>
      <c r="Y55" s="22">
        <f t="shared" si="24"/>
        <v>121473.40000000001</v>
      </c>
      <c r="Z55" s="22">
        <f t="shared" si="24"/>
        <v>121473.40000000001</v>
      </c>
    </row>
    <row r="56" spans="1:26">
      <c r="B56" s="625" t="s">
        <v>579</v>
      </c>
      <c r="C56" s="625"/>
      <c r="D56" s="22"/>
      <c r="E56" s="22"/>
      <c r="F56" s="49">
        <v>0</v>
      </c>
      <c r="G56" s="49">
        <v>0</v>
      </c>
      <c r="H56" s="49">
        <v>0</v>
      </c>
      <c r="I56" s="49">
        <v>0.5</v>
      </c>
      <c r="J56" s="49">
        <v>1</v>
      </c>
      <c r="K56" s="49">
        <v>1</v>
      </c>
      <c r="L56" s="49">
        <v>1</v>
      </c>
      <c r="M56" s="49">
        <v>1</v>
      </c>
      <c r="N56" s="49">
        <v>1</v>
      </c>
      <c r="O56" s="49">
        <v>1</v>
      </c>
      <c r="P56" s="49">
        <v>1</v>
      </c>
      <c r="Q56" s="49">
        <v>1</v>
      </c>
      <c r="R56" s="49">
        <v>1</v>
      </c>
      <c r="S56" s="49">
        <v>1</v>
      </c>
      <c r="T56" s="49">
        <v>1</v>
      </c>
      <c r="U56" s="49">
        <v>1</v>
      </c>
      <c r="V56" s="49">
        <v>1</v>
      </c>
      <c r="W56" s="49">
        <v>1</v>
      </c>
      <c r="X56" s="49">
        <v>1</v>
      </c>
      <c r="Y56" s="49">
        <v>1</v>
      </c>
      <c r="Z56" s="49">
        <v>1</v>
      </c>
    </row>
    <row r="57" spans="1:26">
      <c r="B57" s="625"/>
      <c r="C57" s="625"/>
      <c r="D57" s="20"/>
      <c r="E57" s="20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>
      <c r="B58" s="625" t="s">
        <v>580</v>
      </c>
      <c r="C58" s="625"/>
      <c r="D58" s="22"/>
      <c r="E58" s="22"/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1.1000000000000001</v>
      </c>
      <c r="M58" s="49">
        <v>1.1000000000000001</v>
      </c>
      <c r="N58" s="49">
        <v>1.1000000000000001</v>
      </c>
      <c r="O58" s="49">
        <v>1.1000000000000001</v>
      </c>
      <c r="P58" s="49">
        <v>1.1000000000000001</v>
      </c>
      <c r="Q58" s="49">
        <v>1.21</v>
      </c>
      <c r="R58" s="49">
        <v>1.21</v>
      </c>
      <c r="S58" s="49">
        <v>1.21</v>
      </c>
      <c r="T58" s="49">
        <v>1.21</v>
      </c>
      <c r="U58" s="49">
        <v>1.21</v>
      </c>
      <c r="V58" s="49">
        <v>1.33</v>
      </c>
      <c r="W58" s="49">
        <v>1.33</v>
      </c>
      <c r="X58" s="49">
        <v>1.33</v>
      </c>
      <c r="Y58" s="49">
        <v>1.33</v>
      </c>
      <c r="Z58" s="49">
        <v>1.33</v>
      </c>
    </row>
    <row r="59" spans="1:26">
      <c r="B59" s="625" t="s">
        <v>581</v>
      </c>
      <c r="C59" s="625"/>
      <c r="D59" s="22"/>
      <c r="E59" s="22"/>
      <c r="F59" s="49">
        <v>1</v>
      </c>
      <c r="G59" s="49">
        <v>1.02</v>
      </c>
      <c r="H59" s="49">
        <v>1.04</v>
      </c>
      <c r="I59" s="49">
        <v>1.06</v>
      </c>
      <c r="J59" s="49">
        <v>1.08</v>
      </c>
      <c r="K59" s="49">
        <v>1.1000000000000001</v>
      </c>
      <c r="L59" s="49">
        <v>1.1299999999999999</v>
      </c>
      <c r="M59" s="49">
        <v>1.1499999999999999</v>
      </c>
      <c r="N59" s="49">
        <v>1.17</v>
      </c>
      <c r="O59" s="49">
        <v>1.2</v>
      </c>
      <c r="P59" s="49">
        <v>1.22</v>
      </c>
      <c r="Q59" s="49">
        <v>1.24</v>
      </c>
      <c r="R59" s="49">
        <v>1.27</v>
      </c>
      <c r="S59" s="49">
        <v>1.29</v>
      </c>
      <c r="T59" s="49">
        <v>1.32</v>
      </c>
      <c r="U59" s="49">
        <v>1.35</v>
      </c>
      <c r="V59" s="49">
        <v>1.37</v>
      </c>
      <c r="W59" s="49">
        <v>1.4</v>
      </c>
      <c r="X59" s="49">
        <v>1.43</v>
      </c>
      <c r="Y59" s="49">
        <v>1.46</v>
      </c>
      <c r="Z59" s="49">
        <v>1.49</v>
      </c>
    </row>
    <row r="60" spans="1:26">
      <c r="B60" s="625"/>
      <c r="C60" s="625"/>
      <c r="D60" s="20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5" customFormat="1">
      <c r="B61" s="15" t="s">
        <v>582</v>
      </c>
      <c r="D61" s="7"/>
      <c r="E61" s="7"/>
      <c r="F61" s="7">
        <v>0</v>
      </c>
      <c r="G61" s="7">
        <v>0</v>
      </c>
      <c r="H61" s="7">
        <v>0</v>
      </c>
      <c r="I61" s="7">
        <f>I56*Assumptions!$F$136*I58</f>
        <v>3792284.4000000004</v>
      </c>
      <c r="J61" s="7">
        <f>J56*Assumptions!$F$136*J58</f>
        <v>7584568.8000000007</v>
      </c>
      <c r="K61" s="7">
        <f>K56*Assumptions!$F$136*K58</f>
        <v>7584568.8000000007</v>
      </c>
      <c r="L61" s="7">
        <f>L56*Assumptions!$F$136*L58</f>
        <v>8343025.6800000016</v>
      </c>
      <c r="M61" s="7">
        <f>M56*Assumptions!$F$136*M58</f>
        <v>8343025.6800000016</v>
      </c>
      <c r="N61" s="7">
        <f>N56*Assumptions!$F$136*N58</f>
        <v>8343025.6800000016</v>
      </c>
      <c r="O61" s="7">
        <f>O56*Assumptions!$F$136*O58</f>
        <v>8343025.6800000016</v>
      </c>
      <c r="P61" s="7">
        <f>P56*Assumptions!$F$136*P58</f>
        <v>8343025.6800000016</v>
      </c>
      <c r="Q61" s="7">
        <f>Q56*Assumptions!$F$136*Q58</f>
        <v>9177328.2480000015</v>
      </c>
      <c r="R61" s="7">
        <f>R56*Assumptions!$F$136*R58</f>
        <v>9177328.2480000015</v>
      </c>
      <c r="S61" s="7">
        <f>S56*Assumptions!$F$136*S58</f>
        <v>9177328.2480000015</v>
      </c>
      <c r="T61" s="7">
        <f>T56*Assumptions!$F$136*T58</f>
        <v>9177328.2480000015</v>
      </c>
      <c r="U61" s="7">
        <f>U56*Assumptions!$F$136*U58</f>
        <v>9177328.2480000015</v>
      </c>
      <c r="V61" s="7">
        <f>V56*Assumptions!$F$136*V58</f>
        <v>10087476.504000001</v>
      </c>
      <c r="W61" s="7">
        <f>W56*Assumptions!$F$136*W58</f>
        <v>10087476.504000001</v>
      </c>
      <c r="X61" s="7">
        <f>X56*Assumptions!$F$136*X58</f>
        <v>10087476.504000001</v>
      </c>
      <c r="Y61" s="7">
        <f>Y56*Assumptions!$F$136*Y58</f>
        <v>10087476.504000001</v>
      </c>
      <c r="Z61" s="7">
        <f>Z56*Assumptions!$F$136*Z58</f>
        <v>10087476.504000001</v>
      </c>
    </row>
    <row r="62" spans="1:26" s="15" customFormat="1">
      <c r="B62" s="15" t="s">
        <v>583</v>
      </c>
      <c r="D62" s="7"/>
      <c r="E62" s="7"/>
      <c r="F62" s="679">
        <v>0</v>
      </c>
      <c r="G62" s="679">
        <v>0</v>
      </c>
      <c r="H62" s="679">
        <v>0</v>
      </c>
      <c r="I62" s="680">
        <f>-I61*Assumptions!$M$56</f>
        <v>-189614.22000000003</v>
      </c>
      <c r="J62" s="680">
        <f>-J61*Assumptions!$M$56</f>
        <v>-379228.44000000006</v>
      </c>
      <c r="K62" s="680">
        <f>-K61*Assumptions!$M$56</f>
        <v>-379228.44000000006</v>
      </c>
      <c r="L62" s="680">
        <f>-L61*Assumptions!$M$56</f>
        <v>-417151.2840000001</v>
      </c>
      <c r="M62" s="680">
        <f>-M61*Assumptions!$M$56</f>
        <v>-417151.2840000001</v>
      </c>
      <c r="N62" s="680">
        <f>-N61*Assumptions!$M$56</f>
        <v>-417151.2840000001</v>
      </c>
      <c r="O62" s="680">
        <f>-O61*Assumptions!$M$56</f>
        <v>-417151.2840000001</v>
      </c>
      <c r="P62" s="680">
        <f>-P61*Assumptions!$M$56</f>
        <v>-417151.2840000001</v>
      </c>
      <c r="Q62" s="680">
        <f>-Q61*Assumptions!$M$56</f>
        <v>-458866.41240000009</v>
      </c>
      <c r="R62" s="680">
        <f>-R61*Assumptions!$M$56</f>
        <v>-458866.41240000009</v>
      </c>
      <c r="S62" s="680">
        <f>-S61*Assumptions!$M$56</f>
        <v>-458866.41240000009</v>
      </c>
      <c r="T62" s="680">
        <f>-T61*Assumptions!$M$56</f>
        <v>-458866.41240000009</v>
      </c>
      <c r="U62" s="680">
        <f>-U61*Assumptions!$M$56</f>
        <v>-458866.41240000009</v>
      </c>
      <c r="V62" s="680">
        <f>-V61*Assumptions!$M$56</f>
        <v>-504373.82520000008</v>
      </c>
      <c r="W62" s="680">
        <f>-W61*Assumptions!$M$56</f>
        <v>-504373.82520000008</v>
      </c>
      <c r="X62" s="680">
        <f>-X61*Assumptions!$M$56</f>
        <v>-504373.82520000008</v>
      </c>
      <c r="Y62" s="680">
        <f>-Y61*Assumptions!$M$56</f>
        <v>-504373.82520000008</v>
      </c>
      <c r="Z62" s="680">
        <f>-Z61*Assumptions!$M$56</f>
        <v>-504373.82520000008</v>
      </c>
    </row>
    <row r="63" spans="1:26" s="15" customFormat="1">
      <c r="B63" s="15" t="s">
        <v>593</v>
      </c>
      <c r="D63" s="7"/>
      <c r="E63" s="7"/>
      <c r="F63" s="681">
        <v>0</v>
      </c>
      <c r="G63" s="681">
        <v>0</v>
      </c>
      <c r="H63" s="681">
        <v>0</v>
      </c>
      <c r="I63" s="681">
        <f>I68*Assumptions!$N$89</f>
        <v>425377.69356480008</v>
      </c>
      <c r="J63" s="681">
        <f>J68*Assumptions!$N$89</f>
        <v>866954.19362419215</v>
      </c>
      <c r="K63" s="681">
        <f>K68*Assumptions!$N$89</f>
        <v>883204.87583267596</v>
      </c>
      <c r="L63" s="681">
        <f>L68*Assumptions!$N$89</f>
        <v>906310.98166932934</v>
      </c>
      <c r="M63" s="681">
        <f>M68*Assumptions!$N$89</f>
        <v>922668.54859871592</v>
      </c>
      <c r="N63" s="681">
        <f>N68*Assumptions!$N$89</f>
        <v>939081.16645069013</v>
      </c>
      <c r="O63" s="681">
        <f>O68*Assumptions!$N$89</f>
        <v>962352.4466437042</v>
      </c>
      <c r="P63" s="681">
        <f>P68*Assumptions!$N$89</f>
        <v>978878.49141657818</v>
      </c>
      <c r="Q63" s="681">
        <f>Q68*Assumptions!$N$89</f>
        <v>995462.95666890964</v>
      </c>
      <c r="R63" s="681">
        <f>R68*Assumptions!$N$89</f>
        <v>1018909.5212102879</v>
      </c>
      <c r="S63" s="681">
        <f>S68*Assumptions!$N$89</f>
        <v>1035614.3560184938</v>
      </c>
      <c r="T63" s="681">
        <f>T68*Assumptions!$N$89</f>
        <v>1059183.6975068636</v>
      </c>
      <c r="U63" s="681">
        <f>U68*Assumptions!$N$89</f>
        <v>1082816.275201001</v>
      </c>
      <c r="V63" s="681">
        <f>V68*Assumptions!$N$89</f>
        <v>1099710.843425021</v>
      </c>
      <c r="W63" s="681">
        <f>W68*Assumptions!$N$89</f>
        <v>1123473.7129975213</v>
      </c>
      <c r="X63" s="681">
        <f>X68*Assumptions!$N$89</f>
        <v>1147303.6893374715</v>
      </c>
      <c r="Y63" s="681">
        <f>Y68*Assumptions!$N$89</f>
        <v>1171202.1145802212</v>
      </c>
      <c r="Z63" s="681">
        <f>Z68*Assumptions!$N$89</f>
        <v>1195170.3577038257</v>
      </c>
    </row>
    <row r="64" spans="1:26" s="15" customFormat="1">
      <c r="B64" s="682" t="s">
        <v>584</v>
      </c>
      <c r="C64" s="682"/>
      <c r="D64" s="682"/>
      <c r="E64" s="682"/>
      <c r="F64" s="683">
        <v>0</v>
      </c>
      <c r="G64" s="683">
        <v>0</v>
      </c>
      <c r="H64" s="683">
        <v>0</v>
      </c>
      <c r="I64" s="683">
        <f>SUM(I61:I63)</f>
        <v>4028047.8735648002</v>
      </c>
      <c r="J64" s="683">
        <v>7151914</v>
      </c>
      <c r="K64" s="683">
        <v>7192416</v>
      </c>
      <c r="L64" s="683">
        <v>7698182</v>
      </c>
      <c r="M64" s="683">
        <v>7764378</v>
      </c>
      <c r="N64" s="683">
        <v>7808635</v>
      </c>
      <c r="O64" s="683">
        <v>7854221</v>
      </c>
      <c r="P64" s="683">
        <v>7924866</v>
      </c>
      <c r="Q64" s="683">
        <v>8483681</v>
      </c>
      <c r="R64" s="683">
        <v>8533494</v>
      </c>
      <c r="S64" s="683">
        <v>8608966</v>
      </c>
      <c r="T64" s="683">
        <v>8661812</v>
      </c>
      <c r="U64" s="683">
        <v>8716243</v>
      </c>
      <c r="V64" s="683">
        <v>9358456</v>
      </c>
      <c r="W64" s="683">
        <v>9416202</v>
      </c>
      <c r="X64" s="683">
        <v>9475681</v>
      </c>
      <c r="Y64" s="683">
        <v>9562086</v>
      </c>
      <c r="Z64" s="683">
        <v>9625187</v>
      </c>
    </row>
    <row r="65" spans="2:26" s="15" customFormat="1"/>
    <row r="66" spans="2:26" s="15" customFormat="1">
      <c r="B66" s="15" t="s">
        <v>585</v>
      </c>
      <c r="F66" s="7">
        <v>0</v>
      </c>
      <c r="G66" s="7">
        <v>0</v>
      </c>
      <c r="H66" s="7">
        <v>0</v>
      </c>
      <c r="I66" s="7">
        <f>I55*Assumptions!$N$121*'Phase I Pro Forma'!I59</f>
        <v>450666.31400000007</v>
      </c>
      <c r="J66" s="7">
        <f>J55*Assumptions!$N$121*'Phase I Pro Forma'!J59</f>
        <v>918338.9040000001</v>
      </c>
      <c r="K66" s="7">
        <f>K55*Assumptions!$N$121*'Phase I Pro Forma'!K59</f>
        <v>935345.18000000017</v>
      </c>
      <c r="L66" s="7">
        <f>L55*Assumptions!$N$121*'Phase I Pro Forma'!L59</f>
        <v>960854.59399999992</v>
      </c>
      <c r="M66" s="7">
        <f>M55*Assumptions!$N$121*'Phase I Pro Forma'!M59</f>
        <v>977860.87</v>
      </c>
      <c r="N66" s="7">
        <f>N55*Assumptions!$N$121*'Phase I Pro Forma'!N59</f>
        <v>994867.14599999995</v>
      </c>
      <c r="O66" s="7">
        <f>O55*Assumptions!$N$121*'Phase I Pro Forma'!O59</f>
        <v>1020376.56</v>
      </c>
      <c r="P66" s="7">
        <f>P55*Assumptions!$N$121*'Phase I Pro Forma'!P59</f>
        <v>1037382.836</v>
      </c>
      <c r="Q66" s="7">
        <f>Q55*Assumptions!$N$121*'Phase I Pro Forma'!Q59</f>
        <v>1054389.112</v>
      </c>
      <c r="R66" s="7">
        <f>R55*Assumptions!$N$121*'Phase I Pro Forma'!R59</f>
        <v>1079898.5260000001</v>
      </c>
      <c r="S66" s="7">
        <f>S55*Assumptions!$N$121*'Phase I Pro Forma'!S59</f>
        <v>1096904.8020000001</v>
      </c>
      <c r="T66" s="7">
        <f>T55*Assumptions!$N$121*'Phase I Pro Forma'!T59</f>
        <v>1122414.216</v>
      </c>
      <c r="U66" s="7">
        <f>U55*Assumptions!$N$121*'Phase I Pro Forma'!U59</f>
        <v>1147923.6300000001</v>
      </c>
      <c r="V66" s="7">
        <f>V55*Assumptions!$N$121*'Phase I Pro Forma'!V59</f>
        <v>1164929.9060000002</v>
      </c>
      <c r="W66" s="7">
        <f>W55*Assumptions!$N$121*'Phase I Pro Forma'!W59</f>
        <v>1190439.32</v>
      </c>
      <c r="X66" s="7">
        <f>X55*Assumptions!$N$121*'Phase I Pro Forma'!X59</f>
        <v>1215948.7339999999</v>
      </c>
      <c r="Y66" s="7">
        <f>Y55*Assumptions!$N$121*'Phase I Pro Forma'!Y59</f>
        <v>1241458.148</v>
      </c>
      <c r="Z66" s="7">
        <f>Z55*Assumptions!$N$121*'Phase I Pro Forma'!Z59</f>
        <v>1266967.5620000002</v>
      </c>
    </row>
    <row r="67" spans="2:26" s="659" customFormat="1">
      <c r="B67" s="659" t="s">
        <v>592</v>
      </c>
      <c r="F67" s="698">
        <v>0</v>
      </c>
      <c r="G67" s="698">
        <v>0</v>
      </c>
      <c r="H67" s="698">
        <v>0</v>
      </c>
      <c r="I67" s="698">
        <f>(('Parcel x Block Info'!$P$15*0.08)*I56)*0.5</f>
        <v>81055.802955999985</v>
      </c>
      <c r="J67" s="698">
        <f>I67*1.02*2</f>
        <v>165353.83803023997</v>
      </c>
      <c r="K67" s="698">
        <f t="shared" ref="K67:Z67" si="25">J67*1.02</f>
        <v>168660.91479084478</v>
      </c>
      <c r="L67" s="698">
        <f t="shared" si="25"/>
        <v>172034.13308666166</v>
      </c>
      <c r="M67" s="698">
        <f t="shared" si="25"/>
        <v>175474.8157483949</v>
      </c>
      <c r="N67" s="698">
        <f t="shared" si="25"/>
        <v>178984.3120633628</v>
      </c>
      <c r="O67" s="698">
        <f t="shared" si="25"/>
        <v>182563.99830463005</v>
      </c>
      <c r="P67" s="698">
        <f t="shared" si="25"/>
        <v>186215.27827072266</v>
      </c>
      <c r="Q67" s="698">
        <f t="shared" si="25"/>
        <v>189939.58383613711</v>
      </c>
      <c r="R67" s="698">
        <f t="shared" si="25"/>
        <v>193738.37551285987</v>
      </c>
      <c r="S67" s="698">
        <f t="shared" si="25"/>
        <v>197613.14302311707</v>
      </c>
      <c r="T67" s="698">
        <f t="shared" si="25"/>
        <v>201565.4058835794</v>
      </c>
      <c r="U67" s="698">
        <f t="shared" si="25"/>
        <v>205596.71400125098</v>
      </c>
      <c r="V67" s="698">
        <f t="shared" si="25"/>
        <v>209708.64828127599</v>
      </c>
      <c r="W67" s="698">
        <f t="shared" si="25"/>
        <v>213902.82124690153</v>
      </c>
      <c r="X67" s="698">
        <f t="shared" si="25"/>
        <v>218180.87767183955</v>
      </c>
      <c r="Y67" s="698">
        <f t="shared" si="25"/>
        <v>222544.49522527636</v>
      </c>
      <c r="Z67" s="698">
        <f t="shared" si="25"/>
        <v>226995.38512978191</v>
      </c>
    </row>
    <row r="68" spans="2:26" s="15" customFormat="1">
      <c r="B68" s="682" t="s">
        <v>586</v>
      </c>
      <c r="C68" s="682"/>
      <c r="D68" s="682"/>
      <c r="E68" s="682"/>
      <c r="F68" s="683">
        <v>0</v>
      </c>
      <c r="G68" s="683">
        <v>0</v>
      </c>
      <c r="H68" s="683">
        <v>0</v>
      </c>
      <c r="I68" s="683">
        <f t="shared" ref="I68:Z68" si="26">SUM(I66:I67)</f>
        <v>531722.1169560001</v>
      </c>
      <c r="J68" s="683">
        <f t="shared" si="26"/>
        <v>1083692.7420302401</v>
      </c>
      <c r="K68" s="683">
        <f t="shared" si="26"/>
        <v>1104006.0947908449</v>
      </c>
      <c r="L68" s="683">
        <f t="shared" si="26"/>
        <v>1132888.7270866616</v>
      </c>
      <c r="M68" s="683">
        <f t="shared" si="26"/>
        <v>1153335.6857483948</v>
      </c>
      <c r="N68" s="683">
        <f t="shared" si="26"/>
        <v>1173851.4580633626</v>
      </c>
      <c r="O68" s="683">
        <f t="shared" si="26"/>
        <v>1202940.5583046302</v>
      </c>
      <c r="P68" s="683">
        <f t="shared" si="26"/>
        <v>1223598.1142707227</v>
      </c>
      <c r="Q68" s="683">
        <f t="shared" si="26"/>
        <v>1244328.695836137</v>
      </c>
      <c r="R68" s="683">
        <f t="shared" si="26"/>
        <v>1273636.9015128599</v>
      </c>
      <c r="S68" s="683">
        <f t="shared" si="26"/>
        <v>1294517.9450231171</v>
      </c>
      <c r="T68" s="683">
        <f t="shared" si="26"/>
        <v>1323979.6218835795</v>
      </c>
      <c r="U68" s="683">
        <f t="shared" si="26"/>
        <v>1353520.344001251</v>
      </c>
      <c r="V68" s="684">
        <f t="shared" si="26"/>
        <v>1374638.5542812762</v>
      </c>
      <c r="W68" s="683">
        <f t="shared" si="26"/>
        <v>1404342.1412469016</v>
      </c>
      <c r="X68" s="683">
        <f t="shared" si="26"/>
        <v>1434129.6116718394</v>
      </c>
      <c r="Y68" s="683">
        <f t="shared" si="26"/>
        <v>1464002.6432252764</v>
      </c>
      <c r="Z68" s="683">
        <f t="shared" si="26"/>
        <v>1493962.9471297821</v>
      </c>
    </row>
    <row r="69" spans="2:26" s="15" customFormat="1"/>
    <row r="70" spans="2:26" s="15" customFormat="1">
      <c r="B70" s="685" t="s">
        <v>587</v>
      </c>
      <c r="C70" s="685"/>
      <c r="D70" s="685"/>
      <c r="E70" s="685"/>
      <c r="F70" s="686">
        <v>0</v>
      </c>
      <c r="G70" s="686">
        <v>0</v>
      </c>
      <c r="H70" s="686">
        <v>0</v>
      </c>
      <c r="I70" s="686">
        <f t="shared" ref="I70:Z70" si="27">I64-I68</f>
        <v>3496325.7566088</v>
      </c>
      <c r="J70" s="686">
        <f t="shared" si="27"/>
        <v>6068221.2579697594</v>
      </c>
      <c r="K70" s="686">
        <f t="shared" si="27"/>
        <v>6088409.9052091548</v>
      </c>
      <c r="L70" s="686">
        <f t="shared" si="27"/>
        <v>6565293.2729133386</v>
      </c>
      <c r="M70" s="686">
        <f t="shared" si="27"/>
        <v>6611042.3142516054</v>
      </c>
      <c r="N70" s="686">
        <f t="shared" si="27"/>
        <v>6634783.5419366378</v>
      </c>
      <c r="O70" s="686">
        <f t="shared" si="27"/>
        <v>6651280.4416953698</v>
      </c>
      <c r="P70" s="686">
        <f t="shared" si="27"/>
        <v>6701267.8857292775</v>
      </c>
      <c r="Q70" s="686">
        <f t="shared" si="27"/>
        <v>7239352.304163863</v>
      </c>
      <c r="R70" s="686">
        <f t="shared" si="27"/>
        <v>7259857.0984871406</v>
      </c>
      <c r="S70" s="686">
        <f t="shared" si="27"/>
        <v>7314448.0549768824</v>
      </c>
      <c r="T70" s="686">
        <f t="shared" si="27"/>
        <v>7337832.3781164205</v>
      </c>
      <c r="U70" s="686">
        <f t="shared" si="27"/>
        <v>7362722.6559987487</v>
      </c>
      <c r="V70" s="686">
        <f t="shared" si="27"/>
        <v>7983817.4457187243</v>
      </c>
      <c r="W70" s="686">
        <f t="shared" si="27"/>
        <v>8011859.8587530982</v>
      </c>
      <c r="X70" s="686">
        <f t="shared" si="27"/>
        <v>8041551.3883281611</v>
      </c>
      <c r="Y70" s="686">
        <f t="shared" si="27"/>
        <v>8098083.3567747232</v>
      </c>
      <c r="Z70" s="686">
        <f t="shared" si="27"/>
        <v>8131224.0528702177</v>
      </c>
    </row>
    <row r="71" spans="2:26" s="15" customFormat="1">
      <c r="B71" s="687" t="s">
        <v>588</v>
      </c>
      <c r="C71" s="688"/>
      <c r="D71" s="688"/>
      <c r="E71" s="688"/>
      <c r="F71" s="689"/>
      <c r="G71" s="689"/>
      <c r="H71" s="689"/>
      <c r="I71" s="690">
        <f t="shared" ref="I71:Z71" si="28">+IFERROR(I70/I64,"")</f>
        <v>0.86799508505209766</v>
      </c>
      <c r="J71" s="690">
        <f t="shared" si="28"/>
        <v>0.8484751435727218</v>
      </c>
      <c r="K71" s="690">
        <f t="shared" si="28"/>
        <v>0.84650413785981715</v>
      </c>
      <c r="L71" s="690">
        <f t="shared" si="28"/>
        <v>0.85283684809132065</v>
      </c>
      <c r="M71" s="690">
        <f t="shared" si="28"/>
        <v>0.85145807098155257</v>
      </c>
      <c r="N71" s="690">
        <f t="shared" si="28"/>
        <v>0.84967264341804138</v>
      </c>
      <c r="O71" s="690">
        <f t="shared" si="28"/>
        <v>0.84684151893553417</v>
      </c>
      <c r="P71" s="690">
        <f t="shared" si="28"/>
        <v>0.84560015093369123</v>
      </c>
      <c r="Q71" s="690">
        <f t="shared" si="28"/>
        <v>0.85332679342420614</v>
      </c>
      <c r="R71" s="690">
        <f t="shared" si="28"/>
        <v>0.85074848573012896</v>
      </c>
      <c r="S71" s="690">
        <f t="shared" si="28"/>
        <v>0.84963142553668847</v>
      </c>
      <c r="T71" s="690">
        <f t="shared" si="28"/>
        <v>0.84714749963592151</v>
      </c>
      <c r="U71" s="690">
        <f t="shared" si="28"/>
        <v>0.84471287181859767</v>
      </c>
      <c r="V71" s="690">
        <f t="shared" si="28"/>
        <v>0.85311267646273314</v>
      </c>
      <c r="W71" s="690">
        <f t="shared" si="28"/>
        <v>0.8508589618991923</v>
      </c>
      <c r="X71" s="690">
        <f t="shared" si="28"/>
        <v>0.84865155214998911</v>
      </c>
      <c r="Y71" s="690">
        <f t="shared" si="28"/>
        <v>0.84689505582513303</v>
      </c>
      <c r="Z71" s="690">
        <f t="shared" si="28"/>
        <v>0.84478608601268923</v>
      </c>
    </row>
    <row r="72" spans="2:26" s="15" customFormat="1">
      <c r="B72" s="687" t="s">
        <v>589</v>
      </c>
      <c r="C72" s="688"/>
      <c r="D72" s="688"/>
      <c r="E72" s="688"/>
      <c r="F72" s="691">
        <v>0</v>
      </c>
      <c r="G72" s="691">
        <v>0</v>
      </c>
      <c r="H72" s="691">
        <v>0</v>
      </c>
      <c r="I72" s="691">
        <f>I70/Assumptions!$N$130</f>
        <v>58272095.94348</v>
      </c>
      <c r="J72" s="691">
        <f>J70/Assumptions!$N$130</f>
        <v>101137020.96616267</v>
      </c>
      <c r="K72" s="691">
        <f>K70/Assumptions!$N$130</f>
        <v>101473498.42015259</v>
      </c>
      <c r="L72" s="691">
        <f>L70/Assumptions!$N$130</f>
        <v>109421554.54855564</v>
      </c>
      <c r="M72" s="692">
        <f>M70/Assumptions!$N$130</f>
        <v>110184038.57086009</v>
      </c>
      <c r="N72" s="691">
        <f>N70/Assumptions!$N$130</f>
        <v>110579725.69894397</v>
      </c>
      <c r="O72" s="692">
        <f>O70/Assumptions!$N$130</f>
        <v>110854674.02825616</v>
      </c>
      <c r="P72" s="691">
        <f>P70/Assumptions!$N$130</f>
        <v>111687798.09548797</v>
      </c>
      <c r="Q72" s="691">
        <f>Q70/Assumptions!$N$130</f>
        <v>120655871.73606439</v>
      </c>
      <c r="R72" s="691">
        <f>R70/Assumptions!$N$130</f>
        <v>120997618.30811901</v>
      </c>
      <c r="S72" s="691">
        <f>S70/Assumptions!$N$130</f>
        <v>121907467.58294804</v>
      </c>
      <c r="T72" s="691">
        <f>T70/Assumptions!$N$130</f>
        <v>122297206.30194035</v>
      </c>
      <c r="U72" s="691">
        <f>U70/Assumptions!$N$130</f>
        <v>122712044.26664582</v>
      </c>
      <c r="V72" s="691">
        <f>V70/Assumptions!$N$130</f>
        <v>133063624.09531207</v>
      </c>
      <c r="W72" s="691">
        <f>W70/Assumptions!$N$130</f>
        <v>133530997.64588498</v>
      </c>
      <c r="X72" s="691">
        <f>X70/Assumptions!$N$130</f>
        <v>134025856.47213602</v>
      </c>
      <c r="Y72" s="691">
        <f>Y70/Assumptions!$N$130</f>
        <v>134968055.9462454</v>
      </c>
      <c r="Z72" s="691">
        <f>Z70/Assumptions!$N$130</f>
        <v>135520400.8811703</v>
      </c>
    </row>
    <row r="74" spans="2:26">
      <c r="B74" s="622" t="s">
        <v>143</v>
      </c>
      <c r="C74" s="622"/>
      <c r="D74" s="623"/>
      <c r="E74" s="623"/>
      <c r="F74" s="624">
        <v>44561</v>
      </c>
      <c r="G74" s="624">
        <v>44926</v>
      </c>
      <c r="H74" s="624">
        <v>45291</v>
      </c>
      <c r="I74" s="624">
        <v>45657</v>
      </c>
      <c r="J74" s="624">
        <v>46022</v>
      </c>
      <c r="K74" s="624">
        <v>46387</v>
      </c>
      <c r="L74" s="624">
        <v>46752</v>
      </c>
      <c r="M74" s="624">
        <v>47118</v>
      </c>
      <c r="N74" s="624">
        <v>47483</v>
      </c>
      <c r="O74" s="624">
        <v>11323</v>
      </c>
      <c r="P74" s="624">
        <v>11688</v>
      </c>
      <c r="Q74" s="624">
        <v>12054</v>
      </c>
      <c r="R74" s="624">
        <v>12419</v>
      </c>
      <c r="S74" s="624">
        <v>12784</v>
      </c>
      <c r="T74" s="624">
        <v>13149</v>
      </c>
      <c r="U74" s="624">
        <v>13515</v>
      </c>
      <c r="V74" s="624">
        <v>13880</v>
      </c>
      <c r="W74" s="624">
        <v>14245</v>
      </c>
      <c r="X74" s="624">
        <v>14610</v>
      </c>
      <c r="Y74" s="624">
        <v>14976</v>
      </c>
      <c r="Z74" s="624">
        <v>15341</v>
      </c>
    </row>
    <row r="75" spans="2:26">
      <c r="B75" s="625" t="s">
        <v>575</v>
      </c>
      <c r="C75" s="625"/>
      <c r="D75" s="20"/>
      <c r="E75" s="20"/>
      <c r="F75" s="22">
        <v>0</v>
      </c>
      <c r="G75" s="22">
        <v>0</v>
      </c>
      <c r="H75" s="22">
        <v>0</v>
      </c>
      <c r="I75" s="22">
        <f>+IF(AND(I74&gt;=Assumptions!$F$26,I74&lt;Assumptions!$F$28),Assumptions!$F$154/ROUNDUP((Assumptions!$F$27/12),0),0)</f>
        <v>53949</v>
      </c>
      <c r="J75" s="22">
        <v>62713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</row>
    <row r="76" spans="2:26">
      <c r="B76" s="625" t="s">
        <v>576</v>
      </c>
      <c r="C76" s="625"/>
      <c r="D76" s="22">
        <v>0</v>
      </c>
      <c r="E76" s="22"/>
      <c r="F76" s="22">
        <v>0</v>
      </c>
      <c r="G76" s="22">
        <v>0</v>
      </c>
      <c r="H76" s="22">
        <v>0</v>
      </c>
      <c r="I76" s="22">
        <f>+H76+I75</f>
        <v>53949</v>
      </c>
      <c r="J76" s="22">
        <v>125425</v>
      </c>
      <c r="K76" s="22">
        <v>125425</v>
      </c>
      <c r="L76" s="22">
        <v>125425</v>
      </c>
      <c r="M76" s="22">
        <v>125425</v>
      </c>
      <c r="N76" s="22">
        <v>125425</v>
      </c>
      <c r="O76" s="22">
        <v>125425</v>
      </c>
      <c r="P76" s="22">
        <v>125425</v>
      </c>
      <c r="Q76" s="22">
        <v>125425</v>
      </c>
      <c r="R76" s="22">
        <v>125425</v>
      </c>
      <c r="S76" s="22">
        <v>125425</v>
      </c>
      <c r="T76" s="22">
        <v>125425</v>
      </c>
      <c r="U76" s="22">
        <v>125425</v>
      </c>
      <c r="V76" s="22">
        <v>125425</v>
      </c>
      <c r="W76" s="22">
        <v>125425</v>
      </c>
      <c r="X76" s="22">
        <v>125425</v>
      </c>
      <c r="Y76" s="22">
        <v>125425</v>
      </c>
      <c r="Z76" s="22">
        <v>125425</v>
      </c>
    </row>
    <row r="77" spans="2:26">
      <c r="B77" s="625" t="s">
        <v>579</v>
      </c>
      <c r="C77" s="625"/>
      <c r="D77" s="22"/>
      <c r="E77" s="22"/>
      <c r="F77" s="49">
        <v>0</v>
      </c>
      <c r="G77" s="49">
        <v>0</v>
      </c>
      <c r="H77" s="49">
        <v>0</v>
      </c>
      <c r="I77" s="49">
        <v>0.5</v>
      </c>
      <c r="J77" s="49">
        <v>1</v>
      </c>
      <c r="K77" s="49">
        <v>1</v>
      </c>
      <c r="L77" s="49">
        <v>1</v>
      </c>
      <c r="M77" s="49">
        <v>1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1</v>
      </c>
      <c r="U77" s="49">
        <v>1</v>
      </c>
      <c r="V77" s="49">
        <v>1</v>
      </c>
      <c r="W77" s="49">
        <v>1</v>
      </c>
      <c r="X77" s="49">
        <v>1</v>
      </c>
      <c r="Y77" s="49">
        <v>1</v>
      </c>
      <c r="Z77" s="49">
        <v>1</v>
      </c>
    </row>
    <row r="78" spans="2:26">
      <c r="B78" s="625"/>
      <c r="C78" s="625"/>
      <c r="D78" s="20"/>
      <c r="E78" s="20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>
      <c r="B79" s="625" t="s">
        <v>580</v>
      </c>
      <c r="C79" s="625"/>
      <c r="D79" s="22"/>
      <c r="E79" s="22"/>
      <c r="F79" s="49">
        <v>1</v>
      </c>
      <c r="G79" s="49">
        <v>1</v>
      </c>
      <c r="H79" s="49">
        <v>1</v>
      </c>
      <c r="I79" s="49">
        <v>1</v>
      </c>
      <c r="J79" s="49">
        <v>1</v>
      </c>
      <c r="K79" s="49">
        <v>1</v>
      </c>
      <c r="L79" s="49">
        <v>1.05</v>
      </c>
      <c r="M79" s="49">
        <v>1.05</v>
      </c>
      <c r="N79" s="49">
        <v>1.05</v>
      </c>
      <c r="O79" s="49">
        <v>1.05</v>
      </c>
      <c r="P79" s="49">
        <v>1.05</v>
      </c>
      <c r="Q79" s="49">
        <v>1.1000000000000001</v>
      </c>
      <c r="R79" s="49">
        <v>1.1000000000000001</v>
      </c>
      <c r="S79" s="49">
        <v>1.1000000000000001</v>
      </c>
      <c r="T79" s="49">
        <v>1.1000000000000001</v>
      </c>
      <c r="U79" s="49">
        <v>1.1000000000000001</v>
      </c>
      <c r="V79" s="49">
        <v>1.1599999999999999</v>
      </c>
      <c r="W79" s="49">
        <v>1.1599999999999999</v>
      </c>
      <c r="X79" s="49">
        <v>1.1599999999999999</v>
      </c>
      <c r="Y79" s="49">
        <v>1.1599999999999999</v>
      </c>
      <c r="Z79" s="49">
        <v>1.1599999999999999</v>
      </c>
    </row>
    <row r="80" spans="2:26">
      <c r="B80" s="625" t="s">
        <v>581</v>
      </c>
      <c r="C80" s="625"/>
      <c r="D80" s="22"/>
      <c r="E80" s="22"/>
      <c r="F80" s="49">
        <v>1</v>
      </c>
      <c r="G80" s="49">
        <v>1.02</v>
      </c>
      <c r="H80" s="49">
        <v>1.04</v>
      </c>
      <c r="I80" s="49">
        <v>1.06</v>
      </c>
      <c r="J80" s="49">
        <v>1.08</v>
      </c>
      <c r="K80" s="49">
        <v>1.1000000000000001</v>
      </c>
      <c r="L80" s="49">
        <v>1.1299999999999999</v>
      </c>
      <c r="M80" s="49">
        <v>1.1499999999999999</v>
      </c>
      <c r="N80" s="49">
        <v>1.17</v>
      </c>
      <c r="O80" s="49">
        <v>1.2</v>
      </c>
      <c r="P80" s="49">
        <v>1.22</v>
      </c>
      <c r="Q80" s="49">
        <v>1.24</v>
      </c>
      <c r="R80" s="49">
        <v>1.27</v>
      </c>
      <c r="S80" s="49">
        <v>1.29</v>
      </c>
      <c r="T80" s="49">
        <v>1.32</v>
      </c>
      <c r="U80" s="49">
        <v>1.35</v>
      </c>
      <c r="V80" s="49">
        <v>1.37</v>
      </c>
      <c r="W80" s="49">
        <v>1.4</v>
      </c>
      <c r="X80" s="49">
        <v>1.43</v>
      </c>
      <c r="Y80" s="49">
        <v>1.46</v>
      </c>
      <c r="Z80" s="49">
        <v>1.49</v>
      </c>
    </row>
    <row r="81" spans="2:26">
      <c r="B81" s="625"/>
      <c r="C81" s="625"/>
      <c r="D81" s="20"/>
      <c r="E81" s="20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>
      <c r="B82" s="625" t="s">
        <v>582</v>
      </c>
      <c r="C82" s="625"/>
      <c r="D82" s="20"/>
      <c r="E82" s="20"/>
      <c r="F82" s="16">
        <v>0</v>
      </c>
      <c r="G82" s="16">
        <v>0</v>
      </c>
      <c r="H82" s="16">
        <v>0</v>
      </c>
      <c r="I82" s="16">
        <f>I77*Assumptions!$F$153*'Phase I Pro Forma'!I79</f>
        <v>0.5</v>
      </c>
      <c r="J82" s="16">
        <f>J77*Assumptions!$F$153*'Phase I Pro Forma'!J79</f>
        <v>1</v>
      </c>
      <c r="K82" s="16">
        <f>K77*Assumptions!$F$153*'Phase I Pro Forma'!K79</f>
        <v>1</v>
      </c>
      <c r="L82" s="16">
        <f>L77*Assumptions!$F$153*'Phase I Pro Forma'!L79</f>
        <v>1.05</v>
      </c>
      <c r="M82" s="16">
        <f>M77*Assumptions!$F$153*'Phase I Pro Forma'!M79</f>
        <v>1.05</v>
      </c>
      <c r="N82" s="16">
        <f>N77*Assumptions!$F$153*'Phase I Pro Forma'!N79</f>
        <v>1.05</v>
      </c>
      <c r="O82" s="16">
        <f>O77*Assumptions!$F$153*'Phase I Pro Forma'!O79</f>
        <v>1.05</v>
      </c>
      <c r="P82" s="16">
        <f>P77*Assumptions!$F$153*'Phase I Pro Forma'!P79</f>
        <v>1.05</v>
      </c>
      <c r="Q82" s="16">
        <f>Q77*Assumptions!$F$153*'Phase I Pro Forma'!Q79</f>
        <v>1.1000000000000001</v>
      </c>
      <c r="R82" s="16">
        <f>R77*Assumptions!$F$153*'Phase I Pro Forma'!R79</f>
        <v>1.1000000000000001</v>
      </c>
      <c r="S82" s="16">
        <f>S77*Assumptions!$F$153*'Phase I Pro Forma'!S79</f>
        <v>1.1000000000000001</v>
      </c>
      <c r="T82" s="16">
        <f>T77*Assumptions!$F$153*'Phase I Pro Forma'!T79</f>
        <v>1.1000000000000001</v>
      </c>
      <c r="U82" s="16">
        <f>U77*Assumptions!$F$153*'Phase I Pro Forma'!U79</f>
        <v>1.1000000000000001</v>
      </c>
      <c r="V82" s="16">
        <f>V77*Assumptions!$F$153*'Phase I Pro Forma'!V79</f>
        <v>1.1599999999999999</v>
      </c>
      <c r="W82" s="16">
        <f>W77*Assumptions!$F$153*'Phase I Pro Forma'!W79</f>
        <v>1.1599999999999999</v>
      </c>
      <c r="X82" s="16">
        <f>X77*Assumptions!$F$153*'Phase I Pro Forma'!X79</f>
        <v>1.1599999999999999</v>
      </c>
      <c r="Y82" s="16">
        <f>Y77*Assumptions!$F$153*'Phase I Pro Forma'!Y79</f>
        <v>1.1599999999999999</v>
      </c>
      <c r="Z82" s="16">
        <f>Z77*Assumptions!$F$153*'Phase I Pro Forma'!Z79</f>
        <v>1.1599999999999999</v>
      </c>
    </row>
    <row r="83" spans="2:26">
      <c r="B83" s="625" t="s">
        <v>583</v>
      </c>
      <c r="C83" s="625"/>
      <c r="D83" s="20"/>
      <c r="E83" s="20"/>
      <c r="F83" s="22">
        <v>0</v>
      </c>
      <c r="G83" s="22">
        <v>0</v>
      </c>
      <c r="H83" s="22">
        <v>0</v>
      </c>
      <c r="I83" s="22">
        <f>-I82*Assumptions!$N$57</f>
        <v>-2.5000000000000001E-2</v>
      </c>
      <c r="J83" s="22">
        <f>-J82*Assumptions!$N$57</f>
        <v>-0.05</v>
      </c>
      <c r="K83" s="22">
        <f>-K82*Assumptions!$N$57</f>
        <v>-0.05</v>
      </c>
      <c r="L83" s="22">
        <f>-L82*Assumptions!$N$57</f>
        <v>-5.2500000000000005E-2</v>
      </c>
      <c r="M83" s="22">
        <f>-M82*Assumptions!$N$57</f>
        <v>-5.2500000000000005E-2</v>
      </c>
      <c r="N83" s="22">
        <f>-N82*Assumptions!$N$57</f>
        <v>-5.2500000000000005E-2</v>
      </c>
      <c r="O83" s="22">
        <f>-O82*Assumptions!$N$57</f>
        <v>-5.2500000000000005E-2</v>
      </c>
      <c r="P83" s="22">
        <f>-P82*Assumptions!$N$57</f>
        <v>-5.2500000000000005E-2</v>
      </c>
      <c r="Q83" s="22">
        <f>-Q82*Assumptions!$N$57</f>
        <v>-5.5000000000000007E-2</v>
      </c>
      <c r="R83" s="22">
        <f>-R82*Assumptions!$N$57</f>
        <v>-5.5000000000000007E-2</v>
      </c>
      <c r="S83" s="22">
        <f>-S82*Assumptions!$N$57</f>
        <v>-5.5000000000000007E-2</v>
      </c>
      <c r="T83" s="22">
        <f>-T82*Assumptions!$N$57</f>
        <v>-5.5000000000000007E-2</v>
      </c>
      <c r="U83" s="22">
        <f>-U82*Assumptions!$N$57</f>
        <v>-5.5000000000000007E-2</v>
      </c>
      <c r="V83" s="22">
        <f>-V82*Assumptions!$N$57</f>
        <v>-5.7999999999999996E-2</v>
      </c>
      <c r="W83" s="22">
        <f>-W82*Assumptions!$N$57</f>
        <v>-5.7999999999999996E-2</v>
      </c>
      <c r="X83" s="22">
        <f>-X82*Assumptions!$N$57</f>
        <v>-5.7999999999999996E-2</v>
      </c>
      <c r="Y83" s="22">
        <f>-Y82*Assumptions!$N$57</f>
        <v>-5.7999999999999996E-2</v>
      </c>
      <c r="Z83" s="22">
        <f>-Z82*Assumptions!$N$57</f>
        <v>-5.7999999999999996E-2</v>
      </c>
    </row>
    <row r="84" spans="2:26">
      <c r="B84" s="625" t="s">
        <v>593</v>
      </c>
      <c r="C84" s="625"/>
      <c r="D84" s="20"/>
      <c r="E84" s="20"/>
      <c r="F84" s="626">
        <v>0</v>
      </c>
      <c r="G84" s="626">
        <v>0</v>
      </c>
      <c r="H84" s="626">
        <v>0</v>
      </c>
      <c r="I84" s="626">
        <f>I89*Assumptions!$N$90</f>
        <v>400301.58</v>
      </c>
      <c r="J84" s="626">
        <f>J89*Assumptions!$N$90</f>
        <v>948213.00000000012</v>
      </c>
      <c r="K84" s="626">
        <f>K89*Assumptions!$N$90</f>
        <v>965772.50000000012</v>
      </c>
      <c r="L84" s="665">
        <f>L89*Assumptions!$N$90</f>
        <v>992111.74999999988</v>
      </c>
      <c r="M84" s="626">
        <f>M89*Assumptions!$N$90</f>
        <v>1009671.2499999999</v>
      </c>
      <c r="N84" s="626">
        <f>N89*Assumptions!$N$90</f>
        <v>1027230.7499999999</v>
      </c>
      <c r="O84" s="626">
        <f>O89*Assumptions!$N$90</f>
        <v>1053570</v>
      </c>
      <c r="P84" s="626">
        <f>P89*Assumptions!$N$90</f>
        <v>1071129.5</v>
      </c>
      <c r="Q84" s="626">
        <f>Q89*Assumptions!$N$90</f>
        <v>1088689</v>
      </c>
      <c r="R84" s="626">
        <f>R89*Assumptions!$N$90</f>
        <v>1115028.25</v>
      </c>
      <c r="S84" s="626">
        <f>S89*Assumptions!$N$90</f>
        <v>1132587.75</v>
      </c>
      <c r="T84" s="626">
        <f>T89*Assumptions!$N$90</f>
        <v>1158927</v>
      </c>
      <c r="U84" s="626">
        <f>U89*Assumptions!$N$90</f>
        <v>1185266.25</v>
      </c>
      <c r="V84" s="626">
        <f>V89*Assumptions!$N$90</f>
        <v>1202825.75</v>
      </c>
      <c r="W84" s="626">
        <f>W89*Assumptions!$N$90</f>
        <v>1229165</v>
      </c>
      <c r="X84" s="626">
        <f>X89*Assumptions!$N$90</f>
        <v>1255504.25</v>
      </c>
      <c r="Y84" s="626">
        <f>Y89*Assumptions!$N$90</f>
        <v>1281843.5</v>
      </c>
      <c r="Z84" s="626">
        <f>Z89*Assumptions!$N$90</f>
        <v>1308182.75</v>
      </c>
    </row>
    <row r="85" spans="2:26">
      <c r="B85" s="627" t="s">
        <v>584</v>
      </c>
      <c r="C85" s="627"/>
      <c r="D85" s="627"/>
      <c r="E85" s="627"/>
      <c r="F85" s="628">
        <v>0</v>
      </c>
      <c r="G85" s="628">
        <v>0</v>
      </c>
      <c r="H85" s="628">
        <v>0</v>
      </c>
      <c r="I85" s="628">
        <f t="shared" ref="I85:Z85" si="29">SUM(I82:I84)</f>
        <v>400302.05499999999</v>
      </c>
      <c r="J85" s="628">
        <f t="shared" si="29"/>
        <v>948213.95000000007</v>
      </c>
      <c r="K85" s="628">
        <f t="shared" si="29"/>
        <v>965773.45000000007</v>
      </c>
      <c r="L85" s="628">
        <f t="shared" si="29"/>
        <v>992112.74749999994</v>
      </c>
      <c r="M85" s="628">
        <f t="shared" si="29"/>
        <v>1009672.2474999999</v>
      </c>
      <c r="N85" s="628">
        <f t="shared" si="29"/>
        <v>1027231.7474999999</v>
      </c>
      <c r="O85" s="628">
        <f t="shared" si="29"/>
        <v>1053570.9975000001</v>
      </c>
      <c r="P85" s="628">
        <f t="shared" si="29"/>
        <v>1071130.4975000001</v>
      </c>
      <c r="Q85" s="628">
        <f t="shared" si="29"/>
        <v>1088690.0449999999</v>
      </c>
      <c r="R85" s="628">
        <f t="shared" si="29"/>
        <v>1115029.2949999999</v>
      </c>
      <c r="S85" s="628">
        <f t="shared" si="29"/>
        <v>1132588.7949999999</v>
      </c>
      <c r="T85" s="628">
        <f t="shared" si="29"/>
        <v>1158928.0449999999</v>
      </c>
      <c r="U85" s="628">
        <f t="shared" si="29"/>
        <v>1185267.2949999999</v>
      </c>
      <c r="V85" s="628">
        <f t="shared" si="29"/>
        <v>1202826.852</v>
      </c>
      <c r="W85" s="628">
        <f t="shared" si="29"/>
        <v>1229166.102</v>
      </c>
      <c r="X85" s="628">
        <f t="shared" si="29"/>
        <v>1255505.352</v>
      </c>
      <c r="Y85" s="628">
        <f t="shared" si="29"/>
        <v>1281844.602</v>
      </c>
      <c r="Z85" s="628">
        <f t="shared" si="29"/>
        <v>1308183.852</v>
      </c>
    </row>
    <row r="87" spans="2:26">
      <c r="B87" s="625" t="s">
        <v>585</v>
      </c>
      <c r="C87" s="625"/>
      <c r="D87" s="625"/>
      <c r="F87" s="16">
        <v>0</v>
      </c>
      <c r="G87" s="16">
        <v>0</v>
      </c>
      <c r="H87" s="16">
        <v>0</v>
      </c>
      <c r="I87" s="16">
        <f>I76*Assumptions!$N$122*'Phase I Pro Forma'!I80</f>
        <v>400301.58</v>
      </c>
      <c r="J87" s="16">
        <f>J76*Assumptions!$N$122*'Phase I Pro Forma'!J80</f>
        <v>948213.00000000012</v>
      </c>
      <c r="K87" s="16">
        <f>K76*Assumptions!$N$122*'Phase I Pro Forma'!K80</f>
        <v>965772.50000000012</v>
      </c>
      <c r="L87" s="16">
        <f>L76*Assumptions!$N$122*'Phase I Pro Forma'!L80</f>
        <v>992111.74999999988</v>
      </c>
      <c r="M87" s="16">
        <f>M76*Assumptions!$N$122*'Phase I Pro Forma'!M80</f>
        <v>1009671.2499999999</v>
      </c>
      <c r="N87" s="16">
        <f>N76*Assumptions!$N$122*'Phase I Pro Forma'!N80</f>
        <v>1027230.7499999999</v>
      </c>
      <c r="O87" s="16">
        <f>O76*Assumptions!$N$122*'Phase I Pro Forma'!O80</f>
        <v>1053570</v>
      </c>
      <c r="P87" s="16">
        <f>P76*Assumptions!$N$122*'Phase I Pro Forma'!P80</f>
        <v>1071129.5</v>
      </c>
      <c r="Q87" s="16">
        <f>Q76*Assumptions!$N$122*'Phase I Pro Forma'!Q80</f>
        <v>1088689</v>
      </c>
      <c r="R87" s="16">
        <f>R76*Assumptions!$N$122*'Phase I Pro Forma'!R80</f>
        <v>1115028.25</v>
      </c>
      <c r="S87" s="16">
        <f>S76*Assumptions!$N$122*'Phase I Pro Forma'!S80</f>
        <v>1132587.75</v>
      </c>
      <c r="T87" s="16">
        <f>T76*Assumptions!$N$122*'Phase I Pro Forma'!T80</f>
        <v>1158927</v>
      </c>
      <c r="U87" s="16">
        <f>U76*Assumptions!$N$122*'Phase I Pro Forma'!U80</f>
        <v>1185266.25</v>
      </c>
      <c r="V87" s="16">
        <f>V76*Assumptions!$N$122*'Phase I Pro Forma'!V80</f>
        <v>1202825.75</v>
      </c>
      <c r="W87" s="16">
        <f>W76*Assumptions!$N$122*'Phase I Pro Forma'!W80</f>
        <v>1229165</v>
      </c>
      <c r="X87" s="16">
        <f>X76*Assumptions!$N$122*'Phase I Pro Forma'!X80</f>
        <v>1255504.25</v>
      </c>
      <c r="Y87" s="16">
        <f>Y76*Assumptions!$N$122*'Phase I Pro Forma'!Y80</f>
        <v>1281843.5</v>
      </c>
      <c r="Z87" s="16">
        <f>Z76*Assumptions!$N$122*'Phase I Pro Forma'!Z80</f>
        <v>1308182.75</v>
      </c>
    </row>
    <row r="88" spans="2:26">
      <c r="B88" s="625" t="s">
        <v>592</v>
      </c>
      <c r="C88" s="625"/>
      <c r="F88" s="626">
        <v>0</v>
      </c>
      <c r="G88" s="626">
        <v>0</v>
      </c>
      <c r="H88" s="626">
        <v>0</v>
      </c>
      <c r="I88" s="626">
        <v>0</v>
      </c>
      <c r="J88" s="626">
        <v>0</v>
      </c>
      <c r="K88" s="626">
        <v>0</v>
      </c>
      <c r="L88" s="626">
        <v>0</v>
      </c>
      <c r="M88" s="626">
        <v>0</v>
      </c>
      <c r="N88" s="626">
        <v>0</v>
      </c>
      <c r="O88" s="626">
        <v>0</v>
      </c>
      <c r="P88" s="626">
        <v>0</v>
      </c>
      <c r="Q88" s="626">
        <v>0</v>
      </c>
      <c r="R88" s="626">
        <v>0</v>
      </c>
      <c r="S88" s="626">
        <v>0</v>
      </c>
      <c r="T88" s="626">
        <v>0</v>
      </c>
      <c r="U88" s="626">
        <v>0</v>
      </c>
      <c r="V88" s="626">
        <v>0</v>
      </c>
      <c r="W88" s="626">
        <v>0</v>
      </c>
      <c r="X88" s="626">
        <v>0</v>
      </c>
      <c r="Y88" s="626">
        <v>0</v>
      </c>
      <c r="Z88" s="626">
        <v>0</v>
      </c>
    </row>
    <row r="89" spans="2:26">
      <c r="B89" s="627" t="s">
        <v>586</v>
      </c>
      <c r="C89" s="627"/>
      <c r="D89" s="627"/>
      <c r="E89" s="627"/>
      <c r="F89" s="628">
        <v>0</v>
      </c>
      <c r="G89" s="628">
        <v>0</v>
      </c>
      <c r="H89" s="628">
        <v>0</v>
      </c>
      <c r="I89" s="628">
        <f t="shared" ref="I89:Z89" si="30">SUM(I87:I88)</f>
        <v>400301.58</v>
      </c>
      <c r="J89" s="628">
        <f t="shared" si="30"/>
        <v>948213.00000000012</v>
      </c>
      <c r="K89" s="628">
        <f t="shared" si="30"/>
        <v>965772.50000000012</v>
      </c>
      <c r="L89" s="628">
        <f t="shared" si="30"/>
        <v>992111.74999999988</v>
      </c>
      <c r="M89" s="628">
        <f t="shared" si="30"/>
        <v>1009671.2499999999</v>
      </c>
      <c r="N89" s="628">
        <f t="shared" si="30"/>
        <v>1027230.7499999999</v>
      </c>
      <c r="O89" s="628">
        <f t="shared" si="30"/>
        <v>1053570</v>
      </c>
      <c r="P89" s="628">
        <f t="shared" si="30"/>
        <v>1071129.5</v>
      </c>
      <c r="Q89" s="628">
        <f t="shared" si="30"/>
        <v>1088689</v>
      </c>
      <c r="R89" s="628">
        <f t="shared" si="30"/>
        <v>1115028.25</v>
      </c>
      <c r="S89" s="628">
        <f t="shared" si="30"/>
        <v>1132587.75</v>
      </c>
      <c r="T89" s="628">
        <f t="shared" si="30"/>
        <v>1158927</v>
      </c>
      <c r="U89" s="628">
        <f t="shared" si="30"/>
        <v>1185266.25</v>
      </c>
      <c r="V89" s="628">
        <f t="shared" si="30"/>
        <v>1202825.75</v>
      </c>
      <c r="W89" s="628">
        <f t="shared" si="30"/>
        <v>1229165</v>
      </c>
      <c r="X89" s="628">
        <f t="shared" si="30"/>
        <v>1255504.25</v>
      </c>
      <c r="Y89" s="628">
        <f t="shared" si="30"/>
        <v>1281843.5</v>
      </c>
      <c r="Z89" s="628">
        <f t="shared" si="30"/>
        <v>1308182.75</v>
      </c>
    </row>
    <row r="90" spans="2:26">
      <c r="B90" s="625"/>
    </row>
    <row r="91" spans="2:26">
      <c r="B91" s="651" t="s">
        <v>587</v>
      </c>
      <c r="C91" s="651"/>
      <c r="D91" s="651"/>
      <c r="E91" s="651"/>
      <c r="F91" s="652">
        <v>0</v>
      </c>
      <c r="G91" s="652">
        <v>0</v>
      </c>
      <c r="H91" s="652">
        <v>0</v>
      </c>
      <c r="I91" s="652">
        <f t="shared" ref="I91:Z91" si="31">I85-I89</f>
        <v>0.47499999997671694</v>
      </c>
      <c r="J91" s="652">
        <f t="shared" si="31"/>
        <v>0.94999999995343387</v>
      </c>
      <c r="K91" s="652">
        <f t="shared" si="31"/>
        <v>0.94999999995343387</v>
      </c>
      <c r="L91" s="652">
        <f t="shared" si="31"/>
        <v>0.99750000005587935</v>
      </c>
      <c r="M91" s="652">
        <f t="shared" si="31"/>
        <v>0.99750000005587935</v>
      </c>
      <c r="N91" s="652">
        <f t="shared" si="31"/>
        <v>0.99750000005587935</v>
      </c>
      <c r="O91" s="652">
        <f t="shared" si="31"/>
        <v>0.99750000005587935</v>
      </c>
      <c r="P91" s="652">
        <f t="shared" si="31"/>
        <v>0.99750000005587935</v>
      </c>
      <c r="Q91" s="652">
        <f t="shared" si="31"/>
        <v>1.0449999999254942</v>
      </c>
      <c r="R91" s="652">
        <f t="shared" si="31"/>
        <v>1.0449999999254942</v>
      </c>
      <c r="S91" s="652">
        <f t="shared" si="31"/>
        <v>1.0449999999254942</v>
      </c>
      <c r="T91" s="652">
        <f t="shared" si="31"/>
        <v>1.0449999999254942</v>
      </c>
      <c r="U91" s="652">
        <f t="shared" si="31"/>
        <v>1.0449999999254942</v>
      </c>
      <c r="V91" s="652">
        <f t="shared" si="31"/>
        <v>1.1019999999552965</v>
      </c>
      <c r="W91" s="652">
        <f t="shared" si="31"/>
        <v>1.1019999999552965</v>
      </c>
      <c r="X91" s="652">
        <f t="shared" si="31"/>
        <v>1.1019999999552965</v>
      </c>
      <c r="Y91" s="652">
        <f t="shared" si="31"/>
        <v>1.1019999999552965</v>
      </c>
      <c r="Z91" s="652">
        <f t="shared" si="31"/>
        <v>1.1019999999552965</v>
      </c>
    </row>
    <row r="92" spans="2:26">
      <c r="B92" s="646" t="s">
        <v>588</v>
      </c>
      <c r="C92" s="647"/>
      <c r="D92" s="647"/>
      <c r="E92" s="647"/>
      <c r="F92" s="648">
        <v>0</v>
      </c>
      <c r="G92" s="648">
        <v>0</v>
      </c>
      <c r="H92" s="648">
        <v>0</v>
      </c>
      <c r="I92" s="648">
        <f t="shared" ref="I92:Z92" si="32">+IFERROR(I91/I85,"")</f>
        <v>1.1866039508008944E-6</v>
      </c>
      <c r="J92" s="648">
        <f t="shared" si="32"/>
        <v>1.0018835938381141E-6</v>
      </c>
      <c r="K92" s="648">
        <f t="shared" si="32"/>
        <v>9.8366754641415529E-7</v>
      </c>
      <c r="L92" s="648">
        <f t="shared" si="32"/>
        <v>1.0054300809756297E-6</v>
      </c>
      <c r="M92" s="648">
        <f t="shared" si="32"/>
        <v>9.879443577118617E-7</v>
      </c>
      <c r="N92" s="648">
        <f t="shared" si="32"/>
        <v>9.7105643637233816E-7</v>
      </c>
      <c r="O92" s="648">
        <f t="shared" si="32"/>
        <v>9.46780048447451E-7</v>
      </c>
      <c r="P92" s="648">
        <f t="shared" si="32"/>
        <v>9.3125907850073081E-7</v>
      </c>
      <c r="Q92" s="648">
        <f t="shared" si="32"/>
        <v>9.5986916085513974E-7</v>
      </c>
      <c r="R92" s="648">
        <f t="shared" si="32"/>
        <v>9.3719510743930214E-7</v>
      </c>
      <c r="S92" s="648">
        <f t="shared" si="32"/>
        <v>9.2266496414128333E-7</v>
      </c>
      <c r="T92" s="648">
        <f t="shared" si="32"/>
        <v>9.0169532477358784E-7</v>
      </c>
      <c r="U92" s="648">
        <f t="shared" si="32"/>
        <v>8.8165766855609919E-7</v>
      </c>
      <c r="V92" s="648">
        <f t="shared" si="32"/>
        <v>9.1617509047370071E-7</v>
      </c>
      <c r="W92" s="648">
        <f t="shared" si="32"/>
        <v>8.9654278470762498E-7</v>
      </c>
      <c r="X92" s="648">
        <f t="shared" si="32"/>
        <v>8.7773421132759665E-7</v>
      </c>
      <c r="Y92" s="648">
        <f t="shared" si="32"/>
        <v>8.5969859235347201E-7</v>
      </c>
      <c r="Z92" s="648">
        <f t="shared" si="32"/>
        <v>8.4238923930341907E-7</v>
      </c>
    </row>
    <row r="93" spans="2:26">
      <c r="B93" s="646" t="s">
        <v>589</v>
      </c>
      <c r="C93" s="647"/>
      <c r="D93" s="647"/>
      <c r="E93" s="647"/>
      <c r="F93" s="650">
        <v>0</v>
      </c>
      <c r="G93" s="650">
        <v>0</v>
      </c>
      <c r="H93" s="650">
        <v>0</v>
      </c>
      <c r="I93" s="650">
        <f>I91/Assumptions!$N$132</f>
        <v>7.0370370366921025</v>
      </c>
      <c r="J93" s="650">
        <f>J91/Assumptions!$N$132</f>
        <v>14.074074073384205</v>
      </c>
      <c r="K93" s="650">
        <f>K91/Assumptions!$N$132</f>
        <v>14.074074073384205</v>
      </c>
      <c r="L93" s="650">
        <f>L91/Assumptions!$N$132</f>
        <v>14.777777778605619</v>
      </c>
      <c r="M93" s="650">
        <f>M91/Assumptions!$N$132</f>
        <v>14.777777778605619</v>
      </c>
      <c r="N93" s="650">
        <f>N91/Assumptions!$N$132</f>
        <v>14.777777778605619</v>
      </c>
      <c r="O93" s="650">
        <f>O91/Assumptions!$N$132</f>
        <v>14.777777778605619</v>
      </c>
      <c r="P93" s="650">
        <f>P91/Assumptions!$N$132</f>
        <v>14.777777778605619</v>
      </c>
      <c r="Q93" s="650">
        <f>Q91/Assumptions!$N$132</f>
        <v>15.48148148037769</v>
      </c>
      <c r="R93" s="650">
        <f>R91/Assumptions!$N$132</f>
        <v>15.48148148037769</v>
      </c>
      <c r="S93" s="650">
        <f>S91/Assumptions!$N$132</f>
        <v>15.48148148037769</v>
      </c>
      <c r="T93" s="650">
        <f>T91/Assumptions!$N$132</f>
        <v>15.48148148037769</v>
      </c>
      <c r="U93" s="650">
        <f>U91/Assumptions!$N$132</f>
        <v>15.48148148037769</v>
      </c>
      <c r="V93" s="650">
        <f>V91/Assumptions!$N$132</f>
        <v>16.32592592526365</v>
      </c>
      <c r="W93" s="650">
        <f>W91/Assumptions!$N$132</f>
        <v>16.32592592526365</v>
      </c>
      <c r="X93" s="650">
        <f>X91/Assumptions!$N$132</f>
        <v>16.32592592526365</v>
      </c>
      <c r="Y93" s="650">
        <f>Y91/Assumptions!$N$132</f>
        <v>16.32592592526365</v>
      </c>
      <c r="Z93" s="650">
        <f>Z91/Assumptions!$N$132</f>
        <v>16.32592592526365</v>
      </c>
    </row>
    <row r="95" spans="2:26">
      <c r="B95" s="622" t="s">
        <v>35</v>
      </c>
      <c r="C95" s="623"/>
      <c r="D95" s="623"/>
      <c r="E95" s="623"/>
      <c r="F95" s="624">
        <v>44561</v>
      </c>
      <c r="G95" s="624">
        <v>44926</v>
      </c>
      <c r="H95" s="624">
        <v>45291</v>
      </c>
      <c r="I95" s="624">
        <v>45657</v>
      </c>
      <c r="J95" s="624">
        <v>46022</v>
      </c>
      <c r="K95" s="624">
        <v>46387</v>
      </c>
      <c r="L95" s="624">
        <v>46752</v>
      </c>
      <c r="M95" s="624">
        <v>47118</v>
      </c>
      <c r="N95" s="624">
        <v>47483</v>
      </c>
      <c r="O95" s="624">
        <v>11323</v>
      </c>
      <c r="P95" s="624">
        <v>11688</v>
      </c>
      <c r="Q95" s="624">
        <v>12054</v>
      </c>
      <c r="R95" s="624">
        <v>12419</v>
      </c>
      <c r="S95" s="624">
        <v>12784</v>
      </c>
      <c r="T95" s="624">
        <v>13149</v>
      </c>
      <c r="U95" s="624">
        <v>13515</v>
      </c>
      <c r="V95" s="624">
        <v>13880</v>
      </c>
      <c r="W95" s="624">
        <v>14245</v>
      </c>
      <c r="X95" s="624">
        <v>14610</v>
      </c>
      <c r="Y95" s="624">
        <v>14976</v>
      </c>
      <c r="Z95" s="624">
        <v>15341</v>
      </c>
    </row>
    <row r="96" spans="2:26">
      <c r="B96" s="625" t="s">
        <v>594</v>
      </c>
      <c r="C96" s="625"/>
      <c r="D96" s="20"/>
      <c r="E96" s="20"/>
      <c r="F96" s="22">
        <f>+IF(AND(F95&gt;=Assumptions!$F$26,F95&lt;Assumptions!$F$28),Assumptions!$F$172/ROUNDUP((Assumptions!$F$27/12),0),0)</f>
        <v>0</v>
      </c>
      <c r="G96" s="22">
        <f>+IF(AND(G95&gt;=Assumptions!$F$26,G95&lt;Assumptions!$F$28),Assumptions!$F$172/ROUNDUP((Assumptions!$F$27/12),0),0)</f>
        <v>0</v>
      </c>
      <c r="H96" s="22">
        <f>+IF(AND(H95&gt;=Assumptions!$F$26,H95&lt;Assumptions!$F$28),Assumptions!$F$172/ROUNDUP((Assumptions!$F$27/12),0),0)</f>
        <v>0</v>
      </c>
      <c r="I96" s="22">
        <f>+IF(AND(I95&gt;=Assumptions!$F$26,I95&lt;Assumptions!$F$28),Assumptions!$F$172/ROUNDUP((Assumptions!$F$27/12),0),0)</f>
        <v>140625</v>
      </c>
      <c r="J96" s="22">
        <f>+IF(AND(J95&gt;=Assumptions!$F$26,J95&lt;Assumptions!$F$28),Assumptions!$F$172/ROUNDUP((Assumptions!$F$27/12),0),0)</f>
        <v>140625</v>
      </c>
      <c r="K96" s="22">
        <f>+IF(AND(K95&gt;=Assumptions!$F$26,K95&lt;Assumptions!$F$28),Assumptions!$F$172/ROUNDUP((Assumptions!$F$27/12),0),0)</f>
        <v>0</v>
      </c>
      <c r="L96" s="22">
        <f>+IF(AND(L95&gt;=Assumptions!$F$26,L95&lt;Assumptions!$F$28),Assumptions!$F$172/ROUNDUP((Assumptions!$F$27/12),0),0)</f>
        <v>0</v>
      </c>
      <c r="M96" s="22">
        <f>+IF(AND(M95&gt;=Assumptions!$F$26,M95&lt;Assumptions!$F$28),Assumptions!$F$172/ROUNDUP((Assumptions!$F$27/12),0),0)</f>
        <v>0</v>
      </c>
      <c r="N96" s="22">
        <f>+IF(AND(N95&gt;=Assumptions!$F$26,N95&lt;Assumptions!$F$28),Assumptions!$F$172/ROUNDUP((Assumptions!$F$27/12),0),0)</f>
        <v>0</v>
      </c>
      <c r="O96" s="22">
        <f>+IF(AND(O95&gt;=Assumptions!$F$26,O95&lt;Assumptions!$F$28),Assumptions!$F$172/ROUNDUP((Assumptions!$F$27/12),0),0)</f>
        <v>0</v>
      </c>
      <c r="P96" s="22">
        <f>+IF(AND(P95&gt;=Assumptions!$F$26,P95&lt;Assumptions!$F$28),Assumptions!$F$172/ROUNDUP((Assumptions!$F$27/12),0),0)</f>
        <v>0</v>
      </c>
      <c r="Q96" s="22">
        <f>+IF(AND(Q95&gt;=Assumptions!$F$26,Q95&lt;Assumptions!$F$28),Assumptions!$F$172/ROUNDUP((Assumptions!$F$27/12),0),0)</f>
        <v>0</v>
      </c>
      <c r="R96" s="22">
        <f>+IF(AND(R95&gt;=Assumptions!$F$26,R95&lt;Assumptions!$F$28),Assumptions!$F$172/ROUNDUP((Assumptions!$F$27/12),0),0)</f>
        <v>0</v>
      </c>
      <c r="S96" s="22">
        <f>+IF(AND(S95&gt;=Assumptions!$F$26,S95&lt;Assumptions!$F$28),Assumptions!$F$172/ROUNDUP((Assumptions!$F$27/12),0),0)</f>
        <v>0</v>
      </c>
      <c r="T96" s="22">
        <f>+IF(AND(T95&gt;=Assumptions!$F$26,T95&lt;Assumptions!$F$28),Assumptions!$F$172/ROUNDUP((Assumptions!$F$27/12),0),0)</f>
        <v>0</v>
      </c>
      <c r="U96" s="22">
        <f>+IF(AND(U95&gt;=Assumptions!$F$26,U95&lt;Assumptions!$F$28),Assumptions!$F$172/ROUNDUP((Assumptions!$F$27/12),0),0)</f>
        <v>0</v>
      </c>
      <c r="V96" s="22">
        <f>+IF(AND(V95&gt;=Assumptions!$F$26,V95&lt;Assumptions!$F$28),Assumptions!$F$172/ROUNDUP((Assumptions!$F$27/12),0),0)</f>
        <v>0</v>
      </c>
      <c r="W96" s="22">
        <f>+IF(AND(W95&gt;=Assumptions!$F$26,W95&lt;Assumptions!$F$28),Assumptions!$F$172/ROUNDUP((Assumptions!$F$27/12),0),0)</f>
        <v>0</v>
      </c>
      <c r="X96" s="22">
        <f>+IF(AND(X95&gt;=Assumptions!$F$26,X95&lt;Assumptions!$F$28),Assumptions!$F$172/ROUNDUP((Assumptions!$F$27/12),0),0)</f>
        <v>0</v>
      </c>
      <c r="Y96" s="22">
        <f>+IF(AND(Y95&gt;=Assumptions!$F$26,Y95&lt;Assumptions!$F$28),Assumptions!$F$172/ROUNDUP((Assumptions!$F$27/12),0),0)</f>
        <v>0</v>
      </c>
      <c r="Z96" s="22">
        <f>+IF(AND(Z95&gt;=Assumptions!$F$26,Z95&lt;Assumptions!$F$28),Assumptions!$F$172/ROUNDUP((Assumptions!$F$27/12),0),0)</f>
        <v>0</v>
      </c>
    </row>
    <row r="97" spans="2:26">
      <c r="B97" s="625" t="s">
        <v>576</v>
      </c>
      <c r="C97" s="625"/>
      <c r="D97" s="22">
        <v>0</v>
      </c>
      <c r="E97" s="22"/>
      <c r="F97" s="22">
        <f t="shared" ref="F97:H97" si="33">+E97+F96</f>
        <v>0</v>
      </c>
      <c r="G97" s="22">
        <f t="shared" si="33"/>
        <v>0</v>
      </c>
      <c r="H97" s="22">
        <f t="shared" si="33"/>
        <v>0</v>
      </c>
      <c r="I97" s="22">
        <f>+H97+I96</f>
        <v>140625</v>
      </c>
      <c r="J97" s="22">
        <f t="shared" ref="J97:Z97" si="34">+I97+J96</f>
        <v>281250</v>
      </c>
      <c r="K97" s="22">
        <f t="shared" si="34"/>
        <v>281250</v>
      </c>
      <c r="L97" s="22">
        <f t="shared" si="34"/>
        <v>281250</v>
      </c>
      <c r="M97" s="22">
        <f t="shared" si="34"/>
        <v>281250</v>
      </c>
      <c r="N97" s="22">
        <f t="shared" si="34"/>
        <v>281250</v>
      </c>
      <c r="O97" s="22">
        <f t="shared" si="34"/>
        <v>281250</v>
      </c>
      <c r="P97" s="22">
        <f t="shared" si="34"/>
        <v>281250</v>
      </c>
      <c r="Q97" s="22">
        <f t="shared" si="34"/>
        <v>281250</v>
      </c>
      <c r="R97" s="22">
        <f t="shared" si="34"/>
        <v>281250</v>
      </c>
      <c r="S97" s="22">
        <f t="shared" si="34"/>
        <v>281250</v>
      </c>
      <c r="T97" s="22">
        <f t="shared" si="34"/>
        <v>281250</v>
      </c>
      <c r="U97" s="22">
        <f t="shared" si="34"/>
        <v>281250</v>
      </c>
      <c r="V97" s="22">
        <f t="shared" si="34"/>
        <v>281250</v>
      </c>
      <c r="W97" s="22">
        <f t="shared" si="34"/>
        <v>281250</v>
      </c>
      <c r="X97" s="22">
        <f t="shared" si="34"/>
        <v>281250</v>
      </c>
      <c r="Y97" s="22">
        <f t="shared" si="34"/>
        <v>281250</v>
      </c>
      <c r="Z97" s="22">
        <f t="shared" si="34"/>
        <v>281250</v>
      </c>
    </row>
    <row r="98" spans="2:26">
      <c r="B98" s="625" t="s">
        <v>579</v>
      </c>
      <c r="C98" s="625"/>
      <c r="D98" s="22"/>
      <c r="E98" s="22"/>
      <c r="F98" s="49">
        <v>0</v>
      </c>
      <c r="G98" s="49">
        <v>0</v>
      </c>
      <c r="H98" s="49">
        <v>0</v>
      </c>
      <c r="I98" s="49">
        <v>0.5</v>
      </c>
      <c r="J98" s="49">
        <v>1</v>
      </c>
      <c r="K98" s="49">
        <v>1</v>
      </c>
      <c r="L98" s="49">
        <v>1</v>
      </c>
      <c r="M98" s="49">
        <v>1</v>
      </c>
      <c r="N98" s="49">
        <v>1</v>
      </c>
      <c r="O98" s="49">
        <v>1</v>
      </c>
      <c r="P98" s="49">
        <v>1</v>
      </c>
      <c r="Q98" s="49">
        <v>1</v>
      </c>
      <c r="R98" s="49">
        <v>1</v>
      </c>
      <c r="S98" s="49">
        <v>1</v>
      </c>
      <c r="T98" s="49">
        <v>1</v>
      </c>
      <c r="U98" s="49">
        <v>1</v>
      </c>
      <c r="V98" s="49">
        <v>1</v>
      </c>
      <c r="W98" s="49">
        <v>1</v>
      </c>
      <c r="X98" s="49">
        <v>1</v>
      </c>
      <c r="Y98" s="49">
        <v>1</v>
      </c>
      <c r="Z98" s="49">
        <v>1</v>
      </c>
    </row>
    <row r="99" spans="2:26">
      <c r="B99" s="625"/>
      <c r="C99" s="625"/>
      <c r="D99" s="20"/>
      <c r="E99" s="20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>
      <c r="B100" s="625" t="s">
        <v>580</v>
      </c>
      <c r="C100" s="625"/>
      <c r="D100" s="22"/>
      <c r="E100" s="22"/>
      <c r="F100" s="49">
        <v>1</v>
      </c>
      <c r="G100" s="49">
        <v>1</v>
      </c>
      <c r="H100" s="49">
        <v>1</v>
      </c>
      <c r="I100" s="49">
        <v>1</v>
      </c>
      <c r="J100" s="49">
        <v>1</v>
      </c>
      <c r="K100" s="49">
        <v>1</v>
      </c>
      <c r="L100" s="49">
        <v>1.1000000000000001</v>
      </c>
      <c r="M100" s="49">
        <v>1.1000000000000001</v>
      </c>
      <c r="N100" s="49">
        <v>1.1000000000000001</v>
      </c>
      <c r="O100" s="49">
        <v>1.1000000000000001</v>
      </c>
      <c r="P100" s="49">
        <v>1.1000000000000001</v>
      </c>
      <c r="Q100" s="49">
        <v>1.21</v>
      </c>
      <c r="R100" s="49">
        <v>1.21</v>
      </c>
      <c r="S100" s="49">
        <v>1.21</v>
      </c>
      <c r="T100" s="49">
        <v>1.21</v>
      </c>
      <c r="U100" s="49">
        <v>1.21</v>
      </c>
      <c r="V100" s="49">
        <v>1.33</v>
      </c>
      <c r="W100" s="49">
        <v>1.33</v>
      </c>
      <c r="X100" s="49">
        <v>1.33</v>
      </c>
      <c r="Y100" s="49">
        <v>1.33</v>
      </c>
      <c r="Z100" s="49">
        <v>1.33</v>
      </c>
    </row>
    <row r="101" spans="2:26">
      <c r="B101" s="625" t="s">
        <v>581</v>
      </c>
      <c r="C101" s="625"/>
      <c r="D101" s="22"/>
      <c r="E101" s="22"/>
      <c r="F101" s="49">
        <v>1</v>
      </c>
      <c r="G101" s="49">
        <v>1.02</v>
      </c>
      <c r="H101" s="49">
        <v>1.04</v>
      </c>
      <c r="I101" s="49">
        <v>1.06</v>
      </c>
      <c r="J101" s="49">
        <v>1.08</v>
      </c>
      <c r="K101" s="49">
        <v>1.1000000000000001</v>
      </c>
      <c r="L101" s="49">
        <v>1.1299999999999999</v>
      </c>
      <c r="M101" s="49">
        <v>1.1499999999999999</v>
      </c>
      <c r="N101" s="49">
        <v>1.17</v>
      </c>
      <c r="O101" s="49">
        <v>1.2</v>
      </c>
      <c r="P101" s="49">
        <v>1.22</v>
      </c>
      <c r="Q101" s="49">
        <v>1.24</v>
      </c>
      <c r="R101" s="49">
        <v>1.27</v>
      </c>
      <c r="S101" s="49">
        <v>1.29</v>
      </c>
      <c r="T101" s="49">
        <v>1.32</v>
      </c>
      <c r="U101" s="49">
        <v>1.35</v>
      </c>
      <c r="V101" s="49">
        <v>1.37</v>
      </c>
      <c r="W101" s="49">
        <v>1.4</v>
      </c>
      <c r="X101" s="49">
        <v>1.43</v>
      </c>
      <c r="Y101" s="49">
        <v>1.46</v>
      </c>
      <c r="Z101" s="49">
        <v>1.49</v>
      </c>
    </row>
    <row r="102" spans="2:26">
      <c r="B102" s="625"/>
      <c r="C102" s="625"/>
      <c r="D102" s="20"/>
      <c r="E102" s="20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s="15" customFormat="1">
      <c r="B103" s="15" t="s">
        <v>582</v>
      </c>
      <c r="D103" s="7"/>
      <c r="E103" s="7"/>
      <c r="F103" s="7">
        <v>0</v>
      </c>
      <c r="G103" s="7">
        <v>0</v>
      </c>
      <c r="H103" s="7">
        <v>0</v>
      </c>
      <c r="I103" s="7">
        <f>I98*Assumptions!$F$171*'Phase I Pro Forma'!I100</f>
        <v>6103125</v>
      </c>
      <c r="J103" s="7">
        <f>J98*Assumptions!$F$171*'Phase I Pro Forma'!J100</f>
        <v>12206250</v>
      </c>
      <c r="K103" s="7">
        <f>K98*Assumptions!$F$171*'Phase I Pro Forma'!K100</f>
        <v>12206250</v>
      </c>
      <c r="L103" s="7">
        <f>L98*Assumptions!$F$171*'Phase I Pro Forma'!L100</f>
        <v>13426875.000000002</v>
      </c>
      <c r="M103" s="7">
        <f>M98*Assumptions!$F$171*'Phase I Pro Forma'!M100</f>
        <v>13426875.000000002</v>
      </c>
      <c r="N103" s="7">
        <f>N98*Assumptions!$F$171*'Phase I Pro Forma'!N100</f>
        <v>13426875.000000002</v>
      </c>
      <c r="O103" s="7">
        <f>O98*Assumptions!$F$171*'Phase I Pro Forma'!O100</f>
        <v>13426875.000000002</v>
      </c>
      <c r="P103" s="7">
        <f>P98*Assumptions!$F$171*'Phase I Pro Forma'!P100</f>
        <v>13426875.000000002</v>
      </c>
      <c r="Q103" s="7">
        <f>Q98*Assumptions!$F$171*'Phase I Pro Forma'!Q100</f>
        <v>14769562.5</v>
      </c>
      <c r="R103" s="7">
        <f>R98*Assumptions!$F$171*'Phase I Pro Forma'!R100</f>
        <v>14769562.5</v>
      </c>
      <c r="S103" s="7">
        <f>S98*Assumptions!$F$171*'Phase I Pro Forma'!S100</f>
        <v>14769562.5</v>
      </c>
      <c r="T103" s="7">
        <f>T98*Assumptions!$F$171*'Phase I Pro Forma'!T100</f>
        <v>14769562.5</v>
      </c>
      <c r="U103" s="7">
        <f>U98*Assumptions!$F$171*'Phase I Pro Forma'!U100</f>
        <v>14769562.5</v>
      </c>
      <c r="V103" s="7">
        <f>V98*Assumptions!$F$171*'Phase I Pro Forma'!V100</f>
        <v>16234312.5</v>
      </c>
      <c r="W103" s="7">
        <f>W98*Assumptions!$F$171*'Phase I Pro Forma'!W100</f>
        <v>16234312.5</v>
      </c>
      <c r="X103" s="7">
        <f>X98*Assumptions!$F$171*'Phase I Pro Forma'!X100</f>
        <v>16234312.5</v>
      </c>
      <c r="Y103" s="7">
        <f>Y98*Assumptions!$F$171*'Phase I Pro Forma'!Y100</f>
        <v>16234312.5</v>
      </c>
      <c r="Z103" s="7">
        <f>Z98*Assumptions!$F$171*'Phase I Pro Forma'!Z100</f>
        <v>16234312.5</v>
      </c>
    </row>
    <row r="104" spans="2:26" s="15" customFormat="1">
      <c r="B104" s="15" t="s">
        <v>583</v>
      </c>
      <c r="D104" s="7"/>
      <c r="E104" s="7"/>
      <c r="F104" s="679">
        <f>-F103*Assumptions!$N$58</f>
        <v>0</v>
      </c>
      <c r="G104" s="679">
        <f>-G103*Assumptions!$N$58</f>
        <v>0</v>
      </c>
      <c r="H104" s="679">
        <f>-H103*Assumptions!$N$58</f>
        <v>0</v>
      </c>
      <c r="I104" s="679">
        <f>-I103*Assumptions!$N$58</f>
        <v>-305156.25</v>
      </c>
      <c r="J104" s="679">
        <f>-J103*Assumptions!$N$58</f>
        <v>-610312.5</v>
      </c>
      <c r="K104" s="679">
        <f>-K103*Assumptions!$N$58</f>
        <v>-610312.5</v>
      </c>
      <c r="L104" s="679">
        <f>-L103*Assumptions!$N$58</f>
        <v>-671343.75000000012</v>
      </c>
      <c r="M104" s="679">
        <f>-M103*Assumptions!$N$58</f>
        <v>-671343.75000000012</v>
      </c>
      <c r="N104" s="679">
        <f>-N103*Assumptions!$N$58</f>
        <v>-671343.75000000012</v>
      </c>
      <c r="O104" s="679">
        <f>-O103*Assumptions!$N$58</f>
        <v>-671343.75000000012</v>
      </c>
      <c r="P104" s="679">
        <f>-P103*Assumptions!$N$58</f>
        <v>-671343.75000000012</v>
      </c>
      <c r="Q104" s="679">
        <f>-Q103*Assumptions!$N$58</f>
        <v>-738478.125</v>
      </c>
      <c r="R104" s="679">
        <f>-R103*Assumptions!$N$58</f>
        <v>-738478.125</v>
      </c>
      <c r="S104" s="679">
        <f>-S103*Assumptions!$N$58</f>
        <v>-738478.125</v>
      </c>
      <c r="T104" s="679">
        <f>-T103*Assumptions!$N$58</f>
        <v>-738478.125</v>
      </c>
      <c r="U104" s="679">
        <f>-U103*Assumptions!$N$58</f>
        <v>-738478.125</v>
      </c>
      <c r="V104" s="679">
        <f>-V103*Assumptions!$N$58</f>
        <v>-811715.625</v>
      </c>
      <c r="W104" s="679">
        <f>-W103*Assumptions!$N$58</f>
        <v>-811715.625</v>
      </c>
      <c r="X104" s="679">
        <f>-X103*Assumptions!$N$58</f>
        <v>-811715.625</v>
      </c>
      <c r="Y104" s="679">
        <f>-Y103*Assumptions!$N$58</f>
        <v>-811715.625</v>
      </c>
      <c r="Z104" s="679">
        <f>-Z103*Assumptions!$N$58</f>
        <v>-811715.625</v>
      </c>
    </row>
    <row r="105" spans="2:26" s="15" customFormat="1">
      <c r="B105" s="15" t="s">
        <v>593</v>
      </c>
      <c r="D105" s="7"/>
      <c r="E105" s="7"/>
      <c r="F105" s="681">
        <f>+F110*Assumptions!$N$91</f>
        <v>0</v>
      </c>
      <c r="G105" s="681">
        <f>+G110*Assumptions!$N$91</f>
        <v>0</v>
      </c>
      <c r="H105" s="681">
        <f>+H110*Assumptions!$N$91</f>
        <v>0</v>
      </c>
      <c r="I105" s="681">
        <f>+I110*Assumptions!$N$91</f>
        <v>1044958.5</v>
      </c>
      <c r="J105" s="681">
        <f>+J110*Assumptions!$N$91</f>
        <v>2131714.8000000003</v>
      </c>
      <c r="K105" s="681">
        <f>+K110*Assumptions!$N$91</f>
        <v>2174349.6</v>
      </c>
      <c r="L105" s="681">
        <f>+L110*Assumptions!$N$91</f>
        <v>2217836.7000000002</v>
      </c>
      <c r="M105" s="681">
        <f>+M110*Assumptions!$N$91</f>
        <v>2262193.2000000002</v>
      </c>
      <c r="N105" s="681">
        <f>+N110*Assumptions!$N$91</f>
        <v>2307437.1</v>
      </c>
      <c r="O105" s="681">
        <f>+O110*Assumptions!$N$91</f>
        <v>2353585.5</v>
      </c>
      <c r="P105" s="681">
        <f>+P110*Assumptions!$N$91</f>
        <v>2400657.3000000003</v>
      </c>
      <c r="Q105" s="681">
        <f>+Q110*Assumptions!$N$91</f>
        <v>2448670.5</v>
      </c>
      <c r="R105" s="681">
        <f>+R110*Assumptions!$N$91</f>
        <v>2497644</v>
      </c>
      <c r="S105" s="681">
        <f>+S110*Assumptions!$N$91</f>
        <v>2547596.7000000002</v>
      </c>
      <c r="T105" s="681">
        <f>+T110*Assumptions!$N$91</f>
        <v>2598549.3000000003</v>
      </c>
      <c r="U105" s="681">
        <f>+U110*Assumptions!$N$91</f>
        <v>2650519.8000000003</v>
      </c>
      <c r="V105" s="681">
        <f>+V110*Assumptions!$N$91</f>
        <v>2703529.8000000003</v>
      </c>
      <c r="W105" s="681">
        <f>+W110*Assumptions!$N$91</f>
        <v>2757600.9</v>
      </c>
      <c r="X105" s="681">
        <f>+X110*Assumptions!$N$91</f>
        <v>2812752.9</v>
      </c>
      <c r="Y105" s="681">
        <f>+Y110*Assumptions!$N$91</f>
        <v>2869008.3000000003</v>
      </c>
      <c r="Z105" s="681">
        <f>+Z110*Assumptions!$N$91</f>
        <v>2926387.8000000003</v>
      </c>
    </row>
    <row r="106" spans="2:26" s="15" customFormat="1">
      <c r="B106" s="682" t="s">
        <v>584</v>
      </c>
      <c r="C106" s="682"/>
      <c r="D106" s="682"/>
      <c r="E106" s="682"/>
      <c r="F106" s="683">
        <v>0</v>
      </c>
      <c r="G106" s="683">
        <v>0</v>
      </c>
      <c r="H106" s="683">
        <v>0</v>
      </c>
      <c r="I106" s="683">
        <f>SUM(I103:I105)</f>
        <v>6842927.25</v>
      </c>
      <c r="J106" s="683">
        <f t="shared" ref="J106:Z106" si="35">SUM(J103:J105)</f>
        <v>13727652.300000001</v>
      </c>
      <c r="K106" s="683">
        <f t="shared" si="35"/>
        <v>13770287.1</v>
      </c>
      <c r="L106" s="683">
        <f t="shared" si="35"/>
        <v>14973367.950000003</v>
      </c>
      <c r="M106" s="683">
        <f t="shared" si="35"/>
        <v>15017724.450000003</v>
      </c>
      <c r="N106" s="683">
        <f t="shared" si="35"/>
        <v>15062968.350000001</v>
      </c>
      <c r="O106" s="683">
        <f t="shared" si="35"/>
        <v>15109116.750000002</v>
      </c>
      <c r="P106" s="683">
        <f t="shared" si="35"/>
        <v>15156188.550000003</v>
      </c>
      <c r="Q106" s="683">
        <f t="shared" si="35"/>
        <v>16479754.875</v>
      </c>
      <c r="R106" s="683">
        <f t="shared" si="35"/>
        <v>16528728.375</v>
      </c>
      <c r="S106" s="683">
        <f t="shared" si="35"/>
        <v>16578681.074999999</v>
      </c>
      <c r="T106" s="683">
        <f t="shared" si="35"/>
        <v>16629633.675000001</v>
      </c>
      <c r="U106" s="683">
        <f t="shared" si="35"/>
        <v>16681604.175000001</v>
      </c>
      <c r="V106" s="683">
        <f t="shared" si="35"/>
        <v>18126126.675000001</v>
      </c>
      <c r="W106" s="683">
        <f t="shared" si="35"/>
        <v>18180197.774999999</v>
      </c>
      <c r="X106" s="683">
        <f t="shared" si="35"/>
        <v>18235349.774999999</v>
      </c>
      <c r="Y106" s="683">
        <f t="shared" si="35"/>
        <v>18291605.175000001</v>
      </c>
      <c r="Z106" s="683">
        <f t="shared" si="35"/>
        <v>18348984.675000001</v>
      </c>
    </row>
    <row r="107" spans="2:26" s="15" customFormat="1"/>
    <row r="108" spans="2:26">
      <c r="B108" s="625" t="s">
        <v>585</v>
      </c>
      <c r="C108" s="625"/>
      <c r="D108" s="625"/>
      <c r="F108" s="16">
        <v>0</v>
      </c>
      <c r="G108" s="16">
        <v>0</v>
      </c>
      <c r="H108" s="16">
        <v>0</v>
      </c>
      <c r="I108" s="16">
        <v>1161065</v>
      </c>
      <c r="J108" s="16">
        <v>2368572</v>
      </c>
      <c r="K108" s="16">
        <v>2415944</v>
      </c>
      <c r="L108" s="16">
        <v>2464263</v>
      </c>
      <c r="M108" s="16">
        <v>2513548</v>
      </c>
      <c r="N108" s="16">
        <v>2563819</v>
      </c>
      <c r="O108" s="16">
        <v>2615095</v>
      </c>
      <c r="P108" s="16">
        <v>2667397</v>
      </c>
      <c r="Q108" s="16">
        <v>2720745</v>
      </c>
      <c r="R108" s="16">
        <v>2775160</v>
      </c>
      <c r="S108" s="16">
        <v>2830663</v>
      </c>
      <c r="T108" s="16">
        <v>2887277</v>
      </c>
      <c r="U108" s="16">
        <v>2945022</v>
      </c>
      <c r="V108" s="16">
        <v>3003922</v>
      </c>
      <c r="W108" s="16">
        <v>3064001</v>
      </c>
      <c r="X108" s="16">
        <v>3125281</v>
      </c>
      <c r="Y108" s="16">
        <v>3187787</v>
      </c>
      <c r="Z108" s="16">
        <v>3251542</v>
      </c>
    </row>
    <row r="109" spans="2:26">
      <c r="B109" s="625" t="s">
        <v>592</v>
      </c>
      <c r="C109" s="625"/>
      <c r="F109" s="626">
        <v>0</v>
      </c>
      <c r="G109" s="626">
        <v>0</v>
      </c>
      <c r="H109" s="626">
        <v>0</v>
      </c>
      <c r="I109" s="626">
        <v>0</v>
      </c>
      <c r="J109" s="626">
        <v>0</v>
      </c>
      <c r="K109" s="626">
        <v>0</v>
      </c>
      <c r="L109" s="626">
        <v>0</v>
      </c>
      <c r="M109" s="626">
        <v>0</v>
      </c>
      <c r="N109" s="626">
        <v>0</v>
      </c>
      <c r="O109" s="626">
        <v>0</v>
      </c>
      <c r="P109" s="626">
        <v>0</v>
      </c>
      <c r="Q109" s="626">
        <v>0</v>
      </c>
      <c r="R109" s="626">
        <v>0</v>
      </c>
      <c r="S109" s="626">
        <v>0</v>
      </c>
      <c r="T109" s="626">
        <v>0</v>
      </c>
      <c r="U109" s="626">
        <v>0</v>
      </c>
      <c r="V109" s="626">
        <v>0</v>
      </c>
      <c r="W109" s="626">
        <v>0</v>
      </c>
      <c r="X109" s="626">
        <v>0</v>
      </c>
      <c r="Y109" s="626">
        <v>0</v>
      </c>
      <c r="Z109" s="626">
        <v>0</v>
      </c>
    </row>
    <row r="110" spans="2:26" s="15" customFormat="1">
      <c r="B110" s="682" t="s">
        <v>586</v>
      </c>
      <c r="C110" s="682"/>
      <c r="D110" s="682"/>
      <c r="E110" s="682"/>
      <c r="F110" s="683">
        <v>0</v>
      </c>
      <c r="G110" s="683">
        <v>0</v>
      </c>
      <c r="H110" s="683">
        <v>0</v>
      </c>
      <c r="I110" s="683">
        <f>SUM(I108:I109)</f>
        <v>1161065</v>
      </c>
      <c r="J110" s="683">
        <f t="shared" ref="J110:Z110" si="36">SUM(J108:J109)</f>
        <v>2368572</v>
      </c>
      <c r="K110" s="683">
        <f t="shared" si="36"/>
        <v>2415944</v>
      </c>
      <c r="L110" s="683">
        <f t="shared" si="36"/>
        <v>2464263</v>
      </c>
      <c r="M110" s="683">
        <f t="shared" si="36"/>
        <v>2513548</v>
      </c>
      <c r="N110" s="683">
        <f t="shared" si="36"/>
        <v>2563819</v>
      </c>
      <c r="O110" s="683">
        <f t="shared" si="36"/>
        <v>2615095</v>
      </c>
      <c r="P110" s="683">
        <f t="shared" si="36"/>
        <v>2667397</v>
      </c>
      <c r="Q110" s="683">
        <f t="shared" si="36"/>
        <v>2720745</v>
      </c>
      <c r="R110" s="683">
        <f t="shared" si="36"/>
        <v>2775160</v>
      </c>
      <c r="S110" s="683">
        <f t="shared" si="36"/>
        <v>2830663</v>
      </c>
      <c r="T110" s="683">
        <f t="shared" si="36"/>
        <v>2887277</v>
      </c>
      <c r="U110" s="683">
        <f t="shared" si="36"/>
        <v>2945022</v>
      </c>
      <c r="V110" s="683">
        <f t="shared" si="36"/>
        <v>3003922</v>
      </c>
      <c r="W110" s="683">
        <f t="shared" si="36"/>
        <v>3064001</v>
      </c>
      <c r="X110" s="683">
        <f t="shared" si="36"/>
        <v>3125281</v>
      </c>
      <c r="Y110" s="683">
        <f t="shared" si="36"/>
        <v>3187787</v>
      </c>
      <c r="Z110" s="683">
        <f t="shared" si="36"/>
        <v>3251542</v>
      </c>
    </row>
    <row r="111" spans="2:26">
      <c r="B111" s="625"/>
    </row>
    <row r="112" spans="2:26" s="15" customFormat="1">
      <c r="B112" s="685" t="s">
        <v>587</v>
      </c>
      <c r="C112" s="685"/>
      <c r="D112" s="685"/>
      <c r="E112" s="685"/>
      <c r="F112" s="686">
        <v>0</v>
      </c>
      <c r="G112" s="686">
        <v>0</v>
      </c>
      <c r="H112" s="686">
        <v>0</v>
      </c>
      <c r="I112" s="686">
        <f>I106-I110</f>
        <v>5681862.25</v>
      </c>
      <c r="J112" s="686">
        <f t="shared" ref="J112:Z112" si="37">J106-J110</f>
        <v>11359080.300000001</v>
      </c>
      <c r="K112" s="686">
        <f t="shared" si="37"/>
        <v>11354343.1</v>
      </c>
      <c r="L112" s="686">
        <f t="shared" si="37"/>
        <v>12509104.950000003</v>
      </c>
      <c r="M112" s="686">
        <f t="shared" si="37"/>
        <v>12504176.450000003</v>
      </c>
      <c r="N112" s="686">
        <f t="shared" si="37"/>
        <v>12499149.350000001</v>
      </c>
      <c r="O112" s="686">
        <f t="shared" si="37"/>
        <v>12494021.750000002</v>
      </c>
      <c r="P112" s="686">
        <f t="shared" si="37"/>
        <v>12488791.550000003</v>
      </c>
      <c r="Q112" s="686">
        <f t="shared" si="37"/>
        <v>13759009.875</v>
      </c>
      <c r="R112" s="686">
        <f t="shared" si="37"/>
        <v>13753568.375</v>
      </c>
      <c r="S112" s="686">
        <f t="shared" si="37"/>
        <v>13748018.074999999</v>
      </c>
      <c r="T112" s="686">
        <f t="shared" si="37"/>
        <v>13742356.675000001</v>
      </c>
      <c r="U112" s="686">
        <f t="shared" si="37"/>
        <v>13736582.175000001</v>
      </c>
      <c r="V112" s="686">
        <f t="shared" si="37"/>
        <v>15122204.675000001</v>
      </c>
      <c r="W112" s="686">
        <f t="shared" si="37"/>
        <v>15116196.774999999</v>
      </c>
      <c r="X112" s="686">
        <f t="shared" si="37"/>
        <v>15110068.774999999</v>
      </c>
      <c r="Y112" s="686">
        <f t="shared" si="37"/>
        <v>15103818.175000001</v>
      </c>
      <c r="Z112" s="686">
        <f t="shared" si="37"/>
        <v>15097442.675000001</v>
      </c>
    </row>
    <row r="113" spans="2:26" s="15" customFormat="1">
      <c r="B113" s="687" t="s">
        <v>588</v>
      </c>
      <c r="C113" s="688"/>
      <c r="D113" s="688"/>
      <c r="E113" s="688"/>
      <c r="F113" s="689"/>
      <c r="G113" s="689"/>
      <c r="H113" s="689"/>
      <c r="I113" s="690">
        <f>+IFERROR(I112/I106,"")</f>
        <v>0.83032626863013925</v>
      </c>
      <c r="J113" s="690">
        <f t="shared" ref="J113:Z113" si="38">+IFERROR(J112/J106,"")</f>
        <v>0.82745979077573228</v>
      </c>
      <c r="K113" s="690">
        <f t="shared" si="38"/>
        <v>0.82455383954921313</v>
      </c>
      <c r="L113" s="690">
        <f t="shared" si="38"/>
        <v>0.83542359953827228</v>
      </c>
      <c r="M113" s="690">
        <f t="shared" si="38"/>
        <v>0.83262790522168628</v>
      </c>
      <c r="N113" s="690">
        <f t="shared" si="38"/>
        <v>0.8297932425782466</v>
      </c>
      <c r="O113" s="690">
        <f t="shared" si="38"/>
        <v>0.82691939950758542</v>
      </c>
      <c r="P113" s="690">
        <f t="shared" si="38"/>
        <v>0.82400608232074291</v>
      </c>
      <c r="Q113" s="690">
        <f t="shared" si="38"/>
        <v>0.83490379434421047</v>
      </c>
      <c r="R113" s="690">
        <f t="shared" si="38"/>
        <v>0.83210081640657374</v>
      </c>
      <c r="S113" s="690">
        <f t="shared" si="38"/>
        <v>0.82925885435672386</v>
      </c>
      <c r="T113" s="690">
        <f t="shared" si="38"/>
        <v>0.82637759457440363</v>
      </c>
      <c r="U113" s="690">
        <f t="shared" si="38"/>
        <v>0.8234569068355202</v>
      </c>
      <c r="V113" s="690">
        <f t="shared" si="38"/>
        <v>0.83427667400432093</v>
      </c>
      <c r="W113" s="690">
        <f t="shared" si="38"/>
        <v>0.83146492475382328</v>
      </c>
      <c r="X113" s="690">
        <f t="shared" si="38"/>
        <v>0.8286141456806797</v>
      </c>
      <c r="Y113" s="690">
        <f t="shared" si="38"/>
        <v>0.82572404283267065</v>
      </c>
      <c r="Z113" s="690">
        <f t="shared" si="38"/>
        <v>0.82279444570956894</v>
      </c>
    </row>
    <row r="114" spans="2:26" s="15" customFormat="1">
      <c r="B114" s="687" t="s">
        <v>589</v>
      </c>
      <c r="C114" s="688"/>
      <c r="D114" s="688"/>
      <c r="E114" s="688"/>
      <c r="F114" s="691">
        <v>0</v>
      </c>
      <c r="G114" s="691">
        <v>0</v>
      </c>
      <c r="H114" s="691">
        <v>0</v>
      </c>
      <c r="I114" s="691">
        <f>I112/Assumptions!$N$133</f>
        <v>87413265.384615377</v>
      </c>
      <c r="J114" s="691">
        <f>J112/Assumptions!$N$133</f>
        <v>174755081.53846154</v>
      </c>
      <c r="K114" s="691">
        <f>K112/Assumptions!$N$133</f>
        <v>174682201.53846154</v>
      </c>
      <c r="L114" s="691">
        <f>L112/Assumptions!$N$133</f>
        <v>192447768.46153849</v>
      </c>
      <c r="M114" s="691">
        <f>M112/Assumptions!$N$133</f>
        <v>192371945.38461542</v>
      </c>
      <c r="N114" s="691">
        <f>N112/Assumptions!$N$133</f>
        <v>192294605.38461539</v>
      </c>
      <c r="O114" s="691">
        <f>O112/Assumptions!$N$133</f>
        <v>192215719.23076925</v>
      </c>
      <c r="P114" s="691">
        <f>P112/Assumptions!$N$133</f>
        <v>192135254.61538464</v>
      </c>
      <c r="Q114" s="691">
        <f>Q112/Assumptions!$N$133</f>
        <v>211677075</v>
      </c>
      <c r="R114" s="691">
        <f>R112/Assumptions!$N$133</f>
        <v>211593359.61538461</v>
      </c>
      <c r="S114" s="691">
        <f>S112/Assumptions!$N$133</f>
        <v>211507970.38461536</v>
      </c>
      <c r="T114" s="691">
        <f>T112/Assumptions!$N$133</f>
        <v>211420871.92307693</v>
      </c>
      <c r="U114" s="691">
        <f>U112/Assumptions!$N$133</f>
        <v>211332033.46153846</v>
      </c>
      <c r="V114" s="691">
        <f>V112/Assumptions!$N$133</f>
        <v>232649302.69230771</v>
      </c>
      <c r="W114" s="691">
        <f>W112/Assumptions!$N$133</f>
        <v>232556873.46153843</v>
      </c>
      <c r="X114" s="691">
        <f>X112/Assumptions!$N$133</f>
        <v>232462596.53846151</v>
      </c>
      <c r="Y114" s="691">
        <f>Y112/Assumptions!$N$133</f>
        <v>232366433.46153846</v>
      </c>
      <c r="Z114" s="691">
        <f>Z112/Assumptions!$N$133</f>
        <v>232268348.84615386</v>
      </c>
    </row>
    <row r="116" spans="2:26">
      <c r="B116" s="622" t="s">
        <v>104</v>
      </c>
      <c r="C116" s="623"/>
      <c r="D116" s="623"/>
      <c r="E116" s="623"/>
      <c r="F116" s="624">
        <v>44561</v>
      </c>
      <c r="G116" s="624">
        <v>44926</v>
      </c>
      <c r="H116" s="624">
        <v>45291</v>
      </c>
      <c r="I116" s="624">
        <v>45657</v>
      </c>
      <c r="J116" s="624">
        <v>46022</v>
      </c>
      <c r="K116" s="624">
        <v>46387</v>
      </c>
      <c r="L116" s="624">
        <v>46752</v>
      </c>
      <c r="M116" s="624">
        <v>47118</v>
      </c>
      <c r="N116" s="624">
        <v>47483</v>
      </c>
      <c r="O116" s="624">
        <v>11323</v>
      </c>
      <c r="P116" s="624">
        <v>11688</v>
      </c>
      <c r="Q116" s="624">
        <v>12054</v>
      </c>
      <c r="R116" s="624">
        <v>12419</v>
      </c>
      <c r="S116" s="624">
        <v>12784</v>
      </c>
      <c r="T116" s="624">
        <v>13149</v>
      </c>
      <c r="U116" s="624">
        <v>13515</v>
      </c>
      <c r="V116" s="624">
        <v>13880</v>
      </c>
      <c r="W116" s="624">
        <v>14245</v>
      </c>
      <c r="X116" s="624">
        <v>14610</v>
      </c>
      <c r="Y116" s="624">
        <v>14976</v>
      </c>
      <c r="Z116" s="624">
        <v>15341</v>
      </c>
    </row>
    <row r="117" spans="2:26">
      <c r="B117" s="625" t="s">
        <v>575</v>
      </c>
      <c r="C117" s="625"/>
      <c r="D117" s="20"/>
      <c r="E117" s="20"/>
      <c r="F117" s="22">
        <f>+IF(AND(F116&gt;=Assumptions!$F$26,F116&lt;Assumptions!$F$28),SUM(Assumptions!$F$204:$F$205)/ROUNDUP((Assumptions!$F$27/12),0),0)</f>
        <v>0</v>
      </c>
      <c r="G117" s="22">
        <f>+IF(AND(G116&gt;=Assumptions!$F$26,G116&lt;Assumptions!$F$28),SUM(Assumptions!$F$204:$F$205)/ROUNDUP((Assumptions!$F$27/12),0),0)</f>
        <v>0</v>
      </c>
      <c r="H117" s="22">
        <f>+IF(AND(H116&gt;=Assumptions!$F$26,H116&lt;Assumptions!$F$28),SUM(Assumptions!$F$204:$F$205)/ROUNDUP((Assumptions!$F$27/12),0),0)</f>
        <v>0</v>
      </c>
      <c r="I117" s="22">
        <f>+IF(AND(I116&gt;=Assumptions!$F$26,I116&lt;Assumptions!$F$28),SUM(Assumptions!$F$204:$F$205)/ROUNDUP((Assumptions!$F$27/12),0),0)</f>
        <v>367942</v>
      </c>
      <c r="J117" s="22">
        <f>+IF(AND(J116&gt;=Assumptions!$F$26,J116&lt;Assumptions!$F$28),SUM(Assumptions!$F$204:$F$205)/ROUNDUP((Assumptions!$F$27/12),0),0)</f>
        <v>367942</v>
      </c>
      <c r="K117" s="22">
        <f>+IF(AND(K116&gt;=Assumptions!$F$26,K116&lt;Assumptions!$F$28),SUM(Assumptions!$F$204:$F$205)/ROUNDUP((Assumptions!$F$27/12),0),0)</f>
        <v>0</v>
      </c>
      <c r="L117" s="22">
        <f>+IF(AND(L116&gt;=Assumptions!$F$26,L116&lt;Assumptions!$F$28),SUM(Assumptions!$F$204:$F$205)/ROUNDUP((Assumptions!$F$27/12),0),0)</f>
        <v>0</v>
      </c>
      <c r="M117" s="22">
        <f>+IF(AND(M116&gt;=Assumptions!$F$26,M116&lt;Assumptions!$F$28),SUM(Assumptions!$F$204:$F$205)/ROUNDUP((Assumptions!$F$27/12),0),0)</f>
        <v>0</v>
      </c>
      <c r="N117" s="22">
        <f>+IF(AND(N116&gt;=Assumptions!$F$26,N116&lt;Assumptions!$F$28),SUM(Assumptions!$F$204:$F$205)/ROUNDUP((Assumptions!$F$27/12),0),0)</f>
        <v>0</v>
      </c>
      <c r="O117" s="22">
        <f>+IF(AND(O116&gt;=Assumptions!$F$26,O116&lt;Assumptions!$F$28),SUM(Assumptions!$F$204:$F$205)/ROUNDUP((Assumptions!$F$27/12),0),0)</f>
        <v>0</v>
      </c>
      <c r="P117" s="22">
        <f>+IF(AND(P116&gt;=Assumptions!$F$26,P116&lt;Assumptions!$F$28),SUM(Assumptions!$F$204:$F$205)/ROUNDUP((Assumptions!$F$27/12),0),0)</f>
        <v>0</v>
      </c>
      <c r="Q117" s="22">
        <f>+IF(AND(Q116&gt;=Assumptions!$F$26,Q116&lt;Assumptions!$F$28),SUM(Assumptions!$F$204:$F$205)/ROUNDUP((Assumptions!$F$27/12),0),0)</f>
        <v>0</v>
      </c>
      <c r="R117" s="22">
        <f>+IF(AND(R116&gt;=Assumptions!$F$26,R116&lt;Assumptions!$F$28),SUM(Assumptions!$F$204:$F$205)/ROUNDUP((Assumptions!$F$27/12),0),0)</f>
        <v>0</v>
      </c>
      <c r="S117" s="22">
        <f>+IF(AND(S116&gt;=Assumptions!$F$26,S116&lt;Assumptions!$F$28),SUM(Assumptions!$F$204:$F$205)/ROUNDUP((Assumptions!$F$27/12),0),0)</f>
        <v>0</v>
      </c>
      <c r="T117" s="22">
        <f>+IF(AND(T116&gt;=Assumptions!$F$26,T116&lt;Assumptions!$F$28),SUM(Assumptions!$F$204:$F$205)/ROUNDUP((Assumptions!$F$27/12),0),0)</f>
        <v>0</v>
      </c>
      <c r="U117" s="22">
        <f>+IF(AND(U116&gt;=Assumptions!$F$26,U116&lt;Assumptions!$F$28),SUM(Assumptions!$F$204:$F$205)/ROUNDUP((Assumptions!$F$27/12),0),0)</f>
        <v>0</v>
      </c>
      <c r="V117" s="22">
        <f>+IF(AND(V116&gt;=Assumptions!$F$26,V116&lt;Assumptions!$F$28),SUM(Assumptions!$F$204:$F$205)/ROUNDUP((Assumptions!$F$27/12),0),0)</f>
        <v>0</v>
      </c>
      <c r="W117" s="22">
        <f>+IF(AND(W116&gt;=Assumptions!$F$26,W116&lt;Assumptions!$F$28),SUM(Assumptions!$F$204:$F$205)/ROUNDUP((Assumptions!$F$27/12),0),0)</f>
        <v>0</v>
      </c>
      <c r="X117" s="22">
        <f>+IF(AND(X116&gt;=Assumptions!$F$26,X116&lt;Assumptions!$F$28),SUM(Assumptions!$F$204:$F$205)/ROUNDUP((Assumptions!$F$27/12),0),0)</f>
        <v>0</v>
      </c>
      <c r="Y117" s="22">
        <f>+IF(AND(Y116&gt;=Assumptions!$F$26,Y116&lt;Assumptions!$F$28),SUM(Assumptions!$F$204:$F$205)/ROUNDUP((Assumptions!$F$27/12),0),0)</f>
        <v>0</v>
      </c>
      <c r="Z117" s="22">
        <f>+IF(AND(Z116&gt;=Assumptions!$F$26,Z116&lt;Assumptions!$F$28),SUM(Assumptions!$F$204:$F$205)/ROUNDUP((Assumptions!$F$27/12),0),0)</f>
        <v>0</v>
      </c>
    </row>
    <row r="118" spans="2:26">
      <c r="B118" s="625" t="s">
        <v>577</v>
      </c>
      <c r="C118" s="625"/>
      <c r="D118" s="22"/>
      <c r="E118" s="22"/>
      <c r="F118" s="22">
        <f t="shared" ref="F118:H118" si="39">+F119-E119</f>
        <v>0</v>
      </c>
      <c r="G118" s="22">
        <f t="shared" si="39"/>
        <v>0</v>
      </c>
      <c r="H118" s="22">
        <f t="shared" si="39"/>
        <v>0</v>
      </c>
      <c r="I118" s="22">
        <f>+I119-H119</f>
        <v>1471.768</v>
      </c>
      <c r="J118" s="22">
        <f t="shared" ref="J118:Z118" si="40">+J119-I119</f>
        <v>1471.768</v>
      </c>
      <c r="K118" s="22">
        <f t="shared" si="40"/>
        <v>0</v>
      </c>
      <c r="L118" s="22">
        <f t="shared" si="40"/>
        <v>0</v>
      </c>
      <c r="M118" s="22">
        <f t="shared" si="40"/>
        <v>0</v>
      </c>
      <c r="N118" s="22">
        <f t="shared" si="40"/>
        <v>0</v>
      </c>
      <c r="O118" s="22">
        <f t="shared" si="40"/>
        <v>0</v>
      </c>
      <c r="P118" s="22">
        <f t="shared" si="40"/>
        <v>0</v>
      </c>
      <c r="Q118" s="22">
        <f t="shared" si="40"/>
        <v>0</v>
      </c>
      <c r="R118" s="22">
        <f t="shared" si="40"/>
        <v>0</v>
      </c>
      <c r="S118" s="22">
        <f t="shared" si="40"/>
        <v>0</v>
      </c>
      <c r="T118" s="22">
        <f t="shared" si="40"/>
        <v>0</v>
      </c>
      <c r="U118" s="22">
        <f t="shared" si="40"/>
        <v>0</v>
      </c>
      <c r="V118" s="22">
        <f t="shared" si="40"/>
        <v>0</v>
      </c>
      <c r="W118" s="22">
        <f t="shared" si="40"/>
        <v>0</v>
      </c>
      <c r="X118" s="22">
        <f t="shared" si="40"/>
        <v>0</v>
      </c>
      <c r="Y118" s="22">
        <f t="shared" si="40"/>
        <v>0</v>
      </c>
      <c r="Z118" s="22">
        <f t="shared" si="40"/>
        <v>0</v>
      </c>
    </row>
    <row r="119" spans="2:26">
      <c r="B119" s="625" t="s">
        <v>578</v>
      </c>
      <c r="C119" s="625"/>
      <c r="D119" s="20"/>
      <c r="E119" s="20"/>
      <c r="F119" s="22">
        <f>+F121*SUM(Assumptions!$N$49:$N$50)</f>
        <v>0</v>
      </c>
      <c r="G119" s="22">
        <f>+G121*SUM(Assumptions!$N$49:$N$50)</f>
        <v>0</v>
      </c>
      <c r="H119" s="22">
        <f>+H121*SUM(Assumptions!$N$49:$N$50)</f>
        <v>0</v>
      </c>
      <c r="I119" s="22">
        <f>+I121*SUM(Assumptions!$N$49:$N$50)</f>
        <v>1471.768</v>
      </c>
      <c r="J119" s="22">
        <f>+J121*SUM(Assumptions!$N$49:$N$50)</f>
        <v>2943.5360000000001</v>
      </c>
      <c r="K119" s="22">
        <f>+K121*SUM(Assumptions!$N$49:$N$50)</f>
        <v>2943.5360000000001</v>
      </c>
      <c r="L119" s="22">
        <f>+L121*SUM(Assumptions!$N$49:$N$50)</f>
        <v>2943.5360000000001</v>
      </c>
      <c r="M119" s="22">
        <f>+M121*SUM(Assumptions!$N$49:$N$50)</f>
        <v>2943.5360000000001</v>
      </c>
      <c r="N119" s="22">
        <f>+N121*SUM(Assumptions!$N$49:$N$50)</f>
        <v>2943.5360000000001</v>
      </c>
      <c r="O119" s="22">
        <f>+O121*SUM(Assumptions!$N$49:$N$50)</f>
        <v>2943.5360000000001</v>
      </c>
      <c r="P119" s="22">
        <f>+P121*SUM(Assumptions!$N$49:$N$50)</f>
        <v>2943.5360000000001</v>
      </c>
      <c r="Q119" s="22">
        <f>+Q121*SUM(Assumptions!$N$49:$N$50)</f>
        <v>2943.5360000000001</v>
      </c>
      <c r="R119" s="22">
        <f>+R121*SUM(Assumptions!$N$49:$N$50)</f>
        <v>2943.5360000000001</v>
      </c>
      <c r="S119" s="22">
        <f>+S121*SUM(Assumptions!$N$49:$N$50)</f>
        <v>2943.5360000000001</v>
      </c>
      <c r="T119" s="22">
        <f>+T121*SUM(Assumptions!$N$49:$N$50)</f>
        <v>2943.5360000000001</v>
      </c>
      <c r="U119" s="22">
        <f>+U121*SUM(Assumptions!$N$49:$N$50)</f>
        <v>2943.5360000000001</v>
      </c>
      <c r="V119" s="22">
        <f>+V121*SUM(Assumptions!$N$49:$N$50)</f>
        <v>2943.5360000000001</v>
      </c>
      <c r="W119" s="22">
        <f>+W121*SUM(Assumptions!$N$49:$N$50)</f>
        <v>2943.5360000000001</v>
      </c>
      <c r="X119" s="22">
        <f>+X121*SUM(Assumptions!$N$49:$N$50)</f>
        <v>2943.5360000000001</v>
      </c>
      <c r="Y119" s="22">
        <f>+Y121*SUM(Assumptions!$N$49:$N$50)</f>
        <v>2943.5360000000001</v>
      </c>
      <c r="Z119" s="22">
        <f>+Z121*SUM(Assumptions!$N$49:$N$50)</f>
        <v>2943.5360000000001</v>
      </c>
    </row>
    <row r="120" spans="2:26">
      <c r="B120" s="625" t="s">
        <v>576</v>
      </c>
      <c r="C120" s="625"/>
      <c r="D120" s="22">
        <v>0</v>
      </c>
      <c r="E120" s="22"/>
      <c r="F120" s="22">
        <f t="shared" ref="F120:H120" si="41">+E120+F117</f>
        <v>0</v>
      </c>
      <c r="G120" s="22">
        <f t="shared" si="41"/>
        <v>0</v>
      </c>
      <c r="H120" s="22">
        <f t="shared" si="41"/>
        <v>0</v>
      </c>
      <c r="I120" s="22">
        <f>+H120+I117</f>
        <v>367942</v>
      </c>
      <c r="J120" s="22">
        <f t="shared" ref="J120:Z120" si="42">+I120+J117</f>
        <v>735884</v>
      </c>
      <c r="K120" s="22">
        <f t="shared" si="42"/>
        <v>735884</v>
      </c>
      <c r="L120" s="22">
        <f t="shared" si="42"/>
        <v>735884</v>
      </c>
      <c r="M120" s="22">
        <f t="shared" si="42"/>
        <v>735884</v>
      </c>
      <c r="N120" s="22">
        <f t="shared" si="42"/>
        <v>735884</v>
      </c>
      <c r="O120" s="22">
        <f t="shared" si="42"/>
        <v>735884</v>
      </c>
      <c r="P120" s="22">
        <f t="shared" si="42"/>
        <v>735884</v>
      </c>
      <c r="Q120" s="22">
        <f t="shared" si="42"/>
        <v>735884</v>
      </c>
      <c r="R120" s="22">
        <f t="shared" si="42"/>
        <v>735884</v>
      </c>
      <c r="S120" s="22">
        <f t="shared" si="42"/>
        <v>735884</v>
      </c>
      <c r="T120" s="22">
        <f t="shared" si="42"/>
        <v>735884</v>
      </c>
      <c r="U120" s="22">
        <f t="shared" si="42"/>
        <v>735884</v>
      </c>
      <c r="V120" s="22">
        <f t="shared" si="42"/>
        <v>735884</v>
      </c>
      <c r="W120" s="22">
        <f t="shared" si="42"/>
        <v>735884</v>
      </c>
      <c r="X120" s="22">
        <f t="shared" si="42"/>
        <v>735884</v>
      </c>
      <c r="Y120" s="22">
        <f t="shared" si="42"/>
        <v>735884</v>
      </c>
      <c r="Z120" s="22">
        <f t="shared" si="42"/>
        <v>735884</v>
      </c>
    </row>
    <row r="121" spans="2:26">
      <c r="B121" s="625" t="s">
        <v>579</v>
      </c>
      <c r="C121" s="625"/>
      <c r="D121" s="22"/>
      <c r="E121" s="22"/>
      <c r="F121" s="49">
        <v>0</v>
      </c>
      <c r="G121" s="49">
        <v>0</v>
      </c>
      <c r="H121" s="49">
        <v>0</v>
      </c>
      <c r="I121" s="49">
        <v>0.5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1</v>
      </c>
      <c r="U121" s="49">
        <v>1</v>
      </c>
      <c r="V121" s="49">
        <v>1</v>
      </c>
      <c r="W121" s="49">
        <v>1</v>
      </c>
      <c r="X121" s="49">
        <v>1</v>
      </c>
      <c r="Y121" s="49">
        <v>1</v>
      </c>
      <c r="Z121" s="49">
        <v>1</v>
      </c>
    </row>
    <row r="122" spans="2:26">
      <c r="B122" s="625"/>
      <c r="C122" s="625"/>
      <c r="D122" s="20"/>
      <c r="E122" s="20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>
      <c r="B123" s="625" t="s">
        <v>580</v>
      </c>
      <c r="C123" s="625"/>
      <c r="D123" s="22"/>
      <c r="E123" s="22"/>
      <c r="F123" s="49">
        <v>1</v>
      </c>
      <c r="G123" s="49">
        <v>1.02</v>
      </c>
      <c r="H123" s="49">
        <v>1.04</v>
      </c>
      <c r="I123" s="49">
        <v>1.06</v>
      </c>
      <c r="J123" s="49">
        <v>1.08</v>
      </c>
      <c r="K123" s="49">
        <v>1.1000000000000001</v>
      </c>
      <c r="L123" s="49">
        <v>1.1299999999999999</v>
      </c>
      <c r="M123" s="49">
        <v>1.1499999999999999</v>
      </c>
      <c r="N123" s="49">
        <v>1.17</v>
      </c>
      <c r="O123" s="49">
        <v>1.2</v>
      </c>
      <c r="P123" s="49">
        <v>1.22</v>
      </c>
      <c r="Q123" s="49">
        <v>1.24</v>
      </c>
      <c r="R123" s="49">
        <v>1.27</v>
      </c>
      <c r="S123" s="49">
        <v>1.29</v>
      </c>
      <c r="T123" s="49">
        <v>1.32</v>
      </c>
      <c r="U123" s="49">
        <v>1.35</v>
      </c>
      <c r="V123" s="49">
        <v>1.37</v>
      </c>
      <c r="W123" s="49">
        <v>1.4</v>
      </c>
      <c r="X123" s="49">
        <v>1.43</v>
      </c>
      <c r="Y123" s="49">
        <v>1.46</v>
      </c>
      <c r="Z123" s="49">
        <v>1.49</v>
      </c>
    </row>
    <row r="124" spans="2:26" s="15" customFormat="1">
      <c r="B124" s="15" t="s">
        <v>581</v>
      </c>
      <c r="D124" s="679"/>
      <c r="E124" s="679"/>
      <c r="F124" s="693">
        <v>1</v>
      </c>
      <c r="G124" s="693">
        <v>1.02</v>
      </c>
      <c r="H124" s="693">
        <v>1.04</v>
      </c>
      <c r="I124" s="693">
        <v>1.06</v>
      </c>
      <c r="J124" s="693">
        <v>1.08</v>
      </c>
      <c r="K124" s="693">
        <v>1.1000000000000001</v>
      </c>
      <c r="L124" s="693">
        <v>1.1299999999999999</v>
      </c>
      <c r="M124" s="693">
        <v>1.1499999999999999</v>
      </c>
      <c r="N124" s="693">
        <v>1.17</v>
      </c>
      <c r="O124" s="693">
        <v>1.2</v>
      </c>
      <c r="P124" s="693">
        <v>1.22</v>
      </c>
      <c r="Q124" s="693">
        <v>1.24</v>
      </c>
      <c r="R124" s="693">
        <v>1.27</v>
      </c>
      <c r="S124" s="693">
        <v>1.29</v>
      </c>
      <c r="T124" s="693">
        <v>1.32</v>
      </c>
      <c r="U124" s="693">
        <v>1.35</v>
      </c>
      <c r="V124" s="693">
        <v>1.37</v>
      </c>
      <c r="W124" s="693">
        <v>1.4</v>
      </c>
      <c r="X124" s="693">
        <v>1.43</v>
      </c>
      <c r="Y124" s="693">
        <v>1.46</v>
      </c>
      <c r="Z124" s="693">
        <v>1.49</v>
      </c>
    </row>
    <row r="125" spans="2:26" s="15" customFormat="1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s="15" customFormat="1">
      <c r="B126" s="15" t="s">
        <v>582</v>
      </c>
      <c r="D126" s="7"/>
      <c r="E126" s="7"/>
      <c r="F126" s="7">
        <v>0</v>
      </c>
      <c r="G126" s="7">
        <v>0</v>
      </c>
      <c r="H126" s="7">
        <v>0</v>
      </c>
      <c r="I126" s="7">
        <f>I121*Assumptions!$F$203*'Phase I Pro Forma'!I123</f>
        <v>3386843.4816000001</v>
      </c>
      <c r="J126" s="7">
        <f>J121*Assumptions!$F$203*'Phase I Pro Forma'!J123</f>
        <v>6901492.3776000002</v>
      </c>
      <c r="K126" s="7">
        <f>K121*Assumptions!$F$203*'Phase I Pro Forma'!K123</f>
        <v>7029297.7920000004</v>
      </c>
      <c r="L126" s="7">
        <f>L121*Assumptions!$F$203*'Phase I Pro Forma'!L123</f>
        <v>7221005.9135999987</v>
      </c>
      <c r="M126" s="7">
        <f>M121*Assumptions!$F$203*'Phase I Pro Forma'!M123</f>
        <v>7348811.3279999988</v>
      </c>
      <c r="N126" s="7">
        <f>N121*Assumptions!$F$203*'Phase I Pro Forma'!N123</f>
        <v>7476616.7423999989</v>
      </c>
      <c r="O126" s="7">
        <f>O121*Assumptions!$F$203*'Phase I Pro Forma'!O123</f>
        <v>7668324.8639999991</v>
      </c>
      <c r="P126" s="7">
        <f>P121*Assumptions!$F$203*'Phase I Pro Forma'!P123</f>
        <v>7796130.2783999993</v>
      </c>
      <c r="Q126" s="7">
        <f>Q121*Assumptions!$F$203*'Phase I Pro Forma'!Q123</f>
        <v>7923935.6927999994</v>
      </c>
      <c r="R126" s="7">
        <f>R121*Assumptions!$F$203*'Phase I Pro Forma'!R123</f>
        <v>8115643.8143999996</v>
      </c>
      <c r="S126" s="7">
        <f>S121*Assumptions!$F$203*'Phase I Pro Forma'!S123</f>
        <v>8243449.2287999997</v>
      </c>
      <c r="T126" s="7">
        <f>T121*Assumptions!$F$203*'Phase I Pro Forma'!T123</f>
        <v>8435157.3504000008</v>
      </c>
      <c r="U126" s="7">
        <f>U121*Assumptions!$F$203*'Phase I Pro Forma'!U123</f>
        <v>8626865.472000001</v>
      </c>
      <c r="V126" s="7">
        <f>V121*Assumptions!$F$203*'Phase I Pro Forma'!V123</f>
        <v>8754670.8864000011</v>
      </c>
      <c r="W126" s="7">
        <f>W121*Assumptions!$F$203*'Phase I Pro Forma'!W123</f>
        <v>8946379.0079999994</v>
      </c>
      <c r="X126" s="7">
        <f>X121*Assumptions!$F$203*'Phase I Pro Forma'!X123</f>
        <v>9138087.1295999996</v>
      </c>
      <c r="Y126" s="7">
        <f>Y121*Assumptions!$F$203*'Phase I Pro Forma'!Y123</f>
        <v>9329795.2511999998</v>
      </c>
      <c r="Z126" s="7">
        <f>Z121*Assumptions!$F$203*'Phase I Pro Forma'!Z123</f>
        <v>9521503.3728</v>
      </c>
    </row>
    <row r="127" spans="2:26" s="15" customFormat="1">
      <c r="B127" s="15" t="s">
        <v>583</v>
      </c>
      <c r="D127" s="7"/>
      <c r="E127" s="7"/>
      <c r="F127" s="679">
        <v>0</v>
      </c>
      <c r="G127" s="679">
        <v>0</v>
      </c>
      <c r="H127" s="679">
        <v>0</v>
      </c>
      <c r="I127" s="680">
        <f>-I126*Assumptions!$N$60</f>
        <v>-338684.34816000005</v>
      </c>
      <c r="J127" s="680">
        <f>-J126*Assumptions!$N$60</f>
        <v>-690149.23776000005</v>
      </c>
      <c r="K127" s="680">
        <f>-K126*Assumptions!$N$60</f>
        <v>-702929.77920000011</v>
      </c>
      <c r="L127" s="680">
        <f>-L126*Assumptions!$N$60</f>
        <v>-722100.59135999996</v>
      </c>
      <c r="M127" s="680">
        <f>-M126*Assumptions!$N$60</f>
        <v>-734881.1327999999</v>
      </c>
      <c r="N127" s="680">
        <f>-N126*Assumptions!$N$60</f>
        <v>-747661.67423999996</v>
      </c>
      <c r="O127" s="680">
        <f>-O126*Assumptions!$N$60</f>
        <v>-766832.48639999994</v>
      </c>
      <c r="P127" s="680">
        <f>-P126*Assumptions!$N$60</f>
        <v>-779613.02784</v>
      </c>
      <c r="Q127" s="680">
        <f>-Q126*Assumptions!$N$60</f>
        <v>-792393.56927999994</v>
      </c>
      <c r="R127" s="680">
        <f>-R126*Assumptions!$N$60</f>
        <v>-811564.38144000003</v>
      </c>
      <c r="S127" s="680">
        <f>-S126*Assumptions!$N$60</f>
        <v>-824344.92287999997</v>
      </c>
      <c r="T127" s="680">
        <f>-T126*Assumptions!$N$60</f>
        <v>-843515.73504000017</v>
      </c>
      <c r="U127" s="680">
        <f>-U126*Assumptions!$N$60</f>
        <v>-862686.54720000015</v>
      </c>
      <c r="V127" s="680">
        <f>-V126*Assumptions!$N$60</f>
        <v>-875467.08864000021</v>
      </c>
      <c r="W127" s="680">
        <f>-W126*Assumptions!$N$60</f>
        <v>-894637.90079999994</v>
      </c>
      <c r="X127" s="680">
        <f>-X126*Assumptions!$N$60</f>
        <v>-913808.71296000003</v>
      </c>
      <c r="Y127" s="680">
        <f>-Y126*Assumptions!$N$60</f>
        <v>-932979.52512000001</v>
      </c>
      <c r="Z127" s="680">
        <f>-Z126*Assumptions!$N$60</f>
        <v>-952150.33728000009</v>
      </c>
    </row>
    <row r="128" spans="2:26" s="15" customFormat="1">
      <c r="B128" s="682" t="s">
        <v>584</v>
      </c>
      <c r="C128" s="682"/>
      <c r="D128" s="682"/>
      <c r="E128" s="682"/>
      <c r="F128" s="683">
        <v>0</v>
      </c>
      <c r="G128" s="683">
        <v>0</v>
      </c>
      <c r="H128" s="683">
        <v>0</v>
      </c>
      <c r="I128" s="683">
        <f>SUM(I126:I127)</f>
        <v>3048159.13344</v>
      </c>
      <c r="J128" s="683">
        <f t="shared" ref="J128:Z128" si="43">SUM(J126:J127)</f>
        <v>6211343.1398400003</v>
      </c>
      <c r="K128" s="683">
        <f t="shared" si="43"/>
        <v>6326368.0128000006</v>
      </c>
      <c r="L128" s="683">
        <f t="shared" si="43"/>
        <v>6498905.3222399987</v>
      </c>
      <c r="M128" s="683">
        <f t="shared" si="43"/>
        <v>6613930.195199999</v>
      </c>
      <c r="N128" s="683">
        <f t="shared" si="43"/>
        <v>6728955.0681599993</v>
      </c>
      <c r="O128" s="683">
        <f t="shared" si="43"/>
        <v>6901492.3775999993</v>
      </c>
      <c r="P128" s="683">
        <f t="shared" si="43"/>
        <v>7016517.2505599996</v>
      </c>
      <c r="Q128" s="683">
        <f t="shared" si="43"/>
        <v>7131542.1235199999</v>
      </c>
      <c r="R128" s="683">
        <f t="shared" si="43"/>
        <v>7304079.4329599999</v>
      </c>
      <c r="S128" s="683">
        <f t="shared" si="43"/>
        <v>7419104.3059199993</v>
      </c>
      <c r="T128" s="683">
        <f t="shared" si="43"/>
        <v>7591641.6153600011</v>
      </c>
      <c r="U128" s="683">
        <f t="shared" si="43"/>
        <v>7764178.9248000011</v>
      </c>
      <c r="V128" s="683">
        <f t="shared" si="43"/>
        <v>7879203.7977600005</v>
      </c>
      <c r="W128" s="683">
        <f t="shared" si="43"/>
        <v>8051741.1071999995</v>
      </c>
      <c r="X128" s="683">
        <f t="shared" si="43"/>
        <v>8224278.4166399995</v>
      </c>
      <c r="Y128" s="683">
        <f t="shared" si="43"/>
        <v>8396815.7260800004</v>
      </c>
      <c r="Z128" s="683">
        <f t="shared" si="43"/>
        <v>8569353.0355200004</v>
      </c>
    </row>
    <row r="129" spans="2:26" s="15" customFormat="1"/>
    <row r="130" spans="2:26" s="15" customFormat="1">
      <c r="B130" s="15" t="s">
        <v>585</v>
      </c>
      <c r="F130" s="7">
        <v>0</v>
      </c>
      <c r="G130" s="7">
        <v>0</v>
      </c>
      <c r="H130" s="7">
        <v>0</v>
      </c>
      <c r="I130" s="7">
        <f>I119*Assumptions!$N$97*'Phase I Pro Forma'!I124</f>
        <v>780037.04</v>
      </c>
      <c r="J130" s="7">
        <f>J119*Assumptions!$N$97*'Phase I Pro Forma'!J124</f>
        <v>1589509.4400000002</v>
      </c>
      <c r="K130" s="7">
        <f>K119*Assumptions!$N$97*'Phase I Pro Forma'!K124</f>
        <v>1618944.8</v>
      </c>
      <c r="L130" s="7">
        <f>L119*Assumptions!$N$97*'Phase I Pro Forma'!L124</f>
        <v>1663097.8399999999</v>
      </c>
      <c r="M130" s="7">
        <f>M119*Assumptions!$N$97*'Phase I Pro Forma'!M124</f>
        <v>1692533.2</v>
      </c>
      <c r="N130" s="7">
        <f>N119*Assumptions!$N$97*'Phase I Pro Forma'!N124</f>
        <v>1721968.5599999998</v>
      </c>
      <c r="O130" s="7">
        <f>O119*Assumptions!$N$97*'Phase I Pro Forma'!O124</f>
        <v>1766121.5999999999</v>
      </c>
      <c r="P130" s="7">
        <f>P119*Assumptions!$N$97*'Phase I Pro Forma'!P124</f>
        <v>1795556.96</v>
      </c>
      <c r="Q130" s="7">
        <f>Q119*Assumptions!$N$97*'Phase I Pro Forma'!Q124</f>
        <v>1824992.32</v>
      </c>
      <c r="R130" s="7">
        <f>R119*Assumptions!$N$97*'Phase I Pro Forma'!R124</f>
        <v>1869145.36</v>
      </c>
      <c r="S130" s="7">
        <f>S119*Assumptions!$N$97*'Phase I Pro Forma'!S124</f>
        <v>1898580.72</v>
      </c>
      <c r="T130" s="7">
        <f>T119*Assumptions!$N$97*'Phase I Pro Forma'!T124</f>
        <v>1942733.76</v>
      </c>
      <c r="U130" s="7">
        <f>U119*Assumptions!$N$97*'Phase I Pro Forma'!U124</f>
        <v>1986886.8</v>
      </c>
      <c r="V130" s="7">
        <f>V119*Assumptions!$N$97*'Phase I Pro Forma'!V124</f>
        <v>2016322.1600000001</v>
      </c>
      <c r="W130" s="7">
        <f>W119*Assumptions!$N$97*'Phase I Pro Forma'!W124</f>
        <v>2060475.2</v>
      </c>
      <c r="X130" s="7">
        <f>X119*Assumptions!$N$97*'Phase I Pro Forma'!X124</f>
        <v>2104628.2399999998</v>
      </c>
      <c r="Y130" s="7">
        <f>Y119*Assumptions!$N$97*'Phase I Pro Forma'!Y124</f>
        <v>2148781.2799999998</v>
      </c>
      <c r="Z130" s="7">
        <f>Z119*Assumptions!$N$97*'Phase I Pro Forma'!Z124</f>
        <v>2192934.3199999998</v>
      </c>
    </row>
    <row r="131" spans="2:26" s="15" customFormat="1">
      <c r="B131" s="15" t="s">
        <v>595</v>
      </c>
      <c r="F131" s="681">
        <v>0</v>
      </c>
      <c r="G131" s="681">
        <v>0</v>
      </c>
      <c r="H131" s="681">
        <v>0</v>
      </c>
      <c r="I131" s="681">
        <f>J131*0.5</f>
        <v>35461.913793250002</v>
      </c>
      <c r="J131" s="681">
        <f>'Parcel x Block Info'!$P$15*0.0175</f>
        <v>70923.827586500003</v>
      </c>
      <c r="K131" s="681">
        <f t="shared" ref="K131:Z131" si="44">J131*1.02</f>
        <v>72342.30413823</v>
      </c>
      <c r="L131" s="681">
        <f t="shared" si="44"/>
        <v>73789.150220994605</v>
      </c>
      <c r="M131" s="681">
        <f t="shared" si="44"/>
        <v>75264.933225414497</v>
      </c>
      <c r="N131" s="681">
        <f t="shared" si="44"/>
        <v>76770.231889922783</v>
      </c>
      <c r="O131" s="681">
        <f t="shared" si="44"/>
        <v>78305.636527721246</v>
      </c>
      <c r="P131" s="681">
        <f t="shared" si="44"/>
        <v>79871.749258275668</v>
      </c>
      <c r="Q131" s="681">
        <f t="shared" si="44"/>
        <v>81469.184243441181</v>
      </c>
      <c r="R131" s="681">
        <f t="shared" si="44"/>
        <v>83098.567928310003</v>
      </c>
      <c r="S131" s="681">
        <f t="shared" si="44"/>
        <v>84760.539286876199</v>
      </c>
      <c r="T131" s="681">
        <f t="shared" si="44"/>
        <v>86455.750072613722</v>
      </c>
      <c r="U131" s="681">
        <f t="shared" si="44"/>
        <v>88184.865074065994</v>
      </c>
      <c r="V131" s="681">
        <f t="shared" si="44"/>
        <v>89948.562375547321</v>
      </c>
      <c r="W131" s="681">
        <f t="shared" si="44"/>
        <v>91747.533623058262</v>
      </c>
      <c r="X131" s="681">
        <f t="shared" si="44"/>
        <v>93582.484295519433</v>
      </c>
      <c r="Y131" s="681">
        <f t="shared" si="44"/>
        <v>95454.133981429826</v>
      </c>
      <c r="Z131" s="681">
        <f t="shared" si="44"/>
        <v>97363.216661058425</v>
      </c>
    </row>
    <row r="132" spans="2:26" s="15" customFormat="1">
      <c r="B132" s="682" t="s">
        <v>586</v>
      </c>
      <c r="C132" s="682" t="s">
        <v>246</v>
      </c>
      <c r="D132" s="682"/>
      <c r="E132" s="682"/>
      <c r="F132" s="683">
        <v>0</v>
      </c>
      <c r="G132" s="683">
        <v>0</v>
      </c>
      <c r="H132" s="683">
        <v>0</v>
      </c>
      <c r="I132" s="683">
        <f t="shared" ref="I132:Z132" si="45">SUM(I130:I131)</f>
        <v>815498.95379325002</v>
      </c>
      <c r="J132" s="683">
        <f t="shared" si="45"/>
        <v>1660433.2675865002</v>
      </c>
      <c r="K132" s="683">
        <f t="shared" si="45"/>
        <v>1691287.10413823</v>
      </c>
      <c r="L132" s="683">
        <f t="shared" si="45"/>
        <v>1736886.9902209945</v>
      </c>
      <c r="M132" s="683">
        <f t="shared" si="45"/>
        <v>1767798.1332254144</v>
      </c>
      <c r="N132" s="683">
        <f t="shared" si="45"/>
        <v>1798738.7918899227</v>
      </c>
      <c r="O132" s="683">
        <f t="shared" si="45"/>
        <v>1844427.2365277212</v>
      </c>
      <c r="P132" s="683">
        <f t="shared" si="45"/>
        <v>1875428.7092582756</v>
      </c>
      <c r="Q132" s="683">
        <f t="shared" si="45"/>
        <v>1906461.5042434412</v>
      </c>
      <c r="R132" s="683">
        <f t="shared" si="45"/>
        <v>1952243.9279283101</v>
      </c>
      <c r="S132" s="683">
        <f t="shared" si="45"/>
        <v>1983341.2592868761</v>
      </c>
      <c r="T132" s="683">
        <f t="shared" si="45"/>
        <v>2029189.5100726138</v>
      </c>
      <c r="U132" s="683">
        <f t="shared" si="45"/>
        <v>2075071.665074066</v>
      </c>
      <c r="V132" s="683">
        <f t="shared" si="45"/>
        <v>2106270.7223755475</v>
      </c>
      <c r="W132" s="683">
        <f t="shared" si="45"/>
        <v>2152222.7336230581</v>
      </c>
      <c r="X132" s="683">
        <f t="shared" si="45"/>
        <v>2198210.7242955193</v>
      </c>
      <c r="Y132" s="683">
        <f t="shared" si="45"/>
        <v>2244235.4139814298</v>
      </c>
      <c r="Z132" s="683">
        <f t="shared" si="45"/>
        <v>2290297.5366610582</v>
      </c>
    </row>
    <row r="133" spans="2:26" s="15" customFormat="1"/>
    <row r="134" spans="2:26" s="15" customFormat="1">
      <c r="B134" s="685" t="s">
        <v>587</v>
      </c>
      <c r="C134" s="685"/>
      <c r="D134" s="685"/>
      <c r="E134" s="685"/>
      <c r="F134" s="686">
        <v>0</v>
      </c>
      <c r="G134" s="686">
        <v>0</v>
      </c>
      <c r="H134" s="686">
        <v>0</v>
      </c>
      <c r="I134" s="686">
        <f t="shared" ref="I134:Z134" si="46">I128-I132</f>
        <v>2232660.17964675</v>
      </c>
      <c r="J134" s="686">
        <f t="shared" si="46"/>
        <v>4550909.8722534999</v>
      </c>
      <c r="K134" s="686">
        <f t="shared" si="46"/>
        <v>4635080.9086617706</v>
      </c>
      <c r="L134" s="686">
        <f t="shared" si="46"/>
        <v>4762018.332019004</v>
      </c>
      <c r="M134" s="686">
        <f t="shared" si="46"/>
        <v>4846132.0619745851</v>
      </c>
      <c r="N134" s="686">
        <f t="shared" si="46"/>
        <v>4930216.2762700766</v>
      </c>
      <c r="O134" s="686">
        <f t="shared" si="46"/>
        <v>5057065.1410722779</v>
      </c>
      <c r="P134" s="686">
        <f t="shared" si="46"/>
        <v>5141088.5413017236</v>
      </c>
      <c r="Q134" s="686">
        <f t="shared" si="46"/>
        <v>5225080.619276559</v>
      </c>
      <c r="R134" s="686">
        <f t="shared" si="46"/>
        <v>5351835.50503169</v>
      </c>
      <c r="S134" s="686">
        <f t="shared" si="46"/>
        <v>5435763.0466331234</v>
      </c>
      <c r="T134" s="686">
        <f t="shared" si="46"/>
        <v>5562452.105287387</v>
      </c>
      <c r="U134" s="686">
        <f t="shared" si="46"/>
        <v>5689107.2597259348</v>
      </c>
      <c r="V134" s="686">
        <f t="shared" si="46"/>
        <v>5772933.0753844529</v>
      </c>
      <c r="W134" s="686">
        <f t="shared" si="46"/>
        <v>5899518.373576941</v>
      </c>
      <c r="X134" s="686">
        <f t="shared" si="46"/>
        <v>6026067.6923444802</v>
      </c>
      <c r="Y134" s="686">
        <f t="shared" si="46"/>
        <v>6152580.3120985702</v>
      </c>
      <c r="Z134" s="686">
        <f t="shared" si="46"/>
        <v>6279055.4988589417</v>
      </c>
    </row>
    <row r="135" spans="2:26" s="15" customFormat="1">
      <c r="B135" s="687" t="s">
        <v>588</v>
      </c>
      <c r="C135" s="688"/>
      <c r="D135" s="688"/>
      <c r="E135" s="688"/>
      <c r="F135" s="689"/>
      <c r="G135" s="689"/>
      <c r="H135" s="689"/>
      <c r="I135" s="690">
        <f t="shared" ref="I135:Z135" si="47">+IFERROR(I134/I128,"")</f>
        <v>0.73246181774213381</v>
      </c>
      <c r="J135" s="690">
        <f t="shared" si="47"/>
        <v>0.73267725994135435</v>
      </c>
      <c r="K135" s="690">
        <f t="shared" si="47"/>
        <v>0.73266065130635993</v>
      </c>
      <c r="L135" s="690">
        <f t="shared" si="47"/>
        <v>0.73274160737852756</v>
      </c>
      <c r="M135" s="690">
        <f t="shared" si="47"/>
        <v>0.73271593726399198</v>
      </c>
      <c r="N135" s="690">
        <f t="shared" si="47"/>
        <v>0.73268675839415598</v>
      </c>
      <c r="O135" s="690">
        <f t="shared" si="47"/>
        <v>0.73274950755373824</v>
      </c>
      <c r="P135" s="690">
        <f t="shared" si="47"/>
        <v>0.73271230693424216</v>
      </c>
      <c r="Q135" s="690">
        <f t="shared" si="47"/>
        <v>0.73267191426158951</v>
      </c>
      <c r="R135" s="690">
        <f t="shared" si="47"/>
        <v>0.73271868880303825</v>
      </c>
      <c r="S135" s="690">
        <f t="shared" si="47"/>
        <v>0.73267106411965544</v>
      </c>
      <c r="T135" s="690">
        <f t="shared" si="47"/>
        <v>0.7327074152226839</v>
      </c>
      <c r="U135" s="690">
        <f t="shared" si="47"/>
        <v>0.73273778397275691</v>
      </c>
      <c r="V135" s="690">
        <f t="shared" si="47"/>
        <v>0.73267975084305537</v>
      </c>
      <c r="W135" s="690">
        <f t="shared" si="47"/>
        <v>0.73270095188498974</v>
      </c>
      <c r="X135" s="690">
        <f t="shared" si="47"/>
        <v>0.73271688859074513</v>
      </c>
      <c r="Y135" s="690">
        <f t="shared" si="47"/>
        <v>0.73272779977641156</v>
      </c>
      <c r="Z135" s="690">
        <f t="shared" si="47"/>
        <v>0.73273390334512223</v>
      </c>
    </row>
    <row r="136" spans="2:26" s="15" customFormat="1">
      <c r="B136" s="687" t="s">
        <v>589</v>
      </c>
      <c r="C136" s="688"/>
      <c r="D136" s="688"/>
      <c r="E136" s="688"/>
      <c r="F136" s="691">
        <v>0</v>
      </c>
      <c r="G136" s="691">
        <v>0</v>
      </c>
      <c r="H136" s="691">
        <v>0</v>
      </c>
      <c r="I136" s="691">
        <f>I134/Assumptions!$N$135</f>
        <v>34348618.148411535</v>
      </c>
      <c r="J136" s="691">
        <f>J134/Assumptions!$N$135</f>
        <v>70013998.03466922</v>
      </c>
      <c r="K136" s="691">
        <f>K134/Assumptions!$N$135</f>
        <v>71308937.056334928</v>
      </c>
      <c r="L136" s="691">
        <f>L134/Assumptions!$N$135</f>
        <v>73261820.492600054</v>
      </c>
      <c r="M136" s="691">
        <f>M134/Assumptions!$N$135</f>
        <v>74555877.876532078</v>
      </c>
      <c r="N136" s="691">
        <f>N134/Assumptions!$N$135</f>
        <v>75849481.173385799</v>
      </c>
      <c r="O136" s="691">
        <f>O134/Assumptions!$N$135</f>
        <v>77801002.170342728</v>
      </c>
      <c r="P136" s="691">
        <f>P134/Assumptions!$N$135</f>
        <v>79093669.86618036</v>
      </c>
      <c r="Q136" s="691">
        <f>Q134/Assumptions!$N$135</f>
        <v>80385855.681177825</v>
      </c>
      <c r="R136" s="691">
        <f>R134/Assumptions!$N$135</f>
        <v>82335930.846641377</v>
      </c>
      <c r="S136" s="691">
        <f>S134/Assumptions!$N$135</f>
        <v>83627123.794355735</v>
      </c>
      <c r="T136" s="691">
        <f>T134/Assumptions!$N$135</f>
        <v>85576186.23519057</v>
      </c>
      <c r="U136" s="691">
        <f>U134/Assumptions!$N$135</f>
        <v>87524727.072706684</v>
      </c>
      <c r="V136" s="691">
        <f>V134/Assumptions!$N$135</f>
        <v>88814355.005914658</v>
      </c>
      <c r="W136" s="691">
        <f>W134/Assumptions!$N$135</f>
        <v>90761821.131952941</v>
      </c>
      <c r="X136" s="691">
        <f>X134/Assumptions!$N$135</f>
        <v>92708733.728376612</v>
      </c>
      <c r="Y136" s="691">
        <f>Y134/Assumptions!$N$135</f>
        <v>94655081.724593386</v>
      </c>
      <c r="Z136" s="691">
        <f>Z134/Assumptions!$N$135</f>
        <v>96600853.828599095</v>
      </c>
    </row>
    <row r="137" spans="2:26" s="15" customFormat="1"/>
    <row r="138" spans="2:26" s="15" customFormat="1">
      <c r="B138" s="685" t="s">
        <v>596</v>
      </c>
      <c r="C138" s="685"/>
      <c r="D138" s="685"/>
      <c r="E138" s="685"/>
      <c r="F138" s="686">
        <v>0</v>
      </c>
      <c r="G138" s="686">
        <v>0</v>
      </c>
      <c r="H138" s="686">
        <v>0</v>
      </c>
      <c r="I138" s="686">
        <f>I134+I112+I70+I49+I26</f>
        <v>11355656.772778463</v>
      </c>
      <c r="J138" s="686">
        <f>J134+J112+J70+J49+J26</f>
        <v>21889411.121050809</v>
      </c>
      <c r="K138" s="686">
        <f>K134+K112+K70+K49+K26</f>
        <v>21996862.727504998</v>
      </c>
      <c r="L138" s="686">
        <f t="shared" ref="L138:Z138" si="48">L134+L112+L70+L49+L26</f>
        <v>23759471.05925731</v>
      </c>
      <c r="M138" s="686">
        <f t="shared" si="48"/>
        <v>23904466.824945353</v>
      </c>
      <c r="N138" s="686">
        <f t="shared" si="48"/>
        <v>24026799.239353329</v>
      </c>
      <c r="O138" s="686">
        <f t="shared" si="48"/>
        <v>24167460.621872768</v>
      </c>
      <c r="P138" s="686">
        <f t="shared" si="48"/>
        <v>24314688.638343289</v>
      </c>
      <c r="Q138" s="686">
        <f t="shared" si="48"/>
        <v>26224871.127549402</v>
      </c>
      <c r="R138" s="686">
        <f t="shared" si="48"/>
        <v>26393965.979815327</v>
      </c>
      <c r="S138" s="686">
        <f t="shared" si="48"/>
        <v>26543668.630735829</v>
      </c>
      <c r="T138" s="686">
        <f t="shared" si="48"/>
        <v>26700924.611974239</v>
      </c>
      <c r="U138" s="686">
        <f t="shared" si="48"/>
        <v>26881475.004147954</v>
      </c>
      <c r="V138" s="686">
        <f t="shared" si="48"/>
        <v>28977649.889622606</v>
      </c>
      <c r="W138" s="686">
        <f t="shared" si="48"/>
        <v>29150515.974748202</v>
      </c>
      <c r="X138" s="686">
        <f t="shared" si="48"/>
        <v>29324232.172555096</v>
      </c>
      <c r="Y138" s="686">
        <f t="shared" si="48"/>
        <v>29523973.727296911</v>
      </c>
      <c r="Z138" s="686">
        <f t="shared" si="48"/>
        <v>29712749.171588536</v>
      </c>
    </row>
    <row r="139" spans="2:26" s="15" customFormat="1"/>
    <row r="140" spans="2:26">
      <c r="B140" s="73" t="s">
        <v>597</v>
      </c>
      <c r="F140" s="75">
        <f>+Assumptions!$F$22</f>
        <v>44561</v>
      </c>
      <c r="G140" s="75">
        <f>+EOMONTH(F140,12)</f>
        <v>44926</v>
      </c>
      <c r="H140" s="75">
        <f t="shared" ref="H140:Z140" si="49">+EOMONTH(G140,12)</f>
        <v>45291</v>
      </c>
      <c r="I140" s="75">
        <f>+EOMONTH(H140,12)</f>
        <v>45657</v>
      </c>
      <c r="J140" s="75">
        <f>+EOMONTH(I140,12)</f>
        <v>46022</v>
      </c>
      <c r="K140" s="75">
        <f t="shared" si="49"/>
        <v>46387</v>
      </c>
      <c r="L140" s="75">
        <f t="shared" si="49"/>
        <v>46752</v>
      </c>
      <c r="M140" s="75">
        <f t="shared" si="49"/>
        <v>47118</v>
      </c>
      <c r="N140" s="75">
        <f t="shared" si="49"/>
        <v>47483</v>
      </c>
      <c r="O140" s="75">
        <f t="shared" si="49"/>
        <v>47848</v>
      </c>
      <c r="P140" s="75">
        <f t="shared" si="49"/>
        <v>48213</v>
      </c>
      <c r="Q140" s="75">
        <f t="shared" si="49"/>
        <v>48579</v>
      </c>
      <c r="R140" s="75">
        <f t="shared" si="49"/>
        <v>48944</v>
      </c>
      <c r="S140" s="75">
        <f t="shared" si="49"/>
        <v>49309</v>
      </c>
      <c r="T140" s="75">
        <f t="shared" si="49"/>
        <v>49674</v>
      </c>
      <c r="U140" s="75">
        <f t="shared" si="49"/>
        <v>50040</v>
      </c>
      <c r="V140" s="75">
        <f t="shared" si="49"/>
        <v>50405</v>
      </c>
      <c r="W140" s="75">
        <f t="shared" si="49"/>
        <v>50770</v>
      </c>
      <c r="X140" s="75">
        <f t="shared" si="49"/>
        <v>51135</v>
      </c>
      <c r="Y140" s="75">
        <f t="shared" si="49"/>
        <v>51501</v>
      </c>
      <c r="Z140" s="75">
        <f t="shared" si="49"/>
        <v>51866</v>
      </c>
    </row>
    <row r="141" spans="2:26">
      <c r="B141" s="15" t="s">
        <v>598</v>
      </c>
      <c r="F141" s="16">
        <v>0</v>
      </c>
      <c r="G141" s="16">
        <f t="shared" ref="G141:N141" si="50">+F144</f>
        <v>0</v>
      </c>
      <c r="H141" s="16">
        <f t="shared" si="50"/>
        <v>0</v>
      </c>
      <c r="I141" s="16">
        <f>+H144</f>
        <v>0</v>
      </c>
      <c r="J141" s="16">
        <f>+I144</f>
        <v>221935044.49934962</v>
      </c>
      <c r="K141" s="16">
        <f t="shared" si="50"/>
        <v>218921252.37099195</v>
      </c>
      <c r="L141" s="16">
        <f t="shared" si="50"/>
        <v>215726632.7149328</v>
      </c>
      <c r="M141" s="16">
        <f t="shared" si="50"/>
        <v>212340335.8795101</v>
      </c>
      <c r="N141" s="16">
        <f t="shared" si="50"/>
        <v>208750861.23396206</v>
      </c>
      <c r="O141" s="16">
        <f t="shared" ref="O141:Z141" si="51">+N144</f>
        <v>204946018.10968113</v>
      </c>
      <c r="P141" s="16">
        <f t="shared" si="51"/>
        <v>200912884.39794335</v>
      </c>
      <c r="Q141" s="16">
        <f t="shared" si="51"/>
        <v>196637762.66350129</v>
      </c>
      <c r="R141" s="16">
        <f t="shared" si="51"/>
        <v>192106133.6249927</v>
      </c>
      <c r="S141" s="16">
        <f t="shared" si="51"/>
        <v>187302606.84417361</v>
      </c>
      <c r="T141" s="16">
        <f t="shared" si="51"/>
        <v>182210868.45650536</v>
      </c>
      <c r="U141" s="16">
        <f t="shared" si="51"/>
        <v>176813625.76557702</v>
      </c>
      <c r="V141" s="16">
        <f t="shared" si="51"/>
        <v>171092548.51319298</v>
      </c>
      <c r="W141" s="16">
        <f t="shared" si="51"/>
        <v>165028206.6256659</v>
      </c>
      <c r="X141" s="16">
        <f t="shared" si="51"/>
        <v>158600004.22488719</v>
      </c>
      <c r="Y141" s="16">
        <f t="shared" si="51"/>
        <v>151786109.68006176</v>
      </c>
      <c r="Z141" s="16">
        <f t="shared" si="51"/>
        <v>144563381.4625468</v>
      </c>
    </row>
    <row r="142" spans="2:26">
      <c r="B142" s="15" t="s">
        <v>599</v>
      </c>
      <c r="F142" s="76">
        <f>+IF(YEAR(F$140)=YEAR(Assumptions!$F$26),'S&amp;U'!$R$17,0)</f>
        <v>0</v>
      </c>
      <c r="G142" s="76">
        <f>+IF(YEAR(G$140)=YEAR(Assumptions!$F$26),'S&amp;U'!$R$17,0)</f>
        <v>0</v>
      </c>
      <c r="H142" s="76">
        <f>+IF(YEAR(H$140)=YEAR(Assumptions!$F$26),'S&amp;U'!$R$17,0)</f>
        <v>0</v>
      </c>
      <c r="I142" s="76">
        <f>+IF(YEAR(I$140)=YEAR(Assumptions!$F$26),'S&amp;U'!$R$17,0)</f>
        <v>224778244.62044176</v>
      </c>
      <c r="J142" s="76">
        <f>+IF(YEAR(J$140)=YEAR(Assumptions!$F$26),'S&amp;U'!$R$17,0)</f>
        <v>0</v>
      </c>
      <c r="K142" s="76">
        <f>+IF(YEAR(K$140)=YEAR(Assumptions!$F$26),'S&amp;U'!$R$17,0)</f>
        <v>0</v>
      </c>
      <c r="L142" s="76">
        <f>+IF(YEAR(L$140)=YEAR(Assumptions!$F$26),'S&amp;U'!$R$17,0)</f>
        <v>0</v>
      </c>
      <c r="M142" s="76">
        <f>+IF(YEAR(M$140)=YEAR(Assumptions!$F$26),'S&amp;U'!$R$17,0)</f>
        <v>0</v>
      </c>
      <c r="N142" s="76">
        <f>+IF(YEAR(N$140)=YEAR(Assumptions!$F$26),'S&amp;U'!$R$17,0)</f>
        <v>0</v>
      </c>
      <c r="O142" s="76">
        <f>+IF(YEAR(O$140)=YEAR(Assumptions!$F$26),'S&amp;U'!$R$17,0)</f>
        <v>0</v>
      </c>
      <c r="P142" s="76">
        <f>+IF(YEAR(P$140)=YEAR(Assumptions!$F$26),'S&amp;U'!$R$17,0)</f>
        <v>0</v>
      </c>
      <c r="Q142" s="76">
        <f>+IF(YEAR(Q$140)=YEAR(Assumptions!$F$26),'S&amp;U'!$R$17,0)</f>
        <v>0</v>
      </c>
      <c r="R142" s="76">
        <f>+IF(YEAR(R$140)=YEAR(Assumptions!$F$26),'S&amp;U'!$R$17,0)</f>
        <v>0</v>
      </c>
      <c r="S142" s="76">
        <f>+IF(YEAR(S$140)=YEAR(Assumptions!$F$26),'S&amp;U'!$R$17,0)</f>
        <v>0</v>
      </c>
      <c r="T142" s="76">
        <f>+IF(YEAR(T$140)=YEAR(Assumptions!$F$26),'S&amp;U'!$R$17,0)</f>
        <v>0</v>
      </c>
      <c r="U142" s="76">
        <f>+IF(YEAR(U$140)=YEAR(Assumptions!$F$26),'S&amp;U'!$R$17,0)</f>
        <v>0</v>
      </c>
      <c r="V142" s="76">
        <f>+IF(YEAR(V$140)=YEAR(Assumptions!$F$26),'S&amp;U'!$R$17,0)</f>
        <v>0</v>
      </c>
      <c r="W142" s="76">
        <f>+IF(YEAR(W$140)=YEAR(Assumptions!$F$26),'S&amp;U'!$R$17,0)</f>
        <v>0</v>
      </c>
      <c r="X142" s="76">
        <f>+IF(YEAR(X$140)=YEAR(Assumptions!$F$26),'S&amp;U'!$R$17,0)</f>
        <v>0</v>
      </c>
      <c r="Y142" s="76">
        <f>+IF(YEAR(Y$140)=YEAR(Assumptions!$F$26),'S&amp;U'!$R$17,0)</f>
        <v>0</v>
      </c>
      <c r="Z142" s="76">
        <f>+IF(YEAR(Z$140)=YEAR(Assumptions!$F$26),'S&amp;U'!$R$17,0)</f>
        <v>0</v>
      </c>
    </row>
    <row r="143" spans="2:26">
      <c r="B143" s="15" t="s">
        <v>167</v>
      </c>
      <c r="F143" s="76">
        <f>+IFERROR(PPMT(Assumptions!$N$151,F2,Assumptions!$N$153,'S&amp;U'!$R$17),0)</f>
        <v>0</v>
      </c>
      <c r="G143" s="76">
        <f>+IFERROR(PPMT(Assumptions!$N$151,G2,Assumptions!$N$153,'S&amp;U'!$R$17),0)</f>
        <v>0</v>
      </c>
      <c r="H143" s="76">
        <f>+IFERROR(PPMT(Assumptions!$N$151,H2,Assumptions!$N$153,'S&amp;U'!$R$17),0)</f>
        <v>0</v>
      </c>
      <c r="I143" s="76">
        <f>+IFERROR(PPMT(Assumptions!$N$151,I2,Assumptions!$N$153,'S&amp;U'!$R$17),0)</f>
        <v>-2843200.1210921523</v>
      </c>
      <c r="J143" s="76">
        <f>+IFERROR(PPMT(Assumptions!$N$151,J2,Assumptions!$N$153,'S&amp;U'!$R$17),0)</f>
        <v>-3013792.1283576814</v>
      </c>
      <c r="K143" s="76">
        <f>+IFERROR(PPMT(Assumptions!$N$151,K2,Assumptions!$N$153,'S&amp;U'!$R$17),0)</f>
        <v>-3194619.6560591422</v>
      </c>
      <c r="L143" s="76">
        <f>+IFERROR(PPMT(Assumptions!$N$151,L2,Assumptions!$N$153,'S&amp;U'!$R$17),0)</f>
        <v>-3386296.835422691</v>
      </c>
      <c r="M143" s="76">
        <f>+IFERROR(PPMT(Assumptions!$N$151,M2,Assumptions!$N$153,'S&amp;U'!$R$17),0)</f>
        <v>-3589474.6455480522</v>
      </c>
      <c r="N143" s="76">
        <f>+IFERROR(PPMT(Assumptions!$N$151,N2,Assumptions!$N$153,'S&amp;U'!$R$17),0)</f>
        <v>-3804843.1242809356</v>
      </c>
      <c r="O143" s="76">
        <f>+IFERROR(PPMT(Assumptions!$N$151,O2,Assumptions!$N$153,'S&amp;U'!$R$17),0)</f>
        <v>-4033133.7117377915</v>
      </c>
      <c r="P143" s="76">
        <f>+IFERROR(PPMT(Assumptions!$N$151,P2,Assumptions!$N$153,'S&amp;U'!$R$17),0)</f>
        <v>-4275121.734442059</v>
      </c>
      <c r="Q143" s="76">
        <f>+IFERROR(PPMT(Assumptions!$N$151,Q2,Assumptions!$N$153,'S&amp;U'!$R$17),0)</f>
        <v>-4531629.0385085819</v>
      </c>
      <c r="R143" s="76">
        <f>+IFERROR(PPMT(Assumptions!$N$151,R2,Assumptions!$N$153,'S&amp;U'!$R$17),0)</f>
        <v>-4803526.7808190966</v>
      </c>
      <c r="S143" s="76">
        <f>+IFERROR(PPMT(Assumptions!$N$151,S2,Assumptions!$N$153,'S&amp;U'!$R$17),0)</f>
        <v>-5091738.3876682427</v>
      </c>
      <c r="T143" s="76">
        <f>+IFERROR(PPMT(Assumptions!$N$151,T2,Assumptions!$N$153,'S&amp;U'!$R$17),0)</f>
        <v>-5397242.6909283372</v>
      </c>
      <c r="U143" s="76">
        <f>+IFERROR(PPMT(Assumptions!$N$151,U2,Assumptions!$N$153,'S&amp;U'!$R$17),0)</f>
        <v>-5721077.2523840377</v>
      </c>
      <c r="V143" s="76">
        <f>+IFERROR(PPMT(Assumptions!$N$151,V2,Assumptions!$N$153,'S&amp;U'!$R$17),0)</f>
        <v>-6064341.8875270793</v>
      </c>
      <c r="W143" s="76">
        <f>+IFERROR(PPMT(Assumptions!$N$151,W2,Assumptions!$N$153,'S&amp;U'!$R$17),0)</f>
        <v>-6428202.4007787043</v>
      </c>
      <c r="X143" s="76">
        <f>+IFERROR(PPMT(Assumptions!$N$151,X2,Assumptions!$N$153,'S&amp;U'!$R$17),0)</f>
        <v>-6813894.5448254282</v>
      </c>
      <c r="Y143" s="76">
        <f>+IFERROR(PPMT(Assumptions!$N$151,Y2,Assumptions!$N$153,'S&amp;U'!$R$17),0)</f>
        <v>-7222728.2175149526</v>
      </c>
      <c r="Z143" s="76">
        <f>+IFERROR(PPMT(Assumptions!$N$151,Z2,Assumptions!$N$153,'S&amp;U'!$R$17),0)</f>
        <v>-7656091.9105658494</v>
      </c>
    </row>
    <row r="144" spans="2:26">
      <c r="B144" s="15" t="s">
        <v>600</v>
      </c>
      <c r="F144" s="76">
        <f t="shared" ref="F144:N144" si="52">+SUM(F141:F143)</f>
        <v>0</v>
      </c>
      <c r="G144" s="76">
        <f t="shared" si="52"/>
        <v>0</v>
      </c>
      <c r="H144" s="76">
        <f t="shared" si="52"/>
        <v>0</v>
      </c>
      <c r="I144" s="76">
        <f>+SUM(I141:I143)</f>
        <v>221935044.49934962</v>
      </c>
      <c r="J144" s="76">
        <f t="shared" si="52"/>
        <v>218921252.37099195</v>
      </c>
      <c r="K144" s="76">
        <f t="shared" si="52"/>
        <v>215726632.7149328</v>
      </c>
      <c r="L144" s="76">
        <f t="shared" si="52"/>
        <v>212340335.8795101</v>
      </c>
      <c r="M144" s="76">
        <f t="shared" si="52"/>
        <v>208750861.23396206</v>
      </c>
      <c r="N144" s="76">
        <f t="shared" si="52"/>
        <v>204946018.10968113</v>
      </c>
      <c r="O144" s="76">
        <f t="shared" ref="O144:Z144" si="53">+SUM(O141:O143)</f>
        <v>200912884.39794335</v>
      </c>
      <c r="P144" s="76">
        <f t="shared" si="53"/>
        <v>196637762.66350129</v>
      </c>
      <c r="Q144" s="76">
        <f t="shared" si="53"/>
        <v>192106133.6249927</v>
      </c>
      <c r="R144" s="76">
        <f t="shared" si="53"/>
        <v>187302606.84417361</v>
      </c>
      <c r="S144" s="76">
        <f t="shared" si="53"/>
        <v>182210868.45650536</v>
      </c>
      <c r="T144" s="76">
        <f t="shared" si="53"/>
        <v>176813625.76557702</v>
      </c>
      <c r="U144" s="76">
        <f t="shared" si="53"/>
        <v>171092548.51319298</v>
      </c>
      <c r="V144" s="76">
        <f t="shared" si="53"/>
        <v>165028206.6256659</v>
      </c>
      <c r="W144" s="76">
        <f t="shared" si="53"/>
        <v>158600004.22488719</v>
      </c>
      <c r="X144" s="76">
        <f t="shared" si="53"/>
        <v>151786109.68006176</v>
      </c>
      <c r="Y144" s="76">
        <f t="shared" si="53"/>
        <v>144563381.4625468</v>
      </c>
      <c r="Z144" s="76">
        <f t="shared" si="53"/>
        <v>136907289.55198094</v>
      </c>
    </row>
    <row r="146" spans="2:26">
      <c r="B146" s="21" t="s">
        <v>601</v>
      </c>
      <c r="F146" s="16">
        <f>-IFERROR(IPMT(Assumptions!$N$151,F2,Assumptions!$N$153,'S&amp;U'!$R$17),0)</f>
        <v>0</v>
      </c>
      <c r="G146" s="16">
        <f>-IFERROR(IPMT(Assumptions!$N$151,G2,Assumptions!$N$153,'S&amp;U'!$R$17),0)</f>
        <v>0</v>
      </c>
      <c r="H146" s="16">
        <f>-IFERROR(IPMT(Assumptions!$N$151,H2,Assumptions!$N$153,'S&amp;U'!$R$17),0)</f>
        <v>0</v>
      </c>
      <c r="I146" s="16">
        <f>-IFERROR(IPMT(Assumptions!$N$151,I2,Assumptions!$N$153,'S&amp;U'!$R$17),0)</f>
        <v>13486694.677226506</v>
      </c>
      <c r="J146" s="16">
        <f>-IFERROR(IPMT(Assumptions!$N$151,J2,Assumptions!$N$153,'S&amp;U'!$R$17),0)</f>
        <v>13316102.669960976</v>
      </c>
      <c r="K146" s="16">
        <f>-IFERROR(IPMT(Assumptions!$N$151,K2,Assumptions!$N$153,'S&amp;U'!$R$17),0)</f>
        <v>13135275.142259514</v>
      </c>
      <c r="L146" s="16">
        <f>-IFERROR(IPMT(Assumptions!$N$151,L2,Assumptions!$N$153,'S&amp;U'!$R$17),0)</f>
        <v>12943597.962895965</v>
      </c>
      <c r="M146" s="16">
        <f>-IFERROR(IPMT(Assumptions!$N$151,M2,Assumptions!$N$153,'S&amp;U'!$R$17),0)</f>
        <v>12740420.152770605</v>
      </c>
      <c r="N146" s="16">
        <f>-IFERROR(IPMT(Assumptions!$N$151,N2,Assumptions!$N$153,'S&amp;U'!$R$17),0)</f>
        <v>12525051.674037721</v>
      </c>
      <c r="O146" s="16">
        <f>-IFERROR(IPMT(Assumptions!$N$151,O2,Assumptions!$N$153,'S&amp;U'!$R$17),0)</f>
        <v>12296761.086580865</v>
      </c>
      <c r="P146" s="16">
        <f>-IFERROR(IPMT(Assumptions!$N$151,P2,Assumptions!$N$153,'S&amp;U'!$R$17),0)</f>
        <v>12054773.063876599</v>
      </c>
      <c r="Q146" s="16">
        <f>-IFERROR(IPMT(Assumptions!$N$151,Q2,Assumptions!$N$153,'S&amp;U'!$R$17),0)</f>
        <v>11798265.759810075</v>
      </c>
      <c r="R146" s="16">
        <f>-IFERROR(IPMT(Assumptions!$N$151,R2,Assumptions!$N$153,'S&amp;U'!$R$17),0)</f>
        <v>11526368.01749956</v>
      </c>
      <c r="S146" s="16">
        <f>-IFERROR(IPMT(Assumptions!$N$151,S2,Assumptions!$N$153,'S&amp;U'!$R$17),0)</f>
        <v>11238156.410650413</v>
      </c>
      <c r="T146" s="16">
        <f>-IFERROR(IPMT(Assumptions!$N$151,T2,Assumptions!$N$153,'S&amp;U'!$R$17),0)</f>
        <v>10932652.10739032</v>
      </c>
      <c r="U146" s="16">
        <f>-IFERROR(IPMT(Assumptions!$N$151,U2,Assumptions!$N$153,'S&amp;U'!$R$17),0)</f>
        <v>10608817.545934621</v>
      </c>
      <c r="V146" s="16">
        <f>-IFERROR(IPMT(Assumptions!$N$151,V2,Assumptions!$N$153,'S&amp;U'!$R$17),0)</f>
        <v>10265552.91079158</v>
      </c>
      <c r="W146" s="16">
        <f>-IFERROR(IPMT(Assumptions!$N$151,W2,Assumptions!$N$153,'S&amp;U'!$R$17),0)</f>
        <v>9901692.3975399528</v>
      </c>
      <c r="X146" s="16">
        <f>-IFERROR(IPMT(Assumptions!$N$151,X2,Assumptions!$N$153,'S&amp;U'!$R$17),0)</f>
        <v>9516000.2534932308</v>
      </c>
      <c r="Y146" s="16">
        <f>-IFERROR(IPMT(Assumptions!$N$151,Y2,Assumptions!$N$153,'S&amp;U'!$R$17),0)</f>
        <v>9107166.5808037035</v>
      </c>
      <c r="Z146" s="16">
        <f>-IFERROR(IPMT(Assumptions!$N$151,Z2,Assumptions!$N$153,'S&amp;U'!$R$17),0)</f>
        <v>8673802.8877528068</v>
      </c>
    </row>
    <row r="147" spans="2:26">
      <c r="B147" s="62" t="s">
        <v>602</v>
      </c>
      <c r="C147" s="62"/>
      <c r="D147" s="62"/>
      <c r="E147" s="62"/>
      <c r="F147" s="58">
        <f t="shared" ref="F147:K147" si="54">+F146-F143</f>
        <v>0</v>
      </c>
      <c r="G147" s="58">
        <f t="shared" si="54"/>
        <v>0</v>
      </c>
      <c r="H147" s="58">
        <f t="shared" si="54"/>
        <v>0</v>
      </c>
      <c r="I147" s="58">
        <f>+I146-I143</f>
        <v>16329894.798318658</v>
      </c>
      <c r="J147" s="58">
        <f t="shared" si="54"/>
        <v>16329894.798318658</v>
      </c>
      <c r="K147" s="58">
        <f t="shared" si="54"/>
        <v>16329894.798318656</v>
      </c>
      <c r="L147" s="58">
        <f>+L146-L143</f>
        <v>16329894.798318656</v>
      </c>
      <c r="M147" s="58">
        <f t="shared" ref="M147:Z147" si="55">+M146-M143</f>
        <v>16329894.798318658</v>
      </c>
      <c r="N147" s="58">
        <f t="shared" si="55"/>
        <v>16329894.798318656</v>
      </c>
      <c r="O147" s="58">
        <f t="shared" si="55"/>
        <v>16329894.798318656</v>
      </c>
      <c r="P147" s="58">
        <f t="shared" si="55"/>
        <v>16329894.798318658</v>
      </c>
      <c r="Q147" s="58">
        <f t="shared" si="55"/>
        <v>16329894.798318658</v>
      </c>
      <c r="R147" s="58">
        <f t="shared" si="55"/>
        <v>16329894.798318658</v>
      </c>
      <c r="S147" s="58">
        <f t="shared" si="55"/>
        <v>16329894.798318656</v>
      </c>
      <c r="T147" s="58">
        <f t="shared" si="55"/>
        <v>16329894.798318658</v>
      </c>
      <c r="U147" s="58">
        <f t="shared" si="55"/>
        <v>16329894.798318658</v>
      </c>
      <c r="V147" s="58">
        <f t="shared" si="55"/>
        <v>16329894.798318658</v>
      </c>
      <c r="W147" s="58">
        <f t="shared" si="55"/>
        <v>16329894.798318658</v>
      </c>
      <c r="X147" s="58">
        <f t="shared" si="55"/>
        <v>16329894.798318658</v>
      </c>
      <c r="Y147" s="58">
        <f t="shared" si="55"/>
        <v>16329894.798318656</v>
      </c>
      <c r="Z147" s="58">
        <f t="shared" si="55"/>
        <v>16329894.798318656</v>
      </c>
    </row>
    <row r="148" spans="2:26">
      <c r="B148" s="71" t="s">
        <v>165</v>
      </c>
      <c r="F148" s="89" t="str">
        <f>+IFERROR(F138/F147,"")</f>
        <v/>
      </c>
      <c r="G148" s="89" t="str">
        <f t="shared" ref="G148:Z148" si="56">+IFERROR(G138/G147,"")</f>
        <v/>
      </c>
      <c r="H148" s="89" t="str">
        <f t="shared" si="56"/>
        <v/>
      </c>
      <c r="I148" s="89">
        <f t="shared" si="56"/>
        <v>0.69539068763306744</v>
      </c>
      <c r="J148" s="89">
        <f t="shared" si="56"/>
        <v>1.3404502228210657</v>
      </c>
      <c r="K148" s="89">
        <f t="shared" si="56"/>
        <v>1.3470302778539529</v>
      </c>
      <c r="L148" s="89">
        <f t="shared" si="56"/>
        <v>1.4549677969574923</v>
      </c>
      <c r="M148" s="89">
        <f t="shared" si="56"/>
        <v>1.4638469579979523</v>
      </c>
      <c r="N148" s="89">
        <f t="shared" si="56"/>
        <v>1.471338274746703</v>
      </c>
      <c r="O148" s="89">
        <f t="shared" si="56"/>
        <v>1.479952009510868</v>
      </c>
      <c r="P148" s="89">
        <f t="shared" si="56"/>
        <v>1.4889678677444238</v>
      </c>
      <c r="Q148" s="89">
        <f t="shared" si="56"/>
        <v>1.6059424418490156</v>
      </c>
      <c r="R148" s="89">
        <f t="shared" si="56"/>
        <v>1.61629736785156</v>
      </c>
      <c r="S148" s="89">
        <f t="shared" si="56"/>
        <v>1.6254647662193631</v>
      </c>
      <c r="T148" s="89">
        <f t="shared" si="56"/>
        <v>1.6350947107585403</v>
      </c>
      <c r="U148" s="89">
        <f t="shared" si="56"/>
        <v>1.6461511440303767</v>
      </c>
      <c r="V148" s="89">
        <f t="shared" si="56"/>
        <v>1.7745154054884771</v>
      </c>
      <c r="W148" s="89">
        <f t="shared" si="56"/>
        <v>1.7851012719169244</v>
      </c>
      <c r="X148" s="89">
        <f t="shared" si="56"/>
        <v>1.795739197020078</v>
      </c>
      <c r="Y148" s="89">
        <f t="shared" si="56"/>
        <v>1.8079708468383233</v>
      </c>
      <c r="Z148" s="89">
        <f t="shared" si="56"/>
        <v>1.8195309607657604</v>
      </c>
    </row>
    <row r="150" spans="2:26">
      <c r="B150" s="21" t="s">
        <v>161</v>
      </c>
      <c r="F150" s="16">
        <f>+F142*Assumptions!$N$152</f>
        <v>0</v>
      </c>
      <c r="G150" s="16">
        <f>+G142*Assumptions!$N$152</f>
        <v>0</v>
      </c>
      <c r="H150" s="16">
        <f>+H142*Assumptions!$N$152</f>
        <v>0</v>
      </c>
      <c r="I150" s="16">
        <f>+I142*Assumptions!$N$152</f>
        <v>1685836.8346533133</v>
      </c>
      <c r="J150" s="16">
        <f>+J142*Assumptions!$N$152</f>
        <v>0</v>
      </c>
      <c r="K150" s="16">
        <f>+K142*Assumptions!$N$152</f>
        <v>0</v>
      </c>
      <c r="L150" s="16">
        <f>+L142*Assumptions!$N$152</f>
        <v>0</v>
      </c>
      <c r="M150" s="16">
        <f>+M142*Assumptions!$N$152</f>
        <v>0</v>
      </c>
      <c r="N150" s="16">
        <f>+N142*Assumptions!$N$152</f>
        <v>0</v>
      </c>
      <c r="O150" s="16">
        <f>+O142*Assumptions!$N$152</f>
        <v>0</v>
      </c>
      <c r="P150" s="16">
        <f>+P142*Assumptions!$N$152</f>
        <v>0</v>
      </c>
      <c r="Q150" s="16">
        <f>+Q142*Assumptions!$N$152</f>
        <v>0</v>
      </c>
      <c r="R150" s="16">
        <f>+R142*Assumptions!$N$152</f>
        <v>0</v>
      </c>
      <c r="S150" s="16">
        <f>+S142*Assumptions!$N$152</f>
        <v>0</v>
      </c>
      <c r="T150" s="16">
        <f>+T142*Assumptions!$N$152</f>
        <v>0</v>
      </c>
      <c r="U150" s="16">
        <f>+U142*Assumptions!$N$152</f>
        <v>0</v>
      </c>
      <c r="V150" s="16">
        <f>+V142*Assumptions!$N$152</f>
        <v>0</v>
      </c>
      <c r="W150" s="16">
        <f>+W142*Assumptions!$N$152</f>
        <v>0</v>
      </c>
      <c r="X150" s="16">
        <f>+X142*Assumptions!$N$152</f>
        <v>0</v>
      </c>
      <c r="Y150" s="16">
        <f>+Y142*Assumptions!$N$152</f>
        <v>0</v>
      </c>
      <c r="Z150" s="16">
        <f>+Z142*Assumptions!$N$152</f>
        <v>0</v>
      </c>
    </row>
    <row r="152" spans="2:26" s="82" customFormat="1">
      <c r="B152" s="62" t="s">
        <v>603</v>
      </c>
      <c r="C152" s="62"/>
      <c r="D152" s="62"/>
      <c r="E152" s="62"/>
      <c r="F152" s="58">
        <f>+F138-F147-F150</f>
        <v>0</v>
      </c>
      <c r="G152" s="58">
        <f t="shared" ref="G152:Y152" si="57">+G138-G147-G150</f>
        <v>0</v>
      </c>
      <c r="H152" s="58">
        <f t="shared" si="57"/>
        <v>0</v>
      </c>
      <c r="I152" s="58">
        <f>+I138-I147-I150</f>
        <v>-6660074.8601935087</v>
      </c>
      <c r="J152" s="58">
        <f>+J138-J147-J150</f>
        <v>5559516.3227321506</v>
      </c>
      <c r="K152" s="58">
        <f>+K138-K147-K150</f>
        <v>5666967.9291863423</v>
      </c>
      <c r="L152" s="58">
        <f>+L138-L147-L150</f>
        <v>7429576.2609386537</v>
      </c>
      <c r="M152" s="58">
        <f>+M138-M147-M150</f>
        <v>7574572.0266266949</v>
      </c>
      <c r="N152" s="58">
        <f t="shared" si="57"/>
        <v>7696904.4410346728</v>
      </c>
      <c r="O152" s="58">
        <f t="shared" si="57"/>
        <v>7837565.8235541116</v>
      </c>
      <c r="P152" s="58">
        <f t="shared" si="57"/>
        <v>7984793.8400246315</v>
      </c>
      <c r="Q152" s="58">
        <f t="shared" si="57"/>
        <v>9894976.3292307444</v>
      </c>
      <c r="R152" s="58">
        <f t="shared" si="57"/>
        <v>10064071.181496669</v>
      </c>
      <c r="S152" s="58">
        <f t="shared" si="57"/>
        <v>10213773.832417173</v>
      </c>
      <c r="T152" s="58">
        <f t="shared" si="57"/>
        <v>10371029.813655581</v>
      </c>
      <c r="U152" s="58">
        <f t="shared" si="57"/>
        <v>10551580.205829296</v>
      </c>
      <c r="V152" s="58">
        <f t="shared" si="57"/>
        <v>12647755.091303948</v>
      </c>
      <c r="W152" s="58">
        <f t="shared" si="57"/>
        <v>12820621.176429544</v>
      </c>
      <c r="X152" s="58">
        <f t="shared" si="57"/>
        <v>12994337.374236438</v>
      </c>
      <c r="Y152" s="58">
        <f t="shared" si="57"/>
        <v>13194078.928978255</v>
      </c>
      <c r="Z152" s="58">
        <f>+Z138-Z147-Z150</f>
        <v>13382854.37326988</v>
      </c>
    </row>
    <row r="154" spans="2:26">
      <c r="B154" s="73" t="s">
        <v>604</v>
      </c>
    </row>
    <row r="155" spans="2:26">
      <c r="B155" s="15" t="s">
        <v>605</v>
      </c>
      <c r="F155" s="16">
        <f>+IF(YEAR(F$140)=YEAR(Assumptions!$F$30),F136+F114+F93+F72+F51+F28,0)</f>
        <v>0</v>
      </c>
      <c r="G155" s="16">
        <f>+IF(YEAR(G$140)=YEAR(Assumptions!$F$30),G136+G114+G93+G72+G51+G28,0)</f>
        <v>0</v>
      </c>
      <c r="H155" s="16">
        <f>+IF(YEAR(H$140)=YEAR(Assumptions!$F$30),H136+H114+H93+H72+H51+H28,0)</f>
        <v>0</v>
      </c>
      <c r="I155" s="16">
        <f>+IF(YEAR(I$140)=YEAR(Assumptions!$F$30),I136+I114+I93+I72+I51+I28,0)</f>
        <v>0</v>
      </c>
      <c r="J155" s="16">
        <f>+IF(YEAR(J$140)=YEAR(Assumptions!$F$30),J136+J114+J93+J72+J51+J28,0)</f>
        <v>0</v>
      </c>
      <c r="K155" s="16">
        <f>+IF(YEAR(K$140)=YEAR(Assumptions!$F$30),K136+K114+K93+K72+K51+K28,0)</f>
        <v>0</v>
      </c>
      <c r="L155" s="16">
        <f>+IF(YEAR(L$140)=YEAR(Assumptions!$F$30),L136+L114+L93+L72+L51+L28,0)</f>
        <v>0</v>
      </c>
      <c r="M155" s="16">
        <f>+IF(YEAR(M$140)=YEAR(Assumptions!$F$30),M136+M114+M93+M72+M51+M28,0)</f>
        <v>0</v>
      </c>
      <c r="N155" s="16">
        <f>+IF(YEAR(N$140)=YEAR(Assumptions!$F$30),N136+N114+N93+N72+N51+N28,0)</f>
        <v>0</v>
      </c>
      <c r="O155" s="16">
        <f>+IF(YEAR(O$140)=YEAR(Assumptions!$F$30),O136+O114+O93+O72+O51+O28,0)</f>
        <v>0</v>
      </c>
      <c r="P155" s="16">
        <f>+IF(YEAR(P$140)=YEAR(Assumptions!$F$30),P136+P114+P93+P72+P51+P28,0)</f>
        <v>382419180.23649234</v>
      </c>
      <c r="Q155" s="16">
        <f>+IF(YEAR(Q$140)=YEAR(Assumptions!$F$30),Q136+Q114+Q93+Q72+Q51+Q28,0)</f>
        <v>0</v>
      </c>
      <c r="R155" s="16">
        <f>+IF(YEAR(R$140)=YEAR(Assumptions!$F$30),R136+R114+R93+R72+R51+R28,0)</f>
        <v>0</v>
      </c>
      <c r="S155" s="16">
        <f>+IF(YEAR(S$140)=YEAR(Assumptions!$F$30),S136+S114+S93+S72+S51+S28,0)</f>
        <v>0</v>
      </c>
      <c r="T155" s="16">
        <f>+IF(YEAR(T$140)=YEAR(Assumptions!$F$30),T136+T114+T93+T72+T51+T28,0)</f>
        <v>0</v>
      </c>
      <c r="U155" s="16">
        <f>+IF(YEAR(U$140)=YEAR(Assumptions!$F$30),U136+U114+U93+U72+U51+U28,0)</f>
        <v>0</v>
      </c>
      <c r="V155" s="16">
        <f>+IF(YEAR(V$140)=YEAR(Assumptions!$F$30),V136+V114+V93+V72+V51+V28,0)</f>
        <v>0</v>
      </c>
      <c r="W155" s="16">
        <f>+IF(YEAR(W$140)=YEAR(Assumptions!$F$30),W136+W114+W93+W72+W51+W28,0)</f>
        <v>0</v>
      </c>
      <c r="X155" s="16">
        <f>+IF(YEAR(X$140)=YEAR(Assumptions!$F$30),X136+X114+X93+X72+X51+X28,0)</f>
        <v>0</v>
      </c>
      <c r="Y155" s="16">
        <f>+IF(YEAR(Y$140)=YEAR(Assumptions!$F$30),Y136+Y114+Y93+Y72+Y51+Y28,0)</f>
        <v>0</v>
      </c>
      <c r="Z155" s="16">
        <f>+IF(YEAR(Z$140)=YEAR(Assumptions!$F$30),Z136+Z114+Z93+Z72+Z51+Z28,0)</f>
        <v>0</v>
      </c>
    </row>
    <row r="156" spans="2:26" ht="18.5">
      <c r="B156" s="99" t="s">
        <v>606</v>
      </c>
      <c r="C156" s="99"/>
      <c r="D156" s="99"/>
      <c r="E156" s="99"/>
      <c r="F156" s="76">
        <f>+IF(YEAR(F$140)=YEAR(Assumptions!$F$26),('S&amp;U'!$H$23-'S&amp;U'!$R$25),0)</f>
        <v>0</v>
      </c>
      <c r="G156" s="76">
        <f>+IF(YEAR(G$140)=YEAR(Assumptions!$F$26),('S&amp;U'!$H$23-'S&amp;U'!$R$25),0)</f>
        <v>0</v>
      </c>
      <c r="H156" s="76">
        <f>+IF(YEAR(H$140)=YEAR(Assumptions!$F$26),('S&amp;U'!$H$23-'S&amp;U'!$R$25),0)</f>
        <v>0</v>
      </c>
      <c r="I156" s="612">
        <f>(I142+I212+I257)-SUM(F301)</f>
        <v>178464826.62044176</v>
      </c>
      <c r="J156" s="76">
        <f>+IF(YEAR(J$140)=YEAR(Assumptions!$F$26),('S&amp;U'!$H$23-'S&amp;U'!$R$25),0)</f>
        <v>0</v>
      </c>
      <c r="K156" s="76">
        <f>+IF(YEAR(K$140)=YEAR(Assumptions!$F$26),('S&amp;U'!$H$23-'S&amp;U'!$R$25),0)</f>
        <v>0</v>
      </c>
      <c r="L156" s="76">
        <f>+IF(YEAR(L$140)=YEAR(Assumptions!$F$26),('S&amp;U'!$H$23-'S&amp;U'!$R$25),0)</f>
        <v>0</v>
      </c>
      <c r="M156" s="76">
        <f>+IF(YEAR(M$140)=YEAR(Assumptions!$F$26),('S&amp;U'!$H$23-'S&amp;U'!$R$25),0)</f>
        <v>0</v>
      </c>
      <c r="N156" s="76">
        <f>+IF(YEAR(N$140)=YEAR(Assumptions!$F$26),('S&amp;U'!$H$23-'S&amp;U'!$R$25),0)</f>
        <v>0</v>
      </c>
      <c r="O156" s="76">
        <f>+IF(YEAR(O$140)=YEAR(Assumptions!$F$26),('S&amp;U'!$H$23-'S&amp;U'!$R$25),0)</f>
        <v>0</v>
      </c>
      <c r="P156" s="76">
        <f>+IF(YEAR(P$140)=YEAR(Assumptions!$F$26),('S&amp;U'!$H$23-'S&amp;U'!$R$25),0)</f>
        <v>0</v>
      </c>
      <c r="Q156" s="76">
        <f>+IF(YEAR(Q$140)=YEAR(Assumptions!$F$26),('S&amp;U'!$H$23-'S&amp;U'!$R$25),0)</f>
        <v>0</v>
      </c>
      <c r="R156" s="76">
        <f>+IF(YEAR(R$140)=YEAR(Assumptions!$F$26),('S&amp;U'!$H$23-'S&amp;U'!$R$25),0)</f>
        <v>0</v>
      </c>
      <c r="S156" s="76">
        <f>+IF(YEAR(S$140)=YEAR(Assumptions!$F$26),('S&amp;U'!$H$23-'S&amp;U'!$R$25),0)</f>
        <v>0</v>
      </c>
      <c r="T156" s="76">
        <f>+IF(YEAR(T$140)=YEAR(Assumptions!$F$26),('S&amp;U'!$H$23-'S&amp;U'!$R$25),0)</f>
        <v>0</v>
      </c>
      <c r="U156" s="76">
        <f>+IF(YEAR(U$140)=YEAR(Assumptions!$F$26),('S&amp;U'!$H$23-'S&amp;U'!$R$25),0)</f>
        <v>0</v>
      </c>
      <c r="V156" s="76">
        <f>+IF(YEAR(V$140)=YEAR(Assumptions!$F$26),('S&amp;U'!$H$23-'S&amp;U'!$R$25),0)</f>
        <v>0</v>
      </c>
      <c r="W156" s="76">
        <f>+IF(YEAR(W$140)=YEAR(Assumptions!$F$26),('S&amp;U'!$H$23-'S&amp;U'!$R$25),0)</f>
        <v>0</v>
      </c>
      <c r="X156" s="76">
        <f>+IF(YEAR(X$140)=YEAR(Assumptions!$F$26),('S&amp;U'!$H$23-'S&amp;U'!$R$25),0)</f>
        <v>0</v>
      </c>
      <c r="Y156" s="76">
        <f>+IF(YEAR(Y$140)=YEAR(Assumptions!$F$26),('S&amp;U'!$H$23-'S&amp;U'!$R$25),0)</f>
        <v>0</v>
      </c>
      <c r="Z156" s="76">
        <f>+IF(YEAR(Z$140)=YEAR(Assumptions!$F$26),('S&amp;U'!$H$23-'S&amp;U'!$R$25),0)</f>
        <v>0</v>
      </c>
    </row>
    <row r="157" spans="2:26">
      <c r="B157" s="15" t="s">
        <v>607</v>
      </c>
      <c r="F157" s="76">
        <f>-F155*Assumptions!$N$136</f>
        <v>0</v>
      </c>
      <c r="G157" s="76">
        <f>-G155*Assumptions!$N$136</f>
        <v>0</v>
      </c>
      <c r="H157" s="76">
        <f>-H155*Assumptions!$N$136</f>
        <v>0</v>
      </c>
      <c r="I157" s="612">
        <f>-I155*Assumptions!$N$136</f>
        <v>0</v>
      </c>
      <c r="J157" s="76">
        <f>-J155*Assumptions!$N$136</f>
        <v>0</v>
      </c>
      <c r="K157" s="76">
        <f>-K155*Assumptions!$N$136</f>
        <v>0</v>
      </c>
      <c r="L157" s="76">
        <f>-L155*Assumptions!$N$136</f>
        <v>0</v>
      </c>
      <c r="M157" s="76">
        <f>-M155*Assumptions!$N$136</f>
        <v>0</v>
      </c>
      <c r="N157" s="76">
        <f>-N155*Assumptions!$N$136</f>
        <v>0</v>
      </c>
      <c r="O157" s="76">
        <f>-O155*Assumptions!$N$136</f>
        <v>0</v>
      </c>
      <c r="P157" s="76">
        <f>-P155*Assumptions!$N$136</f>
        <v>-7648383.6047298471</v>
      </c>
      <c r="Q157" s="76">
        <f>-Q155*Assumptions!$N$136</f>
        <v>0</v>
      </c>
      <c r="R157" s="76">
        <f>-R155*Assumptions!$N$136</f>
        <v>0</v>
      </c>
      <c r="S157" s="76">
        <f>-S155*Assumptions!$N$136</f>
        <v>0</v>
      </c>
      <c r="T157" s="76">
        <f>-T155*Assumptions!$N$136</f>
        <v>0</v>
      </c>
      <c r="U157" s="76">
        <f>-U155*Assumptions!$N$136</f>
        <v>0</v>
      </c>
      <c r="V157" s="76">
        <f>-V155*Assumptions!$N$136</f>
        <v>0</v>
      </c>
      <c r="W157" s="76">
        <f>-W155*Assumptions!$N$136</f>
        <v>0</v>
      </c>
      <c r="X157" s="76">
        <f>-X155*Assumptions!$N$136</f>
        <v>0</v>
      </c>
      <c r="Y157" s="76">
        <f>-Y155*Assumptions!$N$136</f>
        <v>0</v>
      </c>
      <c r="Z157" s="76">
        <f>-Z155*Assumptions!$N$136</f>
        <v>0</v>
      </c>
    </row>
    <row r="158" spans="2:26">
      <c r="B158" s="15" t="s">
        <v>608</v>
      </c>
      <c r="F158" s="76">
        <f>+IF(YEAR(F$140)=YEAR(Assumptions!$F$30),-F144,0)</f>
        <v>0</v>
      </c>
      <c r="G158" s="76">
        <f>+IF(YEAR(G$140)=YEAR(Assumptions!$F$30),-G144,0)</f>
        <v>0</v>
      </c>
      <c r="H158" s="76">
        <f>+IF(YEAR(H$140)=YEAR(Assumptions!$F$30),-H144,0)</f>
        <v>0</v>
      </c>
      <c r="I158" s="612">
        <f>+IF(YEAR(I$140)=YEAR(Assumptions!$F$30),-I144,0)</f>
        <v>0</v>
      </c>
      <c r="J158" s="76">
        <f>+IF(YEAR(J$140)=YEAR(Assumptions!$F$30),-J144,0)</f>
        <v>0</v>
      </c>
      <c r="K158" s="76">
        <f>+IF(YEAR(K$140)=YEAR(Assumptions!$F$30),-K144,0)</f>
        <v>0</v>
      </c>
      <c r="L158" s="76">
        <f>+IF(YEAR(L$140)=YEAR(Assumptions!$F$30),-L144,0)</f>
        <v>0</v>
      </c>
      <c r="M158" s="76">
        <f>+IF(YEAR(M$140)=YEAR(Assumptions!$F$30),-M144,0)</f>
        <v>0</v>
      </c>
      <c r="N158" s="76">
        <f>+IF(YEAR(N$140)=YEAR(Assumptions!$F$30),-N144,0)</f>
        <v>0</v>
      </c>
      <c r="O158" s="76">
        <f>+IF(YEAR(O$140)=YEAR(Assumptions!$F$30),-O144,0)</f>
        <v>0</v>
      </c>
      <c r="P158" s="76">
        <f>+IF(YEAR(P$140)=YEAR(Assumptions!$F$30),-P144,0)</f>
        <v>-196637762.66350129</v>
      </c>
      <c r="Q158" s="76">
        <f>+IF(YEAR(Q$140)=YEAR(Assumptions!$F$30),-Q144,0)</f>
        <v>0</v>
      </c>
      <c r="R158" s="76">
        <f>+IF(YEAR(R$140)=YEAR(Assumptions!$F$30),-R144,0)</f>
        <v>0</v>
      </c>
      <c r="S158" s="76">
        <f>+IF(YEAR(S$140)=YEAR(Assumptions!$F$30),-S144,0)</f>
        <v>0</v>
      </c>
      <c r="T158" s="76">
        <f>+IF(YEAR(T$140)=YEAR(Assumptions!$F$30),-T144,0)</f>
        <v>0</v>
      </c>
      <c r="U158" s="76">
        <f>+IF(YEAR(U$140)=YEAR(Assumptions!$F$30),-U144,0)</f>
        <v>0</v>
      </c>
      <c r="V158" s="76">
        <f>+IF(YEAR(V$140)=YEAR(Assumptions!$F$30),-V144,0)</f>
        <v>0</v>
      </c>
      <c r="W158" s="76">
        <f>+IF(YEAR(W$140)=YEAR(Assumptions!$F$30),-W144,0)</f>
        <v>0</v>
      </c>
      <c r="X158" s="76">
        <f>+IF(YEAR(X$140)=YEAR(Assumptions!$F$30),-X144,0)</f>
        <v>0</v>
      </c>
      <c r="Y158" s="76">
        <f>+IF(YEAR(Y$140)=YEAR(Assumptions!$F$30),-Y144,0)</f>
        <v>0</v>
      </c>
      <c r="Z158" s="76">
        <f>+IF(YEAR(Z$140)=YEAR(Assumptions!$F$30),-Z144,0)</f>
        <v>0</v>
      </c>
    </row>
    <row r="159" spans="2:26">
      <c r="B159" s="62" t="s">
        <v>609</v>
      </c>
      <c r="C159" s="62"/>
      <c r="D159" s="62"/>
      <c r="E159" s="62"/>
      <c r="F159" s="58">
        <f>+SUM(F155:F158)</f>
        <v>0</v>
      </c>
      <c r="G159" s="58">
        <f t="shared" ref="G159:Z159" si="58">+SUM(G155:G158)</f>
        <v>0</v>
      </c>
      <c r="H159" s="58">
        <f t="shared" si="58"/>
        <v>0</v>
      </c>
      <c r="I159" s="58">
        <f>+SUM(I155:I158)</f>
        <v>178464826.62044176</v>
      </c>
      <c r="J159" s="58">
        <f t="shared" si="58"/>
        <v>0</v>
      </c>
      <c r="K159" s="58">
        <f t="shared" si="58"/>
        <v>0</v>
      </c>
      <c r="L159" s="58">
        <f t="shared" si="58"/>
        <v>0</v>
      </c>
      <c r="M159" s="58">
        <f t="shared" si="58"/>
        <v>0</v>
      </c>
      <c r="N159" s="58">
        <f t="shared" si="58"/>
        <v>0</v>
      </c>
      <c r="O159" s="58">
        <f t="shared" si="58"/>
        <v>0</v>
      </c>
      <c r="P159" s="58">
        <f t="shared" si="58"/>
        <v>178133033.96826121</v>
      </c>
      <c r="Q159" s="58">
        <f t="shared" si="58"/>
        <v>0</v>
      </c>
      <c r="R159" s="58">
        <f t="shared" si="58"/>
        <v>0</v>
      </c>
      <c r="S159" s="58">
        <f t="shared" si="58"/>
        <v>0</v>
      </c>
      <c r="T159" s="58">
        <f t="shared" si="58"/>
        <v>0</v>
      </c>
      <c r="U159" s="58">
        <f t="shared" si="58"/>
        <v>0</v>
      </c>
      <c r="V159" s="58">
        <f t="shared" si="58"/>
        <v>0</v>
      </c>
      <c r="W159" s="58">
        <f t="shared" si="58"/>
        <v>0</v>
      </c>
      <c r="X159" s="58">
        <f t="shared" si="58"/>
        <v>0</v>
      </c>
      <c r="Y159" s="58">
        <f t="shared" si="58"/>
        <v>0</v>
      </c>
      <c r="Z159" s="58">
        <f t="shared" si="58"/>
        <v>0</v>
      </c>
    </row>
    <row r="160" spans="2:26">
      <c r="B160" s="100" t="s">
        <v>610</v>
      </c>
    </row>
    <row r="162" spans="1:26">
      <c r="A162" s="538"/>
      <c r="B162" s="653" t="s">
        <v>611</v>
      </c>
      <c r="C162" s="653"/>
      <c r="D162" s="653"/>
      <c r="E162" s="653"/>
      <c r="F162" s="544">
        <f>+IF(YEAR(F$140)&lt;=YEAR(Assumptions!$F$30),'Phase I Pro Forma'!F159+'Phase I Pro Forma'!F152,0)</f>
        <v>0</v>
      </c>
      <c r="G162" s="544">
        <f>+IF(YEAR(G$140)&lt;=YEAR(Assumptions!$F$30),'Phase I Pro Forma'!G159+'Phase I Pro Forma'!G152,0)</f>
        <v>0</v>
      </c>
      <c r="H162" s="544">
        <f>+IF(YEAR(H$140)&lt;=YEAR(Assumptions!$F$30),'Phase I Pro Forma'!H159+'Phase I Pro Forma'!H152,0)</f>
        <v>0</v>
      </c>
      <c r="I162" s="544">
        <f>+IF(YEAR(I$141)&lt;=YEAR(Assumptions!$F$30),'Phase I Pro Forma'!I159+'Phase I Pro Forma'!I152,0)</f>
        <v>171804751.76024824</v>
      </c>
      <c r="J162" s="544">
        <v>0</v>
      </c>
      <c r="K162" s="544">
        <v>0</v>
      </c>
      <c r="L162" s="544">
        <f>+IF(YEAR(L$140)&lt;=YEAR(Assumptions!$F$30),'Phase I Pro Forma'!L159+'Phase I Pro Forma'!L152,0)</f>
        <v>7429576.2609386537</v>
      </c>
      <c r="M162" s="544">
        <f>+IF(YEAR(M$140)&lt;=YEAR(Assumptions!$F$30),'Phase I Pro Forma'!M159+'Phase I Pro Forma'!M152,0)</f>
        <v>7574572.0266266949</v>
      </c>
      <c r="N162" s="544">
        <f>+IF(YEAR(N$140)&lt;=YEAR(Assumptions!$F$30),'Phase I Pro Forma'!N159+'Phase I Pro Forma'!N152,0)</f>
        <v>7696904.4410346728</v>
      </c>
      <c r="O162" s="544">
        <f>+IF(YEAR(O$140)&lt;=YEAR(Assumptions!$F$30),'Phase I Pro Forma'!O159+'Phase I Pro Forma'!O152,0)</f>
        <v>7837565.8235541116</v>
      </c>
      <c r="P162" s="544">
        <f>+IF(YEAR(P$140)&lt;=YEAR(Assumptions!$F$30),'Phase I Pro Forma'!P159+'Phase I Pro Forma'!P152,0)</f>
        <v>186117827.80828583</v>
      </c>
      <c r="Q162" s="544">
        <f>+IF(YEAR(Q$140)&lt;=YEAR(Assumptions!$F$30),'Phase I Pro Forma'!Q159+'Phase I Pro Forma'!Q152,0)</f>
        <v>0</v>
      </c>
      <c r="R162" s="544">
        <f>+IF(YEAR(R$140)&lt;=YEAR(Assumptions!$F$30),'Phase I Pro Forma'!R159+'Phase I Pro Forma'!R152,0)</f>
        <v>0</v>
      </c>
      <c r="S162" s="544">
        <f>+IF(YEAR(S$140)&lt;=YEAR(Assumptions!$F$30),'Phase I Pro Forma'!S159+'Phase I Pro Forma'!S152,0)</f>
        <v>0</v>
      </c>
      <c r="T162" s="544">
        <f>+IF(YEAR(T$140)&lt;=YEAR(Assumptions!$F$30),'Phase I Pro Forma'!T159+'Phase I Pro Forma'!T152,0)</f>
        <v>0</v>
      </c>
      <c r="U162" s="544">
        <f>+IF(YEAR(U$140)&lt;=YEAR(Assumptions!$F$30),'Phase I Pro Forma'!U159+'Phase I Pro Forma'!U152,0)</f>
        <v>0</v>
      </c>
      <c r="V162" s="544">
        <f>+IF(YEAR(V$140)&lt;=YEAR(Assumptions!$F$30),'Phase I Pro Forma'!V159+'Phase I Pro Forma'!V152,0)</f>
        <v>0</v>
      </c>
      <c r="W162" s="544">
        <f>+IF(YEAR(W$140)&lt;=YEAR(Assumptions!$F$30),'Phase I Pro Forma'!W159+'Phase I Pro Forma'!W152,0)</f>
        <v>0</v>
      </c>
      <c r="X162" s="544">
        <f>+IF(YEAR(X$140)&lt;=YEAR(Assumptions!$F$30),'Phase I Pro Forma'!X159+'Phase I Pro Forma'!X152,0)</f>
        <v>0</v>
      </c>
      <c r="Y162" s="544">
        <f>+IF(YEAR(Y$140)&lt;=YEAR(Assumptions!$F$30),'Phase I Pro Forma'!Y159+'Phase I Pro Forma'!Y152,0)</f>
        <v>0</v>
      </c>
      <c r="Z162" s="544">
        <f>+IF(YEAR(Z$140)&lt;=YEAR(Assumptions!$F$30),'Phase I Pro Forma'!Z159+'Phase I Pro Forma'!Z152,0)</f>
        <v>0</v>
      </c>
    </row>
    <row r="164" spans="1:26">
      <c r="B164" s="440" t="s">
        <v>612</v>
      </c>
      <c r="C164" s="785"/>
      <c r="D164" s="785"/>
      <c r="E164" s="785"/>
      <c r="F164" s="786"/>
      <c r="G164" s="786"/>
      <c r="H164" s="786"/>
      <c r="I164" s="786"/>
      <c r="J164" s="786"/>
      <c r="K164" s="786"/>
      <c r="L164" s="786"/>
      <c r="M164" s="786"/>
      <c r="N164" s="786"/>
      <c r="O164" s="786"/>
      <c r="P164" s="786"/>
      <c r="Q164" s="786"/>
      <c r="R164" s="786"/>
      <c r="S164" s="786"/>
      <c r="T164" s="786"/>
      <c r="U164" s="786"/>
      <c r="V164" s="786"/>
      <c r="W164" s="786"/>
      <c r="X164" s="786"/>
      <c r="Y164" s="786"/>
      <c r="Z164" s="786"/>
    </row>
    <row r="166" spans="1:26">
      <c r="B166" s="73" t="s">
        <v>31</v>
      </c>
      <c r="C166" s="74"/>
      <c r="D166" s="74"/>
      <c r="E166" s="74"/>
      <c r="F166" s="75">
        <f>+Assumptions!$F$22</f>
        <v>44561</v>
      </c>
      <c r="G166" s="75">
        <f>+EOMONTH(F166,12)</f>
        <v>44926</v>
      </c>
      <c r="H166" s="75">
        <f t="shared" ref="H166:Z166" si="59">+EOMONTH(G166,12)</f>
        <v>45291</v>
      </c>
      <c r="I166" s="75">
        <f>+EOMONTH(H166,12)</f>
        <v>45657</v>
      </c>
      <c r="J166" s="75">
        <f>+EOMONTH(I166,12)</f>
        <v>46022</v>
      </c>
      <c r="K166" s="75">
        <f t="shared" si="59"/>
        <v>46387</v>
      </c>
      <c r="L166" s="75">
        <f t="shared" si="59"/>
        <v>46752</v>
      </c>
      <c r="M166" s="75">
        <f t="shared" si="59"/>
        <v>47118</v>
      </c>
      <c r="N166" s="75">
        <f t="shared" si="59"/>
        <v>47483</v>
      </c>
      <c r="O166" s="75">
        <f t="shared" si="59"/>
        <v>47848</v>
      </c>
      <c r="P166" s="75">
        <f t="shared" si="59"/>
        <v>48213</v>
      </c>
      <c r="Q166" s="75">
        <f t="shared" si="59"/>
        <v>48579</v>
      </c>
      <c r="R166" s="75">
        <f t="shared" si="59"/>
        <v>48944</v>
      </c>
      <c r="S166" s="75">
        <f t="shared" si="59"/>
        <v>49309</v>
      </c>
      <c r="T166" s="75">
        <f t="shared" si="59"/>
        <v>49674</v>
      </c>
      <c r="U166" s="75">
        <f t="shared" si="59"/>
        <v>50040</v>
      </c>
      <c r="V166" s="75">
        <f t="shared" si="59"/>
        <v>50405</v>
      </c>
      <c r="W166" s="75">
        <f t="shared" si="59"/>
        <v>50770</v>
      </c>
      <c r="X166" s="75">
        <f t="shared" si="59"/>
        <v>51135</v>
      </c>
      <c r="Y166" s="75">
        <f t="shared" si="59"/>
        <v>51501</v>
      </c>
      <c r="Z166" s="75">
        <f t="shared" si="59"/>
        <v>51866</v>
      </c>
    </row>
    <row r="167" spans="1:26">
      <c r="B167" s="15" t="s">
        <v>613</v>
      </c>
      <c r="C167" s="15"/>
      <c r="D167" s="20"/>
      <c r="E167" s="20"/>
      <c r="F167" s="22">
        <f>+IF(AND(F166&gt;=Assumptions!$F$26,F166&lt;Assumptions!$F$28),Assumptions!$F$93/ROUNDUP((Assumptions!$F$27/12),0),0)</f>
        <v>0</v>
      </c>
      <c r="G167" s="22">
        <f>+IF(AND(G166&gt;=Assumptions!$F$26,G166&lt;Assumptions!$F$28),Assumptions!$F$93/ROUNDUP((Assumptions!$F$27/12),0),0)</f>
        <v>0</v>
      </c>
      <c r="H167" s="22">
        <f>+IF(AND(H166&gt;=Assumptions!$F$26,H166&lt;Assumptions!$F$28),Assumptions!$F$93/ROUNDUP((Assumptions!$F$27/12),0),0)</f>
        <v>0</v>
      </c>
      <c r="I167" s="22">
        <f>+IF(AND(I166&gt;=Assumptions!$F$26,I166&lt;Assumptions!$F$28),Assumptions!$F$93/ROUNDUP((Assumptions!$F$27/12),0),0)</f>
        <v>64.635937499999997</v>
      </c>
      <c r="J167" s="22">
        <f>+IF(AND(J166&gt;=Assumptions!$F$26,J166&lt;Assumptions!$F$28),Assumptions!$F$93/ROUNDUP((Assumptions!$F$27/12),0),0)</f>
        <v>64.635937499999997</v>
      </c>
      <c r="K167" s="22">
        <f>+IF(AND(K166&gt;=Assumptions!$F$26,K166&lt;Assumptions!$F$28),Assumptions!$F$93/ROUNDUP((Assumptions!$F$27/12),0),0)</f>
        <v>0</v>
      </c>
      <c r="L167" s="22">
        <f>+IF(AND(L166&gt;=Assumptions!$F$26,L166&lt;Assumptions!$F$28),Assumptions!$F$93/ROUNDUP((Assumptions!$F$27/12),0),0)</f>
        <v>0</v>
      </c>
      <c r="M167" s="22">
        <f>+IF(AND(M166&gt;=Assumptions!$F$26,M166&lt;Assumptions!$F$28),Assumptions!$F$93/ROUNDUP((Assumptions!$F$27/12),0),0)</f>
        <v>0</v>
      </c>
      <c r="N167" s="22">
        <f>+IF(AND(N166&gt;=Assumptions!$F$26,N166&lt;Assumptions!$F$28),Assumptions!$F$93/ROUNDUP((Assumptions!$F$27/12),0),0)</f>
        <v>0</v>
      </c>
      <c r="O167" s="22">
        <f>+IF(AND(O166&gt;=Assumptions!$F$26,O166&lt;Assumptions!$F$28),Assumptions!$F$93/ROUNDUP((Assumptions!$F$27/12),0),0)</f>
        <v>0</v>
      </c>
      <c r="P167" s="22">
        <f>+IF(AND(P166&gt;=Assumptions!$F$26,P166&lt;Assumptions!$F$28),Assumptions!$F$93/ROUNDUP((Assumptions!$F$27/12),0),0)</f>
        <v>0</v>
      </c>
      <c r="Q167" s="22">
        <f>+IF(AND(Q166&gt;=Assumptions!$F$26,Q166&lt;Assumptions!$F$28),Assumptions!$F$93/ROUNDUP((Assumptions!$F$27/12),0),0)</f>
        <v>0</v>
      </c>
      <c r="R167" s="22">
        <f>+IF(AND(R166&gt;=Assumptions!$F$26,R166&lt;Assumptions!$F$28),Assumptions!$F$93/ROUNDUP((Assumptions!$F$27/12),0),0)</f>
        <v>0</v>
      </c>
      <c r="S167" s="22">
        <f>+IF(AND(S166&gt;=Assumptions!$F$26,S166&lt;Assumptions!$F$28),Assumptions!$F$93/ROUNDUP((Assumptions!$F$27/12),0),0)</f>
        <v>0</v>
      </c>
      <c r="T167" s="22">
        <f>+IF(AND(T166&gt;=Assumptions!$F$26,T166&lt;Assumptions!$F$28),Assumptions!$F$93/ROUNDUP((Assumptions!$F$27/12),0),0)</f>
        <v>0</v>
      </c>
      <c r="U167" s="22">
        <f>+IF(AND(U166&gt;=Assumptions!$F$26,U166&lt;Assumptions!$F$28),Assumptions!$F$93/ROUNDUP((Assumptions!$F$27/12),0),0)</f>
        <v>0</v>
      </c>
      <c r="V167" s="22">
        <f>+IF(AND(V166&gt;=Assumptions!$F$26,V166&lt;Assumptions!$F$28),Assumptions!$F$93/ROUNDUP((Assumptions!$F$27/12),0),0)</f>
        <v>0</v>
      </c>
      <c r="W167" s="22">
        <f>+IF(AND(W166&gt;=Assumptions!$F$26,W166&lt;Assumptions!$F$28),Assumptions!$F$93/ROUNDUP((Assumptions!$F$27/12),0),0)</f>
        <v>0</v>
      </c>
      <c r="X167" s="22">
        <f>+IF(AND(X166&gt;=Assumptions!$F$26,X166&lt;Assumptions!$F$28),Assumptions!$F$93/ROUNDUP((Assumptions!$F$27/12),0),0)</f>
        <v>0</v>
      </c>
      <c r="Y167" s="22">
        <f>+IF(AND(Y166&gt;=Assumptions!$F$26,Y166&lt;Assumptions!$F$28),Assumptions!$F$93/ROUNDUP((Assumptions!$F$27/12),0),0)</f>
        <v>0</v>
      </c>
      <c r="Z167" s="22">
        <f>+IF(AND(Z166&gt;=Assumptions!$F$26,Z166&lt;Assumptions!$F$28),Assumptions!$F$93/ROUNDUP((Assumptions!$F$27/12),0),0)</f>
        <v>0</v>
      </c>
    </row>
    <row r="168" spans="1:26">
      <c r="B168" s="15" t="s">
        <v>614</v>
      </c>
      <c r="C168" s="15"/>
      <c r="D168" s="20"/>
      <c r="E168" s="20"/>
      <c r="F168" s="22">
        <f>+D168+F167</f>
        <v>0</v>
      </c>
      <c r="G168" s="22">
        <f t="shared" ref="G168:Z168" si="60">+F168+G167</f>
        <v>0</v>
      </c>
      <c r="H168" s="22">
        <f t="shared" si="60"/>
        <v>0</v>
      </c>
      <c r="I168" s="22">
        <f>+H168+I167</f>
        <v>64.635937499999997</v>
      </c>
      <c r="J168" s="22">
        <f>+I168+J167</f>
        <v>129.27187499999999</v>
      </c>
      <c r="K168" s="22">
        <f t="shared" si="60"/>
        <v>129.27187499999999</v>
      </c>
      <c r="L168" s="22">
        <f t="shared" si="60"/>
        <v>129.27187499999999</v>
      </c>
      <c r="M168" s="22">
        <f t="shared" si="60"/>
        <v>129.27187499999999</v>
      </c>
      <c r="N168" s="22">
        <f t="shared" si="60"/>
        <v>129.27187499999999</v>
      </c>
      <c r="O168" s="22">
        <f t="shared" si="60"/>
        <v>129.27187499999999</v>
      </c>
      <c r="P168" s="22">
        <f t="shared" si="60"/>
        <v>129.27187499999999</v>
      </c>
      <c r="Q168" s="22">
        <f t="shared" si="60"/>
        <v>129.27187499999999</v>
      </c>
      <c r="R168" s="22">
        <f t="shared" si="60"/>
        <v>129.27187499999999</v>
      </c>
      <c r="S168" s="22">
        <f t="shared" si="60"/>
        <v>129.27187499999999</v>
      </c>
      <c r="T168" s="22">
        <f t="shared" si="60"/>
        <v>129.27187499999999</v>
      </c>
      <c r="U168" s="22">
        <f t="shared" si="60"/>
        <v>129.27187499999999</v>
      </c>
      <c r="V168" s="22">
        <f t="shared" si="60"/>
        <v>129.27187499999999</v>
      </c>
      <c r="W168" s="22">
        <f t="shared" si="60"/>
        <v>129.27187499999999</v>
      </c>
      <c r="X168" s="22">
        <f t="shared" si="60"/>
        <v>129.27187499999999</v>
      </c>
      <c r="Y168" s="22">
        <f t="shared" si="60"/>
        <v>129.27187499999999</v>
      </c>
      <c r="Z168" s="22">
        <f t="shared" si="60"/>
        <v>129.27187499999999</v>
      </c>
    </row>
    <row r="169" spans="1:26">
      <c r="B169" s="15" t="s">
        <v>615</v>
      </c>
      <c r="C169" s="15"/>
      <c r="D169" s="22"/>
      <c r="E169" s="22"/>
      <c r="F169" s="49">
        <f t="shared" ref="F169:J169" si="61">+F168/SUM($F167:$Z167)</f>
        <v>0</v>
      </c>
      <c r="G169" s="49">
        <f t="shared" si="61"/>
        <v>0</v>
      </c>
      <c r="H169" s="49">
        <f t="shared" si="61"/>
        <v>0</v>
      </c>
      <c r="I169" s="49">
        <f>+I168/SUM($F167:$Z167)</f>
        <v>0.5</v>
      </c>
      <c r="J169" s="49">
        <f t="shared" si="61"/>
        <v>1</v>
      </c>
      <c r="K169" s="49">
        <f>+K168/SUM($F167:$Z167)</f>
        <v>1</v>
      </c>
      <c r="L169" s="49">
        <f t="shared" ref="L169:Z169" si="62">+L168/SUM($F167:$Z167)</f>
        <v>1</v>
      </c>
      <c r="M169" s="49">
        <f t="shared" si="62"/>
        <v>1</v>
      </c>
      <c r="N169" s="49">
        <f t="shared" si="62"/>
        <v>1</v>
      </c>
      <c r="O169" s="49">
        <f t="shared" si="62"/>
        <v>1</v>
      </c>
      <c r="P169" s="49">
        <f t="shared" si="62"/>
        <v>1</v>
      </c>
      <c r="Q169" s="49">
        <f t="shared" si="62"/>
        <v>1</v>
      </c>
      <c r="R169" s="49">
        <f t="shared" si="62"/>
        <v>1</v>
      </c>
      <c r="S169" s="49">
        <f t="shared" si="62"/>
        <v>1</v>
      </c>
      <c r="T169" s="49">
        <f t="shared" si="62"/>
        <v>1</v>
      </c>
      <c r="U169" s="49">
        <f t="shared" si="62"/>
        <v>1</v>
      </c>
      <c r="V169" s="49">
        <f t="shared" si="62"/>
        <v>1</v>
      </c>
      <c r="W169" s="49">
        <f t="shared" si="62"/>
        <v>1</v>
      </c>
      <c r="X169" s="49">
        <f t="shared" si="62"/>
        <v>1</v>
      </c>
      <c r="Y169" s="49">
        <f t="shared" si="62"/>
        <v>1</v>
      </c>
      <c r="Z169" s="49">
        <f t="shared" si="62"/>
        <v>1</v>
      </c>
    </row>
    <row r="170" spans="1:26">
      <c r="B170" s="15"/>
      <c r="C170" s="15"/>
      <c r="D170" s="22"/>
      <c r="E170" s="22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>
      <c r="B171" s="15" t="s">
        <v>616</v>
      </c>
      <c r="F171" s="16">
        <f>+IF(F2=1,Assumptions!$F$118,IF(F2=2,Assumptions!$F$120,IF(F2&gt;2,Assumptions!$F$97,0)))</f>
        <v>0</v>
      </c>
      <c r="G171" s="16">
        <f>+IF(G2=1,Assumptions!$F$118,IF(G2=2,Assumptions!$F$120,IF(G2&gt;2,Assumptions!$F$97,0)))</f>
        <v>0</v>
      </c>
      <c r="H171" s="16">
        <f>+IF(H2=1,Assumptions!$F$118,IF(H2=2,Assumptions!$F$120,IF(H2&gt;2,Assumptions!$F$97,0)))</f>
        <v>0</v>
      </c>
      <c r="I171" s="16">
        <f>+IF(I2=1,Assumptions!$F$118,IF(I2=2,Assumptions!$F$120,IF(I2&gt;2,Assumptions!$F$97,0)))</f>
        <v>189.35</v>
      </c>
      <c r="J171" s="16">
        <f>+IF(J2=1,Assumptions!$F$118,IF(J2=2,Assumptions!$F$120,IF(J2&gt;2,Assumptions!$F$97,0)))</f>
        <v>194.35</v>
      </c>
      <c r="K171" s="16">
        <f>+IF(K2=1,Assumptions!$F$118,IF(K2=2,Assumptions!$F$120,IF(K2&gt;2,Assumptions!$F$97,0)))</f>
        <v>199.35</v>
      </c>
      <c r="L171" s="16">
        <f>+IF(L2=1,Assumptions!$F$118,IF(L2=2,Assumptions!$F$120,IF(L2&gt;2,Assumptions!$F$97,0)))</f>
        <v>199.35</v>
      </c>
      <c r="M171" s="16">
        <f>+IF(M2=1,Assumptions!$F$118,IF(M2=2,Assumptions!$F$120,IF(M2&gt;2,Assumptions!$F$97,0)))</f>
        <v>199.35</v>
      </c>
      <c r="N171" s="16">
        <f>+IF(N2=1,Assumptions!$F$118,IF(N2=2,Assumptions!$F$120,IF(N2&gt;2,Assumptions!$F$97,0)))</f>
        <v>199.35</v>
      </c>
      <c r="O171" s="16">
        <f>+IF(O2=1,Assumptions!$F$118,IF(O2=2,Assumptions!$F$120,IF(O2&gt;2,Assumptions!$F$97,0)))</f>
        <v>199.35</v>
      </c>
      <c r="P171" s="16">
        <f>+IF(P2=1,Assumptions!$F$118,IF(P2=2,Assumptions!$F$120,IF(P2&gt;2,Assumptions!$F$97,0)))</f>
        <v>199.35</v>
      </c>
      <c r="Q171" s="16">
        <f>+IF(Q2=1,Assumptions!$F$118,IF(Q2=2,Assumptions!$F$120,IF(Q2&gt;2,Assumptions!$F$97,0)))</f>
        <v>199.35</v>
      </c>
      <c r="R171" s="16">
        <f>+IF(R2=1,Assumptions!$F$118,IF(R2=2,Assumptions!$F$120,IF(R2&gt;2,Assumptions!$F$97,0)))</f>
        <v>199.35</v>
      </c>
      <c r="S171" s="16">
        <f>+IF(S2=1,Assumptions!$F$118,IF(S2=2,Assumptions!$F$120,IF(S2&gt;2,Assumptions!$F$97,0)))</f>
        <v>199.35</v>
      </c>
      <c r="T171" s="16">
        <f>+IF(T2=1,Assumptions!$F$118,IF(T2=2,Assumptions!$F$120,IF(T2&gt;2,Assumptions!$F$97,0)))</f>
        <v>199.35</v>
      </c>
      <c r="U171" s="16">
        <f>+IF(U2=1,Assumptions!$F$118,IF(U2=2,Assumptions!$F$120,IF(U2&gt;2,Assumptions!$F$97,0)))</f>
        <v>199.35</v>
      </c>
      <c r="V171" s="16">
        <f>+IF(V2=1,Assumptions!$F$118,IF(V2=2,Assumptions!$F$120,IF(V2&gt;2,Assumptions!$F$97,0)))</f>
        <v>199.35</v>
      </c>
      <c r="W171" s="16">
        <f>+IF(W2=1,Assumptions!$F$118,IF(W2=2,Assumptions!$F$120,IF(W2&gt;2,Assumptions!$F$97,0)))</f>
        <v>199.35</v>
      </c>
      <c r="X171" s="16">
        <f>+IF(X2=1,Assumptions!$F$118,IF(X2=2,Assumptions!$F$120,IF(X2&gt;2,Assumptions!$F$97,0)))</f>
        <v>199.35</v>
      </c>
      <c r="Y171" s="16">
        <f>+IF(Y2=1,Assumptions!$F$118,IF(Y2=2,Assumptions!$F$120,IF(Y2&gt;2,Assumptions!$F$97,0)))</f>
        <v>199.35</v>
      </c>
      <c r="Z171" s="16">
        <f>+IF(Z2=1,Assumptions!$F$118,IF(Z2=2,Assumptions!$F$120,IF(Z2&gt;2,Assumptions!$F$97,0)))</f>
        <v>199.35</v>
      </c>
    </row>
    <row r="172" spans="1:26">
      <c r="B172" s="15" t="s">
        <v>617</v>
      </c>
      <c r="C172" s="15"/>
      <c r="D172" s="22"/>
      <c r="E172" s="22"/>
      <c r="F172" s="49">
        <v>1</v>
      </c>
      <c r="G172" s="49">
        <f>+F172*(1+Assumptions!$N$67)</f>
        <v>1.02</v>
      </c>
      <c r="H172" s="49">
        <f>+G172*(1+Assumptions!$N$67)</f>
        <v>1.0404</v>
      </c>
      <c r="I172" s="49">
        <f>+H172*(1+Assumptions!$N$67)</f>
        <v>1.0612079999999999</v>
      </c>
      <c r="J172" s="49">
        <f>+I172*(1+Assumptions!$N$67)</f>
        <v>1.08243216</v>
      </c>
      <c r="K172" s="49">
        <f>+J172*(1+Assumptions!$N$67)</f>
        <v>1.1040808032</v>
      </c>
      <c r="L172" s="49">
        <f>+K172*(1+Assumptions!$N$67)</f>
        <v>1.1261624192640001</v>
      </c>
      <c r="M172" s="49">
        <f>+L172*(1+Assumptions!$N$67)</f>
        <v>1.14868566764928</v>
      </c>
      <c r="N172" s="49">
        <f>+M172*(1+Assumptions!$N$67)</f>
        <v>1.1716593810022657</v>
      </c>
      <c r="O172" s="49">
        <f>+N172*(1+Assumptions!$N$67)</f>
        <v>1.1950925686223111</v>
      </c>
      <c r="P172" s="49">
        <f>+O172*(1+Assumptions!$N$67)</f>
        <v>1.2189944199947573</v>
      </c>
      <c r="Q172" s="49">
        <f>+P172*(1+Assumptions!$N$67)</f>
        <v>1.2433743083946525</v>
      </c>
      <c r="R172" s="49">
        <f>+Q172*(1+Assumptions!$N$67)</f>
        <v>1.2682417945625455</v>
      </c>
      <c r="S172" s="49">
        <f>+R172*(1+Assumptions!$N$67)</f>
        <v>1.2936066304537963</v>
      </c>
      <c r="T172" s="49">
        <f>+S172*(1+Assumptions!$N$67)</f>
        <v>1.3194787630628724</v>
      </c>
      <c r="U172" s="49">
        <f>+T172*(1+Assumptions!$N$67)</f>
        <v>1.3458683383241299</v>
      </c>
      <c r="V172" s="49">
        <f>+U172*(1+Assumptions!$N$67)</f>
        <v>1.3727857050906125</v>
      </c>
      <c r="W172" s="49">
        <f>+V172*(1+Assumptions!$N$67)</f>
        <v>1.4002414191924248</v>
      </c>
      <c r="X172" s="49">
        <f>+W172*(1+Assumptions!$N$67)</f>
        <v>1.4282462475762734</v>
      </c>
      <c r="Y172" s="49">
        <f>+X172*(1+Assumptions!$N$67)</f>
        <v>1.4568111725277988</v>
      </c>
      <c r="Z172" s="49">
        <f>+Y172*(1+Assumptions!$N$67)</f>
        <v>1.4859473959783549</v>
      </c>
    </row>
    <row r="173" spans="1:26">
      <c r="B173" s="15" t="s">
        <v>618</v>
      </c>
      <c r="C173" s="15"/>
      <c r="D173" s="22"/>
      <c r="E173" s="22"/>
      <c r="F173" s="16">
        <f>+F171*F172</f>
        <v>0</v>
      </c>
      <c r="G173" s="16">
        <f t="shared" ref="G173:Z173" si="63">+G171*G172</f>
        <v>0</v>
      </c>
      <c r="H173" s="16">
        <f t="shared" si="63"/>
        <v>0</v>
      </c>
      <c r="I173" s="16">
        <f t="shared" si="63"/>
        <v>200.93973479999997</v>
      </c>
      <c r="J173" s="16">
        <f t="shared" si="63"/>
        <v>210.37069029599999</v>
      </c>
      <c r="K173" s="16">
        <f t="shared" si="63"/>
        <v>220.09850811792001</v>
      </c>
      <c r="L173" s="16">
        <f t="shared" si="63"/>
        <v>224.5004782802784</v>
      </c>
      <c r="M173" s="16">
        <f t="shared" si="63"/>
        <v>228.99048784588396</v>
      </c>
      <c r="N173" s="16">
        <f t="shared" si="63"/>
        <v>233.57029760280167</v>
      </c>
      <c r="O173" s="16">
        <f t="shared" si="63"/>
        <v>238.24170355485771</v>
      </c>
      <c r="P173" s="16">
        <f t="shared" si="63"/>
        <v>243.00653762595488</v>
      </c>
      <c r="Q173" s="16">
        <f t="shared" si="63"/>
        <v>247.86666837847397</v>
      </c>
      <c r="R173" s="16">
        <f t="shared" si="63"/>
        <v>252.82400174604342</v>
      </c>
      <c r="S173" s="16">
        <f t="shared" si="63"/>
        <v>257.88048178096426</v>
      </c>
      <c r="T173" s="16">
        <f t="shared" si="63"/>
        <v>263.0380914165836</v>
      </c>
      <c r="U173" s="16">
        <f t="shared" si="63"/>
        <v>268.29885324491528</v>
      </c>
      <c r="V173" s="16">
        <f t="shared" si="63"/>
        <v>273.66483030981357</v>
      </c>
      <c r="W173" s="16">
        <f t="shared" si="63"/>
        <v>279.13812691600987</v>
      </c>
      <c r="X173" s="16">
        <f t="shared" si="63"/>
        <v>284.72088945433012</v>
      </c>
      <c r="Y173" s="16">
        <f t="shared" si="63"/>
        <v>290.41530724341669</v>
      </c>
      <c r="Z173" s="16">
        <f t="shared" si="63"/>
        <v>296.22361338828506</v>
      </c>
    </row>
    <row r="174" spans="1:26">
      <c r="B174" s="15"/>
    </row>
    <row r="175" spans="1:26">
      <c r="B175" s="15" t="s">
        <v>102</v>
      </c>
      <c r="F175" s="49">
        <f>+IF(F2=1,Assumptions!$F$117,IF(F2=2,Assumptions!$F$119,IF(F2&gt;2,Assumptions!$F$96,0)))</f>
        <v>0</v>
      </c>
      <c r="G175" s="49">
        <f>+IF(G2=1,Assumptions!$F$117,IF(G2=2,Assumptions!$F$119,IF(G2&gt;2,Assumptions!$F$96,0)))</f>
        <v>0</v>
      </c>
      <c r="H175" s="49">
        <f>+IF(H2=1,Assumptions!$F$117,IF(H2=2,Assumptions!$F$119,IF(H2&gt;2,Assumptions!$F$96,0)))</f>
        <v>0</v>
      </c>
      <c r="I175" s="49">
        <f>+IF(I2=1,Assumptions!$F$117,IF(I2=2,Assumptions!$F$119,IF(I2&gt;2,Assumptions!$F$96,0)))</f>
        <v>0.7</v>
      </c>
      <c r="J175" s="49">
        <f>+IF(J2=1,Assumptions!$F$117,IF(J2=2,Assumptions!$F$119,IF(J2&gt;2,Assumptions!$F$96,0)))</f>
        <v>0.75</v>
      </c>
      <c r="K175" s="49">
        <f>+IF(K2=1,Assumptions!$F$117,IF(K2=2,Assumptions!$F$119,IF(K2&gt;2,Assumptions!$F$96,0)))</f>
        <v>0.76700000000000002</v>
      </c>
      <c r="L175" s="49">
        <f>+IF(L2=1,Assumptions!$F$117,IF(L2=2,Assumptions!$F$119,IF(L2&gt;2,Assumptions!$F$96,0)))</f>
        <v>0.76700000000000002</v>
      </c>
      <c r="M175" s="49">
        <f>+IF(M2=1,Assumptions!$F$117,IF(M2=2,Assumptions!$F$119,IF(M2&gt;2,Assumptions!$F$96,0)))</f>
        <v>0.76700000000000002</v>
      </c>
      <c r="N175" s="49">
        <f>+IF(N2=1,Assumptions!$F$117,IF(N2=2,Assumptions!$F$119,IF(N2&gt;2,Assumptions!$F$96,0)))</f>
        <v>0.76700000000000002</v>
      </c>
      <c r="O175" s="49">
        <f>+IF(O2=1,Assumptions!$F$117,IF(O2=2,Assumptions!$F$119,IF(O2&gt;2,Assumptions!$F$96,0)))</f>
        <v>0.76700000000000002</v>
      </c>
      <c r="P175" s="49">
        <f>+IF(P2=1,Assumptions!$F$117,IF(P2=2,Assumptions!$F$119,IF(P2&gt;2,Assumptions!$F$96,0)))</f>
        <v>0.76700000000000002</v>
      </c>
      <c r="Q175" s="49">
        <f>+IF(Q2=1,Assumptions!$F$117,IF(Q2=2,Assumptions!$F$119,IF(Q2&gt;2,Assumptions!$F$96,0)))</f>
        <v>0.76700000000000002</v>
      </c>
      <c r="R175" s="49">
        <f>+IF(R2=1,Assumptions!$F$117,IF(R2=2,Assumptions!$F$119,IF(R2&gt;2,Assumptions!$F$96,0)))</f>
        <v>0.76700000000000002</v>
      </c>
      <c r="S175" s="49">
        <f>+IF(S2=1,Assumptions!$F$117,IF(S2=2,Assumptions!$F$119,IF(S2&gt;2,Assumptions!$F$96,0)))</f>
        <v>0.76700000000000002</v>
      </c>
      <c r="T175" s="49">
        <f>+IF(T2=1,Assumptions!$F$117,IF(T2=2,Assumptions!$F$119,IF(T2&gt;2,Assumptions!$F$96,0)))</f>
        <v>0.76700000000000002</v>
      </c>
      <c r="U175" s="49">
        <f>+IF(U2=1,Assumptions!$F$117,IF(U2=2,Assumptions!$F$119,IF(U2&gt;2,Assumptions!$F$96,0)))</f>
        <v>0.76700000000000002</v>
      </c>
      <c r="V175" s="49">
        <f>+IF(V2=1,Assumptions!$F$117,IF(V2=2,Assumptions!$F$119,IF(V2&gt;2,Assumptions!$F$96,0)))</f>
        <v>0.76700000000000002</v>
      </c>
      <c r="W175" s="49">
        <f>+IF(W2=1,Assumptions!$F$117,IF(W2=2,Assumptions!$F$119,IF(W2&gt;2,Assumptions!$F$96,0)))</f>
        <v>0.76700000000000002</v>
      </c>
      <c r="X175" s="49">
        <f>+IF(X2=1,Assumptions!$F$117,IF(X2=2,Assumptions!$F$119,IF(X2&gt;2,Assumptions!$F$96,0)))</f>
        <v>0.76700000000000002</v>
      </c>
      <c r="Y175" s="49">
        <f>+IF(Y2=1,Assumptions!$F$117,IF(Y2=2,Assumptions!$F$119,IF(Y2&gt;2,Assumptions!$F$96,0)))</f>
        <v>0.76700000000000002</v>
      </c>
      <c r="Z175" s="49">
        <f>+IF(Z2=1,Assumptions!$F$117,IF(Z2=2,Assumptions!$F$119,IF(Z2&gt;2,Assumptions!$F$96,0)))</f>
        <v>0.76700000000000002</v>
      </c>
    </row>
    <row r="176" spans="1:26">
      <c r="B176" s="15" t="s">
        <v>101</v>
      </c>
      <c r="F176" s="16">
        <f>+F173*F175</f>
        <v>0</v>
      </c>
      <c r="G176" s="16">
        <f t="shared" ref="G176:Z176" si="64">+G173*G175</f>
        <v>0</v>
      </c>
      <c r="H176" s="16">
        <f t="shared" si="64"/>
        <v>0</v>
      </c>
      <c r="I176" s="16">
        <f t="shared" si="64"/>
        <v>140.65781435999997</v>
      </c>
      <c r="J176" s="16">
        <f t="shared" si="64"/>
        <v>157.77801772199999</v>
      </c>
      <c r="K176" s="16">
        <f t="shared" si="64"/>
        <v>168.81555572644464</v>
      </c>
      <c r="L176" s="16">
        <f t="shared" si="64"/>
        <v>172.19186684097355</v>
      </c>
      <c r="M176" s="16">
        <f t="shared" si="64"/>
        <v>175.635704177793</v>
      </c>
      <c r="N176" s="16">
        <f t="shared" si="64"/>
        <v>179.14841826134889</v>
      </c>
      <c r="O176" s="16">
        <f t="shared" si="64"/>
        <v>182.73138662657587</v>
      </c>
      <c r="P176" s="16">
        <f t="shared" si="64"/>
        <v>186.38601435910741</v>
      </c>
      <c r="Q176" s="16">
        <f t="shared" si="64"/>
        <v>190.11373464628954</v>
      </c>
      <c r="R176" s="16">
        <f t="shared" si="64"/>
        <v>193.91600933921532</v>
      </c>
      <c r="S176" s="16">
        <f t="shared" si="64"/>
        <v>197.79432952599959</v>
      </c>
      <c r="T176" s="16">
        <f t="shared" si="64"/>
        <v>201.75021611651962</v>
      </c>
      <c r="U176" s="16">
        <f t="shared" si="64"/>
        <v>205.78522043885002</v>
      </c>
      <c r="V176" s="16">
        <f t="shared" si="64"/>
        <v>209.90092484762701</v>
      </c>
      <c r="W176" s="16">
        <f t="shared" si="64"/>
        <v>214.09894334457957</v>
      </c>
      <c r="X176" s="16">
        <f t="shared" si="64"/>
        <v>218.38092221147122</v>
      </c>
      <c r="Y176" s="16">
        <f t="shared" si="64"/>
        <v>222.74854065570059</v>
      </c>
      <c r="Z176" s="16">
        <f t="shared" si="64"/>
        <v>227.20351146881464</v>
      </c>
    </row>
    <row r="177" spans="2:26">
      <c r="B177" s="62" t="s">
        <v>619</v>
      </c>
      <c r="C177" s="62"/>
      <c r="D177" s="62"/>
      <c r="E177" s="62"/>
      <c r="F177" s="58">
        <f>+F176*365.25*F168</f>
        <v>0</v>
      </c>
      <c r="G177" s="58">
        <f t="shared" ref="G177:Z177" si="65">+G176*365.25*G168</f>
        <v>0</v>
      </c>
      <c r="H177" s="58">
        <f t="shared" si="65"/>
        <v>0</v>
      </c>
      <c r="I177" s="58">
        <f>+I176*365.25*I168</f>
        <v>3320688.5271432046</v>
      </c>
      <c r="J177" s="58">
        <f t="shared" si="65"/>
        <v>7449734.0324639268</v>
      </c>
      <c r="K177" s="58">
        <f t="shared" si="65"/>
        <v>7970888.5233969186</v>
      </c>
      <c r="L177" s="58">
        <f t="shared" si="65"/>
        <v>8130306.2938648574</v>
      </c>
      <c r="M177" s="58">
        <f t="shared" si="65"/>
        <v>8292912.419742153</v>
      </c>
      <c r="N177" s="58">
        <f t="shared" si="65"/>
        <v>8458770.668136999</v>
      </c>
      <c r="O177" s="58">
        <f t="shared" si="65"/>
        <v>8627946.0814997368</v>
      </c>
      <c r="P177" s="58">
        <f t="shared" si="65"/>
        <v>8800505.0031297319</v>
      </c>
      <c r="Q177" s="58">
        <f t="shared" si="65"/>
        <v>8976515.1031923294</v>
      </c>
      <c r="R177" s="58">
        <f t="shared" si="65"/>
        <v>9156045.4052561745</v>
      </c>
      <c r="S177" s="58">
        <f t="shared" si="65"/>
        <v>9339166.3133612964</v>
      </c>
      <c r="T177" s="58">
        <f t="shared" si="65"/>
        <v>9525949.639628524</v>
      </c>
      <c r="U177" s="58">
        <f t="shared" si="65"/>
        <v>9716468.6324210949</v>
      </c>
      <c r="V177" s="58">
        <f t="shared" si="65"/>
        <v>9910798.0050695166</v>
      </c>
      <c r="W177" s="58">
        <f t="shared" si="65"/>
        <v>10109013.965170907</v>
      </c>
      <c r="X177" s="58">
        <f t="shared" si="65"/>
        <v>10311194.244474327</v>
      </c>
      <c r="Y177" s="58">
        <f t="shared" si="65"/>
        <v>10517418.129363813</v>
      </c>
      <c r="Z177" s="58">
        <f t="shared" si="65"/>
        <v>10727766.491951089</v>
      </c>
    </row>
    <row r="179" spans="2:26">
      <c r="B179" s="15" t="s">
        <v>620</v>
      </c>
      <c r="F179" s="16">
        <f>+Assumptions!$F$108*'Phase I Pro Forma'!F172*'Phase I Pro Forma'!F169</f>
        <v>0</v>
      </c>
      <c r="G179" s="16">
        <f>+Assumptions!$F$108*'Phase I Pro Forma'!G172*'Phase I Pro Forma'!G169</f>
        <v>0</v>
      </c>
      <c r="H179" s="16">
        <f>+Assumptions!$F$108*'Phase I Pro Forma'!H172*'Phase I Pro Forma'!H169</f>
        <v>0</v>
      </c>
      <c r="I179" s="16">
        <f>+Assumptions!$F$108*'Phase I Pro Forma'!I172*'Phase I Pro Forma'!I169</f>
        <v>768503.45894758659</v>
      </c>
      <c r="J179" s="16">
        <f>+Assumptions!$F$108*'Phase I Pro Forma'!J172*'Phase I Pro Forma'!J169</f>
        <v>1567747.0562530768</v>
      </c>
      <c r="K179" s="16">
        <f>+Assumptions!$F$108*'Phase I Pro Forma'!K172*'Phase I Pro Forma'!K169</f>
        <v>1599101.9973781384</v>
      </c>
      <c r="L179" s="16">
        <f>+Assumptions!$F$108*'Phase I Pro Forma'!L172*'Phase I Pro Forma'!L169</f>
        <v>1631084.0373257012</v>
      </c>
      <c r="M179" s="16">
        <f>+Assumptions!$F$108*'Phase I Pro Forma'!M172*'Phase I Pro Forma'!M169</f>
        <v>1663705.7180722151</v>
      </c>
      <c r="N179" s="16">
        <f>+Assumptions!$F$108*'Phase I Pro Forma'!N172*'Phase I Pro Forma'!N169</f>
        <v>1696979.8324336596</v>
      </c>
      <c r="O179" s="16">
        <f>+Assumptions!$F$108*'Phase I Pro Forma'!O172*'Phase I Pro Forma'!O169</f>
        <v>1730919.4290823329</v>
      </c>
      <c r="P179" s="16">
        <f>+Assumptions!$F$108*'Phase I Pro Forma'!P172*'Phase I Pro Forma'!P169</f>
        <v>1765537.8176639795</v>
      </c>
      <c r="Q179" s="16">
        <f>+Assumptions!$F$108*'Phase I Pro Forma'!Q172*'Phase I Pro Forma'!Q169</f>
        <v>1800848.5740172591</v>
      </c>
      <c r="R179" s="16">
        <f>+Assumptions!$F$108*'Phase I Pro Forma'!R172*'Phase I Pro Forma'!R169</f>
        <v>1836865.5454976042</v>
      </c>
      <c r="S179" s="16">
        <f>+Assumptions!$F$108*'Phase I Pro Forma'!S172*'Phase I Pro Forma'!S169</f>
        <v>1873602.8564075562</v>
      </c>
      <c r="T179" s="16">
        <f>+Assumptions!$F$108*'Phase I Pro Forma'!T172*'Phase I Pro Forma'!T169</f>
        <v>1911074.9135357076</v>
      </c>
      <c r="U179" s="16">
        <f>+Assumptions!$F$108*'Phase I Pro Forma'!U172*'Phase I Pro Forma'!U169</f>
        <v>1949296.4118064218</v>
      </c>
      <c r="V179" s="16">
        <f>+Assumptions!$F$108*'Phase I Pro Forma'!V172*'Phase I Pro Forma'!V169</f>
        <v>1988282.3400425501</v>
      </c>
      <c r="W179" s="16">
        <f>+Assumptions!$F$108*'Phase I Pro Forma'!W172*'Phase I Pro Forma'!W169</f>
        <v>2028047.9868434013</v>
      </c>
      <c r="X179" s="16">
        <f>+Assumptions!$F$108*'Phase I Pro Forma'!X172*'Phase I Pro Forma'!X169</f>
        <v>2068608.9465802694</v>
      </c>
      <c r="Y179" s="16">
        <f>+Assumptions!$F$108*'Phase I Pro Forma'!Y172*'Phase I Pro Forma'!Y169</f>
        <v>2109981.1255118749</v>
      </c>
      <c r="Z179" s="16">
        <f>+Assumptions!$F$108*'Phase I Pro Forma'!Z172*'Phase I Pro Forma'!Z169</f>
        <v>2152180.7480221125</v>
      </c>
    </row>
    <row r="180" spans="2:26">
      <c r="B180" s="62" t="s">
        <v>621</v>
      </c>
      <c r="C180" s="62"/>
      <c r="D180" s="62"/>
      <c r="E180" s="62"/>
      <c r="F180" s="58">
        <f>+F177+F179</f>
        <v>0</v>
      </c>
      <c r="G180" s="58">
        <f t="shared" ref="G180:Z180" si="66">+G177+G179</f>
        <v>0</v>
      </c>
      <c r="H180" s="58">
        <f t="shared" si="66"/>
        <v>0</v>
      </c>
      <c r="I180" s="58">
        <f t="shared" si="66"/>
        <v>4089191.9860907914</v>
      </c>
      <c r="J180" s="58">
        <f t="shared" si="66"/>
        <v>9017481.0887170043</v>
      </c>
      <c r="K180" s="58">
        <f t="shared" si="66"/>
        <v>9569990.5207750574</v>
      </c>
      <c r="L180" s="58">
        <f t="shared" si="66"/>
        <v>9761390.3311905582</v>
      </c>
      <c r="M180" s="58">
        <f t="shared" si="66"/>
        <v>9956618.1378143691</v>
      </c>
      <c r="N180" s="58">
        <f t="shared" si="66"/>
        <v>10155750.500570659</v>
      </c>
      <c r="O180" s="58">
        <f t="shared" si="66"/>
        <v>10358865.510582069</v>
      </c>
      <c r="P180" s="58">
        <f t="shared" si="66"/>
        <v>10566042.820793711</v>
      </c>
      <c r="Q180" s="58">
        <f t="shared" si="66"/>
        <v>10777363.677209588</v>
      </c>
      <c r="R180" s="58">
        <f t="shared" si="66"/>
        <v>10992910.950753778</v>
      </c>
      <c r="S180" s="58">
        <f t="shared" si="66"/>
        <v>11212769.169768853</v>
      </c>
      <c r="T180" s="58">
        <f t="shared" si="66"/>
        <v>11437024.553164233</v>
      </c>
      <c r="U180" s="58">
        <f t="shared" si="66"/>
        <v>11665765.044227516</v>
      </c>
      <c r="V180" s="58">
        <f t="shared" si="66"/>
        <v>11899080.345112067</v>
      </c>
      <c r="W180" s="58">
        <f t="shared" si="66"/>
        <v>12137061.952014308</v>
      </c>
      <c r="X180" s="58">
        <f t="shared" si="66"/>
        <v>12379803.191054597</v>
      </c>
      <c r="Y180" s="58">
        <f t="shared" si="66"/>
        <v>12627399.254875688</v>
      </c>
      <c r="Z180" s="58">
        <f t="shared" si="66"/>
        <v>12879947.239973202</v>
      </c>
    </row>
    <row r="181" spans="2:26">
      <c r="B181" s="1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>
      <c r="B182" s="15" t="s">
        <v>622</v>
      </c>
      <c r="F182" s="22">
        <f>+Assumptions!$F$115*'Phase I Pro Forma'!F172*'Phase I Pro Forma'!F169</f>
        <v>0</v>
      </c>
      <c r="G182" s="22">
        <f>+Assumptions!$F$115*'Phase I Pro Forma'!G172*'Phase I Pro Forma'!G169</f>
        <v>0</v>
      </c>
      <c r="H182" s="22">
        <f>+Assumptions!$F$115*'Phase I Pro Forma'!H172*'Phase I Pro Forma'!H169</f>
        <v>0</v>
      </c>
      <c r="I182" s="22">
        <f>+Assumptions!$F$115*'Phase I Pro Forma'!I172*'Phase I Pro Forma'!I169</f>
        <v>205343.74799999999</v>
      </c>
      <c r="J182" s="22">
        <f>+Assumptions!$F$115*'Phase I Pro Forma'!J172*'Phase I Pro Forma'!J169</f>
        <v>418901.24592000002</v>
      </c>
      <c r="K182" s="22">
        <f>+Assumptions!$F$115*'Phase I Pro Forma'!K172*'Phase I Pro Forma'!K169</f>
        <v>427279.2708384</v>
      </c>
      <c r="L182" s="22">
        <f>+Assumptions!$F$115*'Phase I Pro Forma'!L172*'Phase I Pro Forma'!L169</f>
        <v>435824.85625516804</v>
      </c>
      <c r="M182" s="22">
        <f>+Assumptions!$F$115*'Phase I Pro Forma'!M172*'Phase I Pro Forma'!M169</f>
        <v>444541.35338027135</v>
      </c>
      <c r="N182" s="22">
        <f>+Assumptions!$F$115*'Phase I Pro Forma'!N172*'Phase I Pro Forma'!N169</f>
        <v>453432.18044787686</v>
      </c>
      <c r="O182" s="22">
        <f>+Assumptions!$F$115*'Phase I Pro Forma'!O172*'Phase I Pro Forma'!O169</f>
        <v>462500.82405683439</v>
      </c>
      <c r="P182" s="22">
        <f>+Assumptions!$F$115*'Phase I Pro Forma'!P172*'Phase I Pro Forma'!P169</f>
        <v>471750.84053797106</v>
      </c>
      <c r="Q182" s="22">
        <f>+Assumptions!$F$115*'Phase I Pro Forma'!Q172*'Phase I Pro Forma'!Q169</f>
        <v>481185.8573487305</v>
      </c>
      <c r="R182" s="22">
        <f>+Assumptions!$F$115*'Phase I Pro Forma'!R172*'Phase I Pro Forma'!R169</f>
        <v>490809.57449570508</v>
      </c>
      <c r="S182" s="22">
        <f>+Assumptions!$F$115*'Phase I Pro Forma'!S172*'Phase I Pro Forma'!S169</f>
        <v>500625.76598561916</v>
      </c>
      <c r="T182" s="22">
        <f>+Assumptions!$F$115*'Phase I Pro Forma'!T172*'Phase I Pro Forma'!T169</f>
        <v>510638.28130533162</v>
      </c>
      <c r="U182" s="22">
        <f>+Assumptions!$F$115*'Phase I Pro Forma'!U172*'Phase I Pro Forma'!U169</f>
        <v>520851.04693143826</v>
      </c>
      <c r="V182" s="22">
        <f>+Assumptions!$F$115*'Phase I Pro Forma'!V172*'Phase I Pro Forma'!V169</f>
        <v>531268.06787006708</v>
      </c>
      <c r="W182" s="22">
        <f>+Assumptions!$F$115*'Phase I Pro Forma'!W172*'Phase I Pro Forma'!W169</f>
        <v>541893.42922746844</v>
      </c>
      <c r="X182" s="22">
        <f>+Assumptions!$F$115*'Phase I Pro Forma'!X172*'Phase I Pro Forma'!X169</f>
        <v>552731.29781201784</v>
      </c>
      <c r="Y182" s="22">
        <f>+Assumptions!$F$115*'Phase I Pro Forma'!Y172*'Phase I Pro Forma'!Y169</f>
        <v>563785.92376825819</v>
      </c>
      <c r="Z182" s="22">
        <f>+Assumptions!$F$115*'Phase I Pro Forma'!Z172*'Phase I Pro Forma'!Z169</f>
        <v>575061.64224362338</v>
      </c>
    </row>
    <row r="183" spans="2:26" s="82" customFormat="1">
      <c r="B183" s="62" t="s">
        <v>623</v>
      </c>
      <c r="C183" s="62"/>
      <c r="D183" s="62"/>
      <c r="E183" s="62"/>
      <c r="F183" s="58">
        <f>+F180+F182</f>
        <v>0</v>
      </c>
      <c r="G183" s="58">
        <f t="shared" ref="G183:Z183" si="67">+G180+G182</f>
        <v>0</v>
      </c>
      <c r="H183" s="58">
        <f t="shared" si="67"/>
        <v>0</v>
      </c>
      <c r="I183" s="58">
        <f t="shared" si="67"/>
        <v>4294535.7340907911</v>
      </c>
      <c r="J183" s="58">
        <f t="shared" si="67"/>
        <v>9436382.3346370049</v>
      </c>
      <c r="K183" s="58">
        <f t="shared" si="67"/>
        <v>9997269.7916134577</v>
      </c>
      <c r="L183" s="58">
        <f t="shared" si="67"/>
        <v>10197215.187445726</v>
      </c>
      <c r="M183" s="58">
        <f t="shared" si="67"/>
        <v>10401159.491194641</v>
      </c>
      <c r="N183" s="58">
        <f t="shared" si="67"/>
        <v>10609182.681018535</v>
      </c>
      <c r="O183" s="58">
        <f t="shared" si="67"/>
        <v>10821366.334638903</v>
      </c>
      <c r="P183" s="58">
        <f t="shared" si="67"/>
        <v>11037793.661331682</v>
      </c>
      <c r="Q183" s="58">
        <f t="shared" si="67"/>
        <v>11258549.534558319</v>
      </c>
      <c r="R183" s="58">
        <f t="shared" si="67"/>
        <v>11483720.525249483</v>
      </c>
      <c r="S183" s="58">
        <f t="shared" si="67"/>
        <v>11713394.935754472</v>
      </c>
      <c r="T183" s="58">
        <f t="shared" si="67"/>
        <v>11947662.834469564</v>
      </c>
      <c r="U183" s="58">
        <f t="shared" si="67"/>
        <v>12186616.091158954</v>
      </c>
      <c r="V183" s="58">
        <f t="shared" si="67"/>
        <v>12430348.412982134</v>
      </c>
      <c r="W183" s="58">
        <f t="shared" si="67"/>
        <v>12678955.381241776</v>
      </c>
      <c r="X183" s="58">
        <f t="shared" si="67"/>
        <v>12932534.488866616</v>
      </c>
      <c r="Y183" s="58">
        <f t="shared" si="67"/>
        <v>13191185.178643946</v>
      </c>
      <c r="Z183" s="58">
        <f t="shared" si="67"/>
        <v>13455008.882216826</v>
      </c>
    </row>
    <row r="185" spans="2:26">
      <c r="B185" s="80" t="s">
        <v>624</v>
      </c>
    </row>
    <row r="186" spans="2:26">
      <c r="B186" s="38" t="s">
        <v>110</v>
      </c>
      <c r="D186" s="784">
        <f>+Assumptions!M101</f>
        <v>0.25</v>
      </c>
      <c r="E186" s="52"/>
      <c r="F186" s="16">
        <f>F$177*$D186</f>
        <v>0</v>
      </c>
      <c r="G186" s="16">
        <f t="shared" ref="G186:Z186" si="68">G$177*$D186</f>
        <v>0</v>
      </c>
      <c r="H186" s="16">
        <f t="shared" si="68"/>
        <v>0</v>
      </c>
      <c r="I186" s="16">
        <f>I$177*$D186</f>
        <v>830172.13178580115</v>
      </c>
      <c r="J186" s="16">
        <f t="shared" si="68"/>
        <v>1862433.5081159817</v>
      </c>
      <c r="K186" s="16">
        <f t="shared" si="68"/>
        <v>1992722.1308492296</v>
      </c>
      <c r="L186" s="16">
        <f t="shared" si="68"/>
        <v>2032576.5734662144</v>
      </c>
      <c r="M186" s="16">
        <f t="shared" si="68"/>
        <v>2073228.1049355383</v>
      </c>
      <c r="N186" s="16">
        <f t="shared" si="68"/>
        <v>2114692.6670342498</v>
      </c>
      <c r="O186" s="16">
        <f t="shared" si="68"/>
        <v>2156986.5203749342</v>
      </c>
      <c r="P186" s="16">
        <f t="shared" si="68"/>
        <v>2200126.250782433</v>
      </c>
      <c r="Q186" s="16">
        <f t="shared" si="68"/>
        <v>2244128.7757980824</v>
      </c>
      <c r="R186" s="16">
        <f t="shared" si="68"/>
        <v>2289011.3513140436</v>
      </c>
      <c r="S186" s="16">
        <f t="shared" si="68"/>
        <v>2334791.5783403241</v>
      </c>
      <c r="T186" s="16">
        <f t="shared" si="68"/>
        <v>2381487.409907131</v>
      </c>
      <c r="U186" s="16">
        <f t="shared" si="68"/>
        <v>2429117.1581052737</v>
      </c>
      <c r="V186" s="16">
        <f t="shared" si="68"/>
        <v>2477699.5012673791</v>
      </c>
      <c r="W186" s="16">
        <f t="shared" si="68"/>
        <v>2527253.4912927267</v>
      </c>
      <c r="X186" s="16">
        <f t="shared" si="68"/>
        <v>2577798.5611185818</v>
      </c>
      <c r="Y186" s="16">
        <f t="shared" si="68"/>
        <v>2629354.5323409531</v>
      </c>
      <c r="Z186" s="16">
        <f t="shared" si="68"/>
        <v>2681941.6229877723</v>
      </c>
    </row>
    <row r="187" spans="2:26">
      <c r="B187" s="38" t="s">
        <v>112</v>
      </c>
      <c r="D187" s="784">
        <f>+Assumptions!M102</f>
        <v>0.7</v>
      </c>
      <c r="E187" s="52"/>
      <c r="F187" s="22">
        <f>F$179*$D187</f>
        <v>0</v>
      </c>
      <c r="G187" s="22">
        <f t="shared" ref="G187:Z187" si="69">G$179*$D187</f>
        <v>0</v>
      </c>
      <c r="H187" s="22">
        <f t="shared" si="69"/>
        <v>0</v>
      </c>
      <c r="I187" s="22">
        <f>I$179*$D187</f>
        <v>537952.42126331059</v>
      </c>
      <c r="J187" s="22">
        <f t="shared" si="69"/>
        <v>1097422.9393771538</v>
      </c>
      <c r="K187" s="22">
        <f t="shared" si="69"/>
        <v>1119371.3981646968</v>
      </c>
      <c r="L187" s="22">
        <f t="shared" si="69"/>
        <v>1141758.8261279908</v>
      </c>
      <c r="M187" s="22">
        <f t="shared" si="69"/>
        <v>1164594.0026505506</v>
      </c>
      <c r="N187" s="22">
        <f t="shared" si="69"/>
        <v>1187885.8827035616</v>
      </c>
      <c r="O187" s="22">
        <f t="shared" si="69"/>
        <v>1211643.6003576329</v>
      </c>
      <c r="P187" s="22">
        <f t="shared" si="69"/>
        <v>1235876.4723647856</v>
      </c>
      <c r="Q187" s="22">
        <f t="shared" si="69"/>
        <v>1260594.0018120813</v>
      </c>
      <c r="R187" s="22">
        <f t="shared" si="69"/>
        <v>1285805.8818483229</v>
      </c>
      <c r="S187" s="22">
        <f t="shared" si="69"/>
        <v>1311521.9994852892</v>
      </c>
      <c r="T187" s="22">
        <f t="shared" si="69"/>
        <v>1337752.4394749952</v>
      </c>
      <c r="U187" s="22">
        <f t="shared" si="69"/>
        <v>1364507.4882644953</v>
      </c>
      <c r="V187" s="22">
        <f t="shared" si="69"/>
        <v>1391797.6380297849</v>
      </c>
      <c r="W187" s="22">
        <f t="shared" si="69"/>
        <v>1419633.590790381</v>
      </c>
      <c r="X187" s="22">
        <f t="shared" si="69"/>
        <v>1448026.2626061884</v>
      </c>
      <c r="Y187" s="22">
        <f t="shared" si="69"/>
        <v>1476986.7878583123</v>
      </c>
      <c r="Z187" s="22">
        <f t="shared" si="69"/>
        <v>1506526.5236154788</v>
      </c>
    </row>
    <row r="188" spans="2:26">
      <c r="B188" s="80" t="s">
        <v>625</v>
      </c>
      <c r="D188" s="15"/>
    </row>
    <row r="189" spans="2:26">
      <c r="B189" s="38" t="s">
        <v>116</v>
      </c>
      <c r="D189" s="784">
        <f>+Assumptions!M104</f>
        <v>0.08</v>
      </c>
      <c r="E189" s="52"/>
      <c r="F189" s="22">
        <f>F$180*$D189</f>
        <v>0</v>
      </c>
      <c r="G189" s="22">
        <f t="shared" ref="G189:V197" si="70">G$180*$D189</f>
        <v>0</v>
      </c>
      <c r="H189" s="22">
        <f t="shared" si="70"/>
        <v>0</v>
      </c>
      <c r="I189" s="22">
        <f t="shared" ref="I189:I195" si="71">I$180*$D189</f>
        <v>327135.35888726334</v>
      </c>
      <c r="J189" s="22">
        <f t="shared" si="70"/>
        <v>721398.48709736031</v>
      </c>
      <c r="K189" s="22">
        <f t="shared" si="70"/>
        <v>765599.24166200461</v>
      </c>
      <c r="L189" s="22">
        <f t="shared" si="70"/>
        <v>780911.22649524466</v>
      </c>
      <c r="M189" s="22">
        <f t="shared" si="70"/>
        <v>796529.45102514955</v>
      </c>
      <c r="N189" s="22">
        <f t="shared" si="70"/>
        <v>812460.04004565265</v>
      </c>
      <c r="O189" s="22">
        <f t="shared" si="70"/>
        <v>828709.24084656558</v>
      </c>
      <c r="P189" s="22">
        <f t="shared" si="70"/>
        <v>845283.42566349683</v>
      </c>
      <c r="Q189" s="22">
        <f t="shared" si="70"/>
        <v>862189.09417676704</v>
      </c>
      <c r="R189" s="22">
        <f t="shared" si="70"/>
        <v>879432.87606030225</v>
      </c>
      <c r="S189" s="22">
        <f t="shared" si="70"/>
        <v>897021.53358150832</v>
      </c>
      <c r="T189" s="22">
        <f t="shared" si="70"/>
        <v>914961.96425313863</v>
      </c>
      <c r="U189" s="22">
        <f t="shared" si="70"/>
        <v>933261.20353820128</v>
      </c>
      <c r="V189" s="22">
        <f t="shared" si="70"/>
        <v>951926.42760896531</v>
      </c>
      <c r="W189" s="22">
        <f t="shared" ref="W189:Z197" si="72">W$180*$D189</f>
        <v>970964.95616114466</v>
      </c>
      <c r="X189" s="22">
        <f t="shared" si="72"/>
        <v>990384.25528436783</v>
      </c>
      <c r="Y189" s="22">
        <f t="shared" si="72"/>
        <v>1010191.9403900551</v>
      </c>
      <c r="Z189" s="22">
        <f t="shared" si="72"/>
        <v>1030395.7791978562</v>
      </c>
    </row>
    <row r="190" spans="2:26">
      <c r="B190" s="38" t="s">
        <v>118</v>
      </c>
      <c r="D190" s="784">
        <f>+Assumptions!M105</f>
        <v>0.01</v>
      </c>
      <c r="E190" s="52"/>
      <c r="F190" s="22">
        <f t="shared" ref="F190:F197" si="73">F$180*$D190</f>
        <v>0</v>
      </c>
      <c r="G190" s="22">
        <f t="shared" si="70"/>
        <v>0</v>
      </c>
      <c r="H190" s="22">
        <f t="shared" si="70"/>
        <v>0</v>
      </c>
      <c r="I190" s="22">
        <f t="shared" si="71"/>
        <v>40891.919860907918</v>
      </c>
      <c r="J190" s="22">
        <f t="shared" si="70"/>
        <v>90174.810887170039</v>
      </c>
      <c r="K190" s="22">
        <f t="shared" si="70"/>
        <v>95699.905207750577</v>
      </c>
      <c r="L190" s="22">
        <f t="shared" si="70"/>
        <v>97613.903311905582</v>
      </c>
      <c r="M190" s="22">
        <f t="shared" si="70"/>
        <v>99566.181378143694</v>
      </c>
      <c r="N190" s="22">
        <f t="shared" si="70"/>
        <v>101557.50500570658</v>
      </c>
      <c r="O190" s="22">
        <f t="shared" si="70"/>
        <v>103588.6551058207</v>
      </c>
      <c r="P190" s="22">
        <f t="shared" si="70"/>
        <v>105660.4282079371</v>
      </c>
      <c r="Q190" s="22">
        <f t="shared" si="70"/>
        <v>107773.63677209588</v>
      </c>
      <c r="R190" s="22">
        <f t="shared" si="70"/>
        <v>109929.10950753778</v>
      </c>
      <c r="S190" s="22">
        <f t="shared" si="70"/>
        <v>112127.69169768854</v>
      </c>
      <c r="T190" s="22">
        <f t="shared" si="70"/>
        <v>114370.24553164233</v>
      </c>
      <c r="U190" s="22">
        <f t="shared" si="70"/>
        <v>116657.65044227516</v>
      </c>
      <c r="V190" s="22">
        <f t="shared" si="70"/>
        <v>118990.80345112066</v>
      </c>
      <c r="W190" s="22">
        <f t="shared" si="72"/>
        <v>121370.61952014308</v>
      </c>
      <c r="X190" s="22">
        <f t="shared" si="72"/>
        <v>123798.03191054598</v>
      </c>
      <c r="Y190" s="22">
        <f t="shared" si="72"/>
        <v>126273.99254875688</v>
      </c>
      <c r="Z190" s="22">
        <f t="shared" si="72"/>
        <v>128799.47239973203</v>
      </c>
    </row>
    <row r="191" spans="2:26">
      <c r="B191" s="38" t="s">
        <v>119</v>
      </c>
      <c r="D191" s="784">
        <f>+Assumptions!M106</f>
        <v>6.5000000000000002E-2</v>
      </c>
      <c r="E191" s="52"/>
      <c r="F191" s="22">
        <f t="shared" si="73"/>
        <v>0</v>
      </c>
      <c r="G191" s="22">
        <f t="shared" si="70"/>
        <v>0</v>
      </c>
      <c r="H191" s="22">
        <f t="shared" si="70"/>
        <v>0</v>
      </c>
      <c r="I191" s="22">
        <f t="shared" si="71"/>
        <v>265797.47909590148</v>
      </c>
      <c r="J191" s="22">
        <f t="shared" si="70"/>
        <v>586136.27076660527</v>
      </c>
      <c r="K191" s="22">
        <f t="shared" si="70"/>
        <v>622049.3838503788</v>
      </c>
      <c r="L191" s="22">
        <f t="shared" si="70"/>
        <v>634490.37152738625</v>
      </c>
      <c r="M191" s="22">
        <f t="shared" si="70"/>
        <v>647180.17895793403</v>
      </c>
      <c r="N191" s="22">
        <f t="shared" si="70"/>
        <v>660123.7825370928</v>
      </c>
      <c r="O191" s="22">
        <f t="shared" si="70"/>
        <v>673326.25818783452</v>
      </c>
      <c r="P191" s="22">
        <f t="shared" si="70"/>
        <v>686792.78335159121</v>
      </c>
      <c r="Q191" s="22">
        <f t="shared" si="70"/>
        <v>700528.63901862327</v>
      </c>
      <c r="R191" s="22">
        <f t="shared" si="70"/>
        <v>714539.21179899562</v>
      </c>
      <c r="S191" s="22">
        <f t="shared" si="70"/>
        <v>728829.99603497551</v>
      </c>
      <c r="T191" s="22">
        <f t="shared" si="70"/>
        <v>743406.59595567512</v>
      </c>
      <c r="U191" s="22">
        <f t="shared" si="70"/>
        <v>758274.72787478857</v>
      </c>
      <c r="V191" s="22">
        <f t="shared" si="70"/>
        <v>773440.22243228438</v>
      </c>
      <c r="W191" s="22">
        <f t="shared" si="72"/>
        <v>788909.02688093006</v>
      </c>
      <c r="X191" s="22">
        <f t="shared" si="72"/>
        <v>804687.20741854887</v>
      </c>
      <c r="Y191" s="22">
        <f t="shared" si="72"/>
        <v>820780.95156691968</v>
      </c>
      <c r="Z191" s="22">
        <f t="shared" si="72"/>
        <v>837196.57059825817</v>
      </c>
    </row>
    <row r="192" spans="2:26">
      <c r="B192" s="38" t="s">
        <v>120</v>
      </c>
      <c r="D192" s="784">
        <f>+Assumptions!M107</f>
        <v>0.02</v>
      </c>
      <c r="E192" s="52"/>
      <c r="F192" s="22">
        <f t="shared" si="73"/>
        <v>0</v>
      </c>
      <c r="G192" s="22">
        <f t="shared" si="70"/>
        <v>0</v>
      </c>
      <c r="H192" s="22">
        <f t="shared" si="70"/>
        <v>0</v>
      </c>
      <c r="I192" s="22">
        <f t="shared" si="71"/>
        <v>81783.839721815835</v>
      </c>
      <c r="J192" s="22">
        <f t="shared" si="70"/>
        <v>180349.62177434008</v>
      </c>
      <c r="K192" s="22">
        <f t="shared" si="70"/>
        <v>191399.81041550115</v>
      </c>
      <c r="L192" s="22">
        <f t="shared" si="70"/>
        <v>195227.80662381116</v>
      </c>
      <c r="M192" s="22">
        <f t="shared" si="70"/>
        <v>199132.36275628739</v>
      </c>
      <c r="N192" s="22">
        <f t="shared" si="70"/>
        <v>203115.01001141316</v>
      </c>
      <c r="O192" s="22">
        <f t="shared" si="70"/>
        <v>207177.31021164139</v>
      </c>
      <c r="P192" s="22">
        <f t="shared" si="70"/>
        <v>211320.85641587421</v>
      </c>
      <c r="Q192" s="22">
        <f t="shared" si="70"/>
        <v>215547.27354419176</v>
      </c>
      <c r="R192" s="22">
        <f t="shared" si="70"/>
        <v>219858.21901507556</v>
      </c>
      <c r="S192" s="22">
        <f t="shared" si="70"/>
        <v>224255.38339537708</v>
      </c>
      <c r="T192" s="22">
        <f t="shared" si="70"/>
        <v>228740.49106328466</v>
      </c>
      <c r="U192" s="22">
        <f t="shared" si="70"/>
        <v>233315.30088455032</v>
      </c>
      <c r="V192" s="22">
        <f t="shared" si="70"/>
        <v>237981.60690224133</v>
      </c>
      <c r="W192" s="22">
        <f t="shared" si="72"/>
        <v>242741.23904028616</v>
      </c>
      <c r="X192" s="22">
        <f t="shared" si="72"/>
        <v>247596.06382109196</v>
      </c>
      <c r="Y192" s="22">
        <f t="shared" si="72"/>
        <v>252547.98509751377</v>
      </c>
      <c r="Z192" s="22">
        <f t="shared" si="72"/>
        <v>257598.94479946405</v>
      </c>
    </row>
    <row r="193" spans="2:26">
      <c r="B193" s="38" t="s">
        <v>122</v>
      </c>
      <c r="D193" s="784">
        <f>+Assumptions!M108</f>
        <v>0.03</v>
      </c>
      <c r="E193" s="52"/>
      <c r="F193" s="22">
        <f t="shared" si="73"/>
        <v>0</v>
      </c>
      <c r="G193" s="22">
        <f t="shared" si="70"/>
        <v>0</v>
      </c>
      <c r="H193" s="22">
        <f t="shared" si="70"/>
        <v>0</v>
      </c>
      <c r="I193" s="22">
        <f t="shared" si="71"/>
        <v>122675.75958272374</v>
      </c>
      <c r="J193" s="22">
        <f t="shared" si="70"/>
        <v>270524.43266151013</v>
      </c>
      <c r="K193" s="22">
        <f t="shared" si="70"/>
        <v>287099.71562325169</v>
      </c>
      <c r="L193" s="22">
        <f t="shared" si="70"/>
        <v>292841.70993571676</v>
      </c>
      <c r="M193" s="22">
        <f t="shared" si="70"/>
        <v>298698.54413443105</v>
      </c>
      <c r="N193" s="22">
        <f t="shared" si="70"/>
        <v>304672.51501711976</v>
      </c>
      <c r="O193" s="22">
        <f t="shared" si="70"/>
        <v>310765.96531746205</v>
      </c>
      <c r="P193" s="22">
        <f t="shared" si="70"/>
        <v>316981.28462381131</v>
      </c>
      <c r="Q193" s="22">
        <f t="shared" si="70"/>
        <v>323320.9103162876</v>
      </c>
      <c r="R193" s="22">
        <f t="shared" si="70"/>
        <v>329787.32852261333</v>
      </c>
      <c r="S193" s="22">
        <f t="shared" si="70"/>
        <v>336383.07509306556</v>
      </c>
      <c r="T193" s="22">
        <f t="shared" si="70"/>
        <v>343110.73659492697</v>
      </c>
      <c r="U193" s="22">
        <f t="shared" si="70"/>
        <v>349972.95132682548</v>
      </c>
      <c r="V193" s="22">
        <f t="shared" si="70"/>
        <v>356972.41035336198</v>
      </c>
      <c r="W193" s="22">
        <f t="shared" si="72"/>
        <v>364111.85856042925</v>
      </c>
      <c r="X193" s="22">
        <f t="shared" si="72"/>
        <v>371394.09573163791</v>
      </c>
      <c r="Y193" s="22">
        <f t="shared" si="72"/>
        <v>378821.97764627065</v>
      </c>
      <c r="Z193" s="22">
        <f t="shared" si="72"/>
        <v>386398.41719919606</v>
      </c>
    </row>
    <row r="194" spans="2:26">
      <c r="B194" s="38" t="s">
        <v>124</v>
      </c>
      <c r="D194" s="784">
        <f>+Assumptions!M109</f>
        <v>0.04</v>
      </c>
      <c r="E194" s="52"/>
      <c r="F194" s="22">
        <f t="shared" si="73"/>
        <v>0</v>
      </c>
      <c r="G194" s="22">
        <f t="shared" si="70"/>
        <v>0</v>
      </c>
      <c r="H194" s="22">
        <f t="shared" si="70"/>
        <v>0</v>
      </c>
      <c r="I194" s="22">
        <f t="shared" si="71"/>
        <v>163567.67944363167</v>
      </c>
      <c r="J194" s="22">
        <f t="shared" si="70"/>
        <v>360699.24354868016</v>
      </c>
      <c r="K194" s="22">
        <f t="shared" si="70"/>
        <v>382799.62083100231</v>
      </c>
      <c r="L194" s="22">
        <f t="shared" si="70"/>
        <v>390455.61324762233</v>
      </c>
      <c r="M194" s="22">
        <f t="shared" si="70"/>
        <v>398264.72551257478</v>
      </c>
      <c r="N194" s="22">
        <f t="shared" si="70"/>
        <v>406230.02002282633</v>
      </c>
      <c r="O194" s="22">
        <f t="shared" si="70"/>
        <v>414354.62042328279</v>
      </c>
      <c r="P194" s="22">
        <f t="shared" si="70"/>
        <v>422641.71283174842</v>
      </c>
      <c r="Q194" s="22">
        <f t="shared" si="70"/>
        <v>431094.54708838352</v>
      </c>
      <c r="R194" s="22">
        <f t="shared" si="70"/>
        <v>439716.43803015113</v>
      </c>
      <c r="S194" s="22">
        <f t="shared" si="70"/>
        <v>448510.76679075416</v>
      </c>
      <c r="T194" s="22">
        <f t="shared" si="70"/>
        <v>457480.98212656932</v>
      </c>
      <c r="U194" s="22">
        <f t="shared" si="70"/>
        <v>466630.60176910064</v>
      </c>
      <c r="V194" s="22">
        <f t="shared" si="70"/>
        <v>475963.21380448266</v>
      </c>
      <c r="W194" s="22">
        <f t="shared" si="72"/>
        <v>485482.47808057233</v>
      </c>
      <c r="X194" s="22">
        <f t="shared" si="72"/>
        <v>495192.12764218391</v>
      </c>
      <c r="Y194" s="22">
        <f t="shared" si="72"/>
        <v>505095.97019502753</v>
      </c>
      <c r="Z194" s="22">
        <f t="shared" si="72"/>
        <v>515197.8895989281</v>
      </c>
    </row>
    <row r="195" spans="2:26">
      <c r="B195" s="38" t="s">
        <v>126</v>
      </c>
      <c r="D195" s="784">
        <f>+Assumptions!M110</f>
        <v>0.01</v>
      </c>
      <c r="E195" s="52"/>
      <c r="F195" s="22">
        <f t="shared" si="73"/>
        <v>0</v>
      </c>
      <c r="G195" s="22">
        <f t="shared" si="70"/>
        <v>0</v>
      </c>
      <c r="H195" s="22">
        <f t="shared" si="70"/>
        <v>0</v>
      </c>
      <c r="I195" s="22">
        <f t="shared" si="71"/>
        <v>40891.919860907918</v>
      </c>
      <c r="J195" s="22">
        <f t="shared" si="70"/>
        <v>90174.810887170039</v>
      </c>
      <c r="K195" s="22">
        <f t="shared" si="70"/>
        <v>95699.905207750577</v>
      </c>
      <c r="L195" s="22">
        <f t="shared" si="70"/>
        <v>97613.903311905582</v>
      </c>
      <c r="M195" s="22">
        <f t="shared" si="70"/>
        <v>99566.181378143694</v>
      </c>
      <c r="N195" s="22">
        <f t="shared" si="70"/>
        <v>101557.50500570658</v>
      </c>
      <c r="O195" s="22">
        <f t="shared" si="70"/>
        <v>103588.6551058207</v>
      </c>
      <c r="P195" s="22">
        <f t="shared" si="70"/>
        <v>105660.4282079371</v>
      </c>
      <c r="Q195" s="22">
        <f t="shared" si="70"/>
        <v>107773.63677209588</v>
      </c>
      <c r="R195" s="22">
        <f t="shared" si="70"/>
        <v>109929.10950753778</v>
      </c>
      <c r="S195" s="22">
        <f t="shared" si="70"/>
        <v>112127.69169768854</v>
      </c>
      <c r="T195" s="22">
        <f t="shared" si="70"/>
        <v>114370.24553164233</v>
      </c>
      <c r="U195" s="22">
        <f t="shared" si="70"/>
        <v>116657.65044227516</v>
      </c>
      <c r="V195" s="22">
        <f t="shared" si="70"/>
        <v>118990.80345112066</v>
      </c>
      <c r="W195" s="22">
        <f t="shared" si="72"/>
        <v>121370.61952014308</v>
      </c>
      <c r="X195" s="22">
        <f t="shared" si="72"/>
        <v>123798.03191054598</v>
      </c>
      <c r="Y195" s="22">
        <f t="shared" si="72"/>
        <v>126273.99254875688</v>
      </c>
      <c r="Z195" s="22">
        <f t="shared" si="72"/>
        <v>128799.47239973203</v>
      </c>
    </row>
    <row r="196" spans="2:26" s="538" customFormat="1">
      <c r="B196" s="869" t="s">
        <v>626</v>
      </c>
      <c r="D196" s="870">
        <f ca="1">+SUM(F196:Z196)/SUM(F180:Z180)</f>
        <v>0</v>
      </c>
      <c r="E196" s="830"/>
      <c r="F196" s="612">
        <f ca="1">+IFERROR(INDEX(#REF!,MATCH('Phase I Pro Forma'!F$7,#REF!,0)),0)*'Loan Sizing'!$I$36*F169</f>
        <v>0</v>
      </c>
      <c r="G196" s="612">
        <f ca="1">+IFERROR(INDEX(#REF!,MATCH('Phase I Pro Forma'!G$7,#REF!,0)),0)*'Loan Sizing'!$I$36*G169</f>
        <v>0</v>
      </c>
      <c r="H196" s="612">
        <f ca="1">+IFERROR(INDEX(#REF!,MATCH('Phase I Pro Forma'!H$7,#REF!,0)),0)*'Loan Sizing'!$I$36*H169</f>
        <v>0</v>
      </c>
      <c r="I196" s="612">
        <f ca="1">+IFERROR(INDEX(#REF!,MATCH('Phase I Pro Forma'!I$7,#REF!,0)),0)*'Loan Sizing'!$I$36*I169</f>
        <v>0</v>
      </c>
      <c r="J196" s="612">
        <f ca="1">+IFERROR(INDEX(#REF!,MATCH('Phase I Pro Forma'!J$7,#REF!,0)),0)*'Loan Sizing'!$I$36*J169</f>
        <v>0</v>
      </c>
      <c r="K196" s="612">
        <f ca="1">+IFERROR(INDEX(#REF!,MATCH('Phase I Pro Forma'!K$7,#REF!,0)),0)*'Loan Sizing'!$I$36*K169</f>
        <v>0</v>
      </c>
      <c r="L196" s="612">
        <f ca="1">+IFERROR(INDEX(#REF!,MATCH('Phase I Pro Forma'!L$7,#REF!,0)),0)*'Loan Sizing'!$I$36*L169</f>
        <v>0</v>
      </c>
      <c r="M196" s="612">
        <f ca="1">+IFERROR(INDEX(#REF!,MATCH('Phase I Pro Forma'!M$7,#REF!,0)),0)*'Loan Sizing'!$I$36*M169</f>
        <v>0</v>
      </c>
      <c r="N196" s="612">
        <f ca="1">+IFERROR(INDEX(#REF!,MATCH('Phase I Pro Forma'!N$7,#REF!,0)),0)*'Loan Sizing'!$I$36*N169</f>
        <v>0</v>
      </c>
      <c r="O196" s="612">
        <f ca="1">+IFERROR(INDEX(#REF!,MATCH('Phase I Pro Forma'!O$7,#REF!,0)),0)*'Loan Sizing'!$I$36*O169</f>
        <v>0</v>
      </c>
      <c r="P196" s="612">
        <f ca="1">+IFERROR(INDEX(#REF!,MATCH('Phase I Pro Forma'!P$7,#REF!,0)),0)*'Loan Sizing'!$I$36*P169</f>
        <v>0</v>
      </c>
      <c r="Q196" s="612">
        <f ca="1">+IFERROR(INDEX(#REF!,MATCH('Phase I Pro Forma'!Q$7,#REF!,0)),0)*'Loan Sizing'!$I$36*Q169</f>
        <v>0</v>
      </c>
      <c r="R196" s="612">
        <f ca="1">+IFERROR(INDEX(#REF!,MATCH('Phase I Pro Forma'!R$7,#REF!,0)),0)*'Loan Sizing'!$I$36*R169</f>
        <v>0</v>
      </c>
      <c r="S196" s="612">
        <f ca="1">+IFERROR(INDEX(#REF!,MATCH('Phase I Pro Forma'!S$7,#REF!,0)),0)*'Loan Sizing'!$I$36*S169</f>
        <v>0</v>
      </c>
      <c r="T196" s="612">
        <f ca="1">+IFERROR(INDEX(#REF!,MATCH('Phase I Pro Forma'!T$7,#REF!,0)),0)*'Loan Sizing'!$I$36*T169</f>
        <v>0</v>
      </c>
      <c r="U196" s="612">
        <f ca="1">+IFERROR(INDEX(#REF!,MATCH('Phase I Pro Forma'!U$7,#REF!,0)),0)*'Loan Sizing'!$I$36*U169</f>
        <v>0</v>
      </c>
      <c r="V196" s="612">
        <f ca="1">+IFERROR(INDEX(#REF!,MATCH('Phase I Pro Forma'!V$7,#REF!,0)),0)*'Loan Sizing'!$I$36*V169</f>
        <v>0</v>
      </c>
      <c r="W196" s="612">
        <f ca="1">+IFERROR(INDEX(#REF!,MATCH('Phase I Pro Forma'!W$7,#REF!,0)),0)*'Loan Sizing'!$I$36*W169</f>
        <v>0</v>
      </c>
      <c r="X196" s="612">
        <f ca="1">+IFERROR(INDEX(#REF!,MATCH('Phase I Pro Forma'!X$7,#REF!,0)),0)*'Loan Sizing'!$I$36*X169</f>
        <v>0</v>
      </c>
      <c r="Y196" s="612">
        <f ca="1">+IFERROR(INDEX(#REF!,MATCH('Phase I Pro Forma'!Y$7,#REF!,0)),0)*'Loan Sizing'!$I$36*Y169</f>
        <v>0</v>
      </c>
      <c r="Z196" s="612">
        <f ca="1">+IFERROR(INDEX(#REF!,MATCH('Phase I Pro Forma'!Z$7,#REF!,0)),0)*'Loan Sizing'!$I$36*Z169</f>
        <v>0</v>
      </c>
    </row>
    <row r="197" spans="2:26">
      <c r="B197" s="38" t="s">
        <v>128</v>
      </c>
      <c r="D197" s="784">
        <f>+Assumptions!M111</f>
        <v>3.5000000000000003E-2</v>
      </c>
      <c r="E197" s="52"/>
      <c r="F197" s="22">
        <f t="shared" si="73"/>
        <v>0</v>
      </c>
      <c r="G197" s="22">
        <f t="shared" si="70"/>
        <v>0</v>
      </c>
      <c r="H197" s="22">
        <f t="shared" si="70"/>
        <v>0</v>
      </c>
      <c r="I197" s="22">
        <f>I$180*$D197</f>
        <v>143121.71951317773</v>
      </c>
      <c r="J197" s="22">
        <f t="shared" si="70"/>
        <v>315611.8381050952</v>
      </c>
      <c r="K197" s="22">
        <f t="shared" si="70"/>
        <v>334949.66822712705</v>
      </c>
      <c r="L197" s="22">
        <f t="shared" si="70"/>
        <v>341648.66159166954</v>
      </c>
      <c r="M197" s="22">
        <f t="shared" si="70"/>
        <v>348481.63482350297</v>
      </c>
      <c r="N197" s="22">
        <f t="shared" si="70"/>
        <v>355451.2675199731</v>
      </c>
      <c r="O197" s="22">
        <f t="shared" si="70"/>
        <v>362560.29287037248</v>
      </c>
      <c r="P197" s="22">
        <f t="shared" si="70"/>
        <v>369811.49872777989</v>
      </c>
      <c r="Q197" s="22">
        <f t="shared" si="70"/>
        <v>377207.72870233562</v>
      </c>
      <c r="R197" s="22">
        <f t="shared" si="70"/>
        <v>384751.88327638229</v>
      </c>
      <c r="S197" s="22">
        <f t="shared" si="70"/>
        <v>392446.92094190989</v>
      </c>
      <c r="T197" s="22">
        <f t="shared" si="70"/>
        <v>400295.8593607482</v>
      </c>
      <c r="U197" s="22">
        <f t="shared" si="70"/>
        <v>408301.77654796309</v>
      </c>
      <c r="V197" s="22">
        <f t="shared" si="70"/>
        <v>416467.81207892235</v>
      </c>
      <c r="W197" s="22">
        <f t="shared" si="72"/>
        <v>424797.16832050082</v>
      </c>
      <c r="X197" s="22">
        <f t="shared" si="72"/>
        <v>433293.11168691097</v>
      </c>
      <c r="Y197" s="22">
        <f t="shared" si="72"/>
        <v>441958.97392064909</v>
      </c>
      <c r="Z197" s="22">
        <f t="shared" si="72"/>
        <v>450798.15339906211</v>
      </c>
    </row>
    <row r="198" spans="2:26">
      <c r="B198" s="81" t="s">
        <v>123</v>
      </c>
      <c r="D198" s="15"/>
    </row>
    <row r="199" spans="2:26">
      <c r="B199" s="38" t="s">
        <v>136</v>
      </c>
      <c r="D199" s="784">
        <f>+Assumptions!M115</f>
        <v>0.4</v>
      </c>
      <c r="E199" s="52"/>
      <c r="F199" s="22">
        <f t="shared" ref="F199:Z199" si="74">F$182*$D199</f>
        <v>0</v>
      </c>
      <c r="G199" s="22">
        <f t="shared" si="74"/>
        <v>0</v>
      </c>
      <c r="H199" s="22">
        <f t="shared" si="74"/>
        <v>0</v>
      </c>
      <c r="I199" s="22">
        <f>I$182*$D199</f>
        <v>82137.499200000006</v>
      </c>
      <c r="J199" s="22">
        <f t="shared" si="74"/>
        <v>167560.49836800003</v>
      </c>
      <c r="K199" s="22">
        <f t="shared" si="74"/>
        <v>170911.70833536002</v>
      </c>
      <c r="L199" s="22">
        <f t="shared" si="74"/>
        <v>174329.94250206722</v>
      </c>
      <c r="M199" s="22">
        <f t="shared" si="74"/>
        <v>177816.54135210856</v>
      </c>
      <c r="N199" s="22">
        <f t="shared" si="74"/>
        <v>181372.87217915076</v>
      </c>
      <c r="O199" s="22">
        <f t="shared" si="74"/>
        <v>185000.32962273376</v>
      </c>
      <c r="P199" s="22">
        <f t="shared" si="74"/>
        <v>188700.33621518844</v>
      </c>
      <c r="Q199" s="22">
        <f t="shared" si="74"/>
        <v>192474.3429394922</v>
      </c>
      <c r="R199" s="22">
        <f t="shared" si="74"/>
        <v>196323.82979828204</v>
      </c>
      <c r="S199" s="22">
        <f t="shared" si="74"/>
        <v>200250.30639424769</v>
      </c>
      <c r="T199" s="22">
        <f t="shared" si="74"/>
        <v>204255.31252213265</v>
      </c>
      <c r="U199" s="22">
        <f t="shared" si="74"/>
        <v>208340.41877257533</v>
      </c>
      <c r="V199" s="22">
        <f t="shared" si="74"/>
        <v>212507.22714802684</v>
      </c>
      <c r="W199" s="22">
        <f t="shared" si="74"/>
        <v>216757.37169098738</v>
      </c>
      <c r="X199" s="22">
        <f t="shared" si="74"/>
        <v>221092.51912480715</v>
      </c>
      <c r="Y199" s="22">
        <f t="shared" si="74"/>
        <v>225514.36950730329</v>
      </c>
      <c r="Z199" s="22">
        <f t="shared" si="74"/>
        <v>230024.65689744937</v>
      </c>
    </row>
    <row r="200" spans="2:26">
      <c r="B200" s="62" t="s">
        <v>627</v>
      </c>
      <c r="C200" s="62"/>
      <c r="D200" s="701"/>
      <c r="E200" s="62"/>
      <c r="F200" s="58">
        <v>0</v>
      </c>
      <c r="G200" s="58">
        <v>0</v>
      </c>
      <c r="H200" s="58">
        <v>0</v>
      </c>
      <c r="I200" s="58">
        <f t="shared" ref="I200:Z200" ca="1" si="75">+SUM(I186:I199)</f>
        <v>2636127.7282154416</v>
      </c>
      <c r="J200" s="58">
        <f t="shared" ca="1" si="75"/>
        <v>5742486.4615890663</v>
      </c>
      <c r="K200" s="58">
        <f t="shared" ca="1" si="75"/>
        <v>6058302.4883740516</v>
      </c>
      <c r="L200" s="58">
        <f t="shared" ca="1" si="75"/>
        <v>6179468.5381415337</v>
      </c>
      <c r="M200" s="58">
        <f t="shared" ca="1" si="75"/>
        <v>6303057.9089043643</v>
      </c>
      <c r="N200" s="58">
        <f t="shared" ca="1" si="75"/>
        <v>6429119.0670824535</v>
      </c>
      <c r="O200" s="58">
        <f t="shared" ca="1" si="75"/>
        <v>6557701.4484241009</v>
      </c>
      <c r="P200" s="58">
        <f t="shared" ca="1" si="75"/>
        <v>6688855.4773925822</v>
      </c>
      <c r="Q200" s="58">
        <f t="shared" ca="1" si="75"/>
        <v>6822632.5869404366</v>
      </c>
      <c r="R200" s="58">
        <f t="shared" ca="1" si="75"/>
        <v>6959085.2386792442</v>
      </c>
      <c r="S200" s="58">
        <f t="shared" ca="1" si="75"/>
        <v>7098266.9434528276</v>
      </c>
      <c r="T200" s="58">
        <f t="shared" ca="1" si="75"/>
        <v>7240232.2823218852</v>
      </c>
      <c r="U200" s="58">
        <f t="shared" ca="1" si="75"/>
        <v>7385036.9279683242</v>
      </c>
      <c r="V200" s="58">
        <f t="shared" ca="1" si="75"/>
        <v>7532737.6665276904</v>
      </c>
      <c r="W200" s="58">
        <f t="shared" ca="1" si="75"/>
        <v>7683392.4198582452</v>
      </c>
      <c r="X200" s="58">
        <f t="shared" ca="1" si="75"/>
        <v>7837060.2682554098</v>
      </c>
      <c r="Y200" s="58">
        <f t="shared" ca="1" si="75"/>
        <v>7993801.4736205181</v>
      </c>
      <c r="Z200" s="58">
        <f t="shared" ca="1" si="75"/>
        <v>8153677.5030929297</v>
      </c>
    </row>
    <row r="201" spans="2:26">
      <c r="D201" s="15"/>
    </row>
    <row r="202" spans="2:26">
      <c r="B202" s="62" t="s">
        <v>628</v>
      </c>
      <c r="C202" s="62"/>
      <c r="D202" s="701"/>
      <c r="E202" s="62"/>
      <c r="F202" s="58">
        <v>0</v>
      </c>
      <c r="G202" s="58">
        <v>0</v>
      </c>
      <c r="H202" s="58">
        <v>0</v>
      </c>
      <c r="I202" s="58">
        <f t="shared" ref="I202:Z202" ca="1" si="76">+I183-I200</f>
        <v>1658408.0058753495</v>
      </c>
      <c r="J202" s="58">
        <f t="shared" ca="1" si="76"/>
        <v>3693895.8730479386</v>
      </c>
      <c r="K202" s="58">
        <f t="shared" ca="1" si="76"/>
        <v>3938967.3032394061</v>
      </c>
      <c r="L202" s="58">
        <f t="shared" ca="1" si="76"/>
        <v>4017746.6493041925</v>
      </c>
      <c r="M202" s="58">
        <f t="shared" ca="1" si="76"/>
        <v>4098101.5822902769</v>
      </c>
      <c r="N202" s="58">
        <f t="shared" ca="1" si="76"/>
        <v>4180063.6139360815</v>
      </c>
      <c r="O202" s="58">
        <f t="shared" ca="1" si="76"/>
        <v>4263664.886214802</v>
      </c>
      <c r="P202" s="58">
        <f t="shared" ca="1" si="76"/>
        <v>4348938.1839390993</v>
      </c>
      <c r="Q202" s="58">
        <f t="shared" ca="1" si="76"/>
        <v>4435916.9476178819</v>
      </c>
      <c r="R202" s="58">
        <f t="shared" ca="1" si="76"/>
        <v>4524635.2865702389</v>
      </c>
      <c r="S202" s="58">
        <f t="shared" ca="1" si="76"/>
        <v>4615127.9923016448</v>
      </c>
      <c r="T202" s="58">
        <f t="shared" ca="1" si="76"/>
        <v>4707430.552147679</v>
      </c>
      <c r="U202" s="58">
        <f t="shared" ca="1" si="76"/>
        <v>4801579.1631906303</v>
      </c>
      <c r="V202" s="58">
        <f t="shared" ca="1" si="76"/>
        <v>4897610.7464544438</v>
      </c>
      <c r="W202" s="58">
        <f t="shared" ca="1" si="76"/>
        <v>4995562.9613835309</v>
      </c>
      <c r="X202" s="58">
        <f t="shared" ca="1" si="76"/>
        <v>5095474.2206112063</v>
      </c>
      <c r="Y202" s="58">
        <f t="shared" ca="1" si="76"/>
        <v>5197383.7050234275</v>
      </c>
      <c r="Z202" s="58">
        <f t="shared" ca="1" si="76"/>
        <v>5301331.3791238964</v>
      </c>
    </row>
    <row r="203" spans="2:26">
      <c r="D203" s="15"/>
    </row>
    <row r="204" spans="2:26">
      <c r="B204" s="81" t="s">
        <v>264</v>
      </c>
      <c r="D204" s="15"/>
    </row>
    <row r="205" spans="2:26">
      <c r="B205" s="38" t="s">
        <v>132</v>
      </c>
      <c r="D205" s="784">
        <f>+Assumptions!M113</f>
        <v>0.03</v>
      </c>
      <c r="E205" s="52"/>
      <c r="F205" s="22">
        <f t="shared" ref="F205:Z205" si="77">F$180*$D205</f>
        <v>0</v>
      </c>
      <c r="G205" s="22">
        <f t="shared" si="77"/>
        <v>0</v>
      </c>
      <c r="H205" s="22">
        <f t="shared" si="77"/>
        <v>0</v>
      </c>
      <c r="I205" s="22">
        <f>I$180*$D205</f>
        <v>122675.75958272374</v>
      </c>
      <c r="J205" s="22">
        <f t="shared" si="77"/>
        <v>270524.43266151013</v>
      </c>
      <c r="K205" s="22">
        <f t="shared" si="77"/>
        <v>287099.71562325169</v>
      </c>
      <c r="L205" s="22">
        <f t="shared" si="77"/>
        <v>292841.70993571676</v>
      </c>
      <c r="M205" s="22">
        <f t="shared" si="77"/>
        <v>298698.54413443105</v>
      </c>
      <c r="N205" s="22">
        <f t="shared" si="77"/>
        <v>304672.51501711976</v>
      </c>
      <c r="O205" s="22">
        <f t="shared" si="77"/>
        <v>310765.96531746205</v>
      </c>
      <c r="P205" s="22">
        <f t="shared" si="77"/>
        <v>316981.28462381131</v>
      </c>
      <c r="Q205" s="22">
        <f t="shared" si="77"/>
        <v>323320.9103162876</v>
      </c>
      <c r="R205" s="22">
        <f t="shared" si="77"/>
        <v>329787.32852261333</v>
      </c>
      <c r="S205" s="22">
        <f t="shared" si="77"/>
        <v>336383.07509306556</v>
      </c>
      <c r="T205" s="22">
        <f t="shared" si="77"/>
        <v>343110.73659492697</v>
      </c>
      <c r="U205" s="22">
        <f t="shared" si="77"/>
        <v>349972.95132682548</v>
      </c>
      <c r="V205" s="22">
        <f t="shared" si="77"/>
        <v>356972.41035336198</v>
      </c>
      <c r="W205" s="22">
        <f t="shared" si="77"/>
        <v>364111.85856042925</v>
      </c>
      <c r="X205" s="22">
        <f t="shared" si="77"/>
        <v>371394.09573163791</v>
      </c>
      <c r="Y205" s="22">
        <f t="shared" si="77"/>
        <v>378821.97764627065</v>
      </c>
      <c r="Z205" s="22">
        <f t="shared" si="77"/>
        <v>386398.41719919606</v>
      </c>
    </row>
    <row r="206" spans="2:26">
      <c r="B206" s="653" t="s">
        <v>560</v>
      </c>
      <c r="C206" s="653"/>
      <c r="D206" s="653"/>
      <c r="E206" s="653"/>
      <c r="F206" s="544">
        <f>+F202-F205</f>
        <v>0</v>
      </c>
      <c r="G206" s="544">
        <f t="shared" ref="G206:H206" si="78">+G202-G205</f>
        <v>0</v>
      </c>
      <c r="H206" s="544">
        <f t="shared" si="78"/>
        <v>0</v>
      </c>
      <c r="I206" s="544">
        <f t="shared" ref="I206:Z206" ca="1" si="79">+I202-I205</f>
        <v>1535732.2462926258</v>
      </c>
      <c r="J206" s="544">
        <f t="shared" ca="1" si="79"/>
        <v>3423371.4403864285</v>
      </c>
      <c r="K206" s="544">
        <f t="shared" ca="1" si="79"/>
        <v>3651867.5876161545</v>
      </c>
      <c r="L206" s="544">
        <f t="shared" ca="1" si="79"/>
        <v>3724904.9393684757</v>
      </c>
      <c r="M206" s="544">
        <f t="shared" ca="1" si="79"/>
        <v>3799403.0381558458</v>
      </c>
      <c r="N206" s="544">
        <f t="shared" ca="1" si="79"/>
        <v>3875391.0989189618</v>
      </c>
      <c r="O206" s="544">
        <f t="shared" ca="1" si="79"/>
        <v>3952898.9208973399</v>
      </c>
      <c r="P206" s="544">
        <f t="shared" ca="1" si="79"/>
        <v>4031956.8993152878</v>
      </c>
      <c r="Q206" s="544">
        <f t="shared" ca="1" si="79"/>
        <v>4112596.0373015944</v>
      </c>
      <c r="R206" s="544">
        <f t="shared" ca="1" si="79"/>
        <v>4194847.9580476256</v>
      </c>
      <c r="S206" s="544">
        <f t="shared" ca="1" si="79"/>
        <v>4278744.9172085794</v>
      </c>
      <c r="T206" s="544">
        <f t="shared" ca="1" si="79"/>
        <v>4364319.8155527525</v>
      </c>
      <c r="U206" s="544">
        <f t="shared" ca="1" si="79"/>
        <v>4451606.2118638046</v>
      </c>
      <c r="V206" s="544">
        <f t="shared" ca="1" si="79"/>
        <v>4540638.3361010822</v>
      </c>
      <c r="W206" s="544">
        <f t="shared" ca="1" si="79"/>
        <v>4631451.1028231019</v>
      </c>
      <c r="X206" s="544">
        <f t="shared" ca="1" si="79"/>
        <v>4724080.1248795688</v>
      </c>
      <c r="Y206" s="544">
        <f t="shared" ca="1" si="79"/>
        <v>4818561.7273771567</v>
      </c>
      <c r="Z206" s="544">
        <f t="shared" ca="1" si="79"/>
        <v>4914932.9619247001</v>
      </c>
    </row>
    <row r="207" spans="2:26">
      <c r="B207" s="654" t="s">
        <v>588</v>
      </c>
      <c r="C207" s="655"/>
      <c r="D207" s="655"/>
      <c r="E207" s="655"/>
      <c r="F207" s="656" t="str">
        <f t="shared" ref="F207:H207" si="80">+IFERROR(F206/F183,"")</f>
        <v/>
      </c>
      <c r="G207" s="656" t="str">
        <f t="shared" si="80"/>
        <v/>
      </c>
      <c r="H207" s="656" t="str">
        <f t="shared" si="80"/>
        <v/>
      </c>
      <c r="I207" s="656">
        <f t="shared" ref="I207:Z207" ca="1" si="81">+IFERROR(I206/I183,"")</f>
        <v>0.35760145947831079</v>
      </c>
      <c r="J207" s="656">
        <f t="shared" ca="1" si="81"/>
        <v>0.36278430853958371</v>
      </c>
      <c r="K207" s="656">
        <f t="shared" ca="1" si="81"/>
        <v>0.36528648958535109</v>
      </c>
      <c r="L207" s="656">
        <f t="shared" ca="1" si="81"/>
        <v>0.36528648958535093</v>
      </c>
      <c r="M207" s="656">
        <f t="shared" ca="1" si="81"/>
        <v>0.36528648958535098</v>
      </c>
      <c r="N207" s="656">
        <f t="shared" ca="1" si="81"/>
        <v>0.36528648958535087</v>
      </c>
      <c r="O207" s="656">
        <f t="shared" ca="1" si="81"/>
        <v>0.36528648958535087</v>
      </c>
      <c r="P207" s="656">
        <f t="shared" ca="1" si="81"/>
        <v>0.36528648958535093</v>
      </c>
      <c r="Q207" s="656">
        <f t="shared" ca="1" si="81"/>
        <v>0.36528648958535087</v>
      </c>
      <c r="R207" s="656">
        <f t="shared" ca="1" si="81"/>
        <v>0.36528648958535087</v>
      </c>
      <c r="S207" s="656">
        <f t="shared" ca="1" si="81"/>
        <v>0.36528648958535104</v>
      </c>
      <c r="T207" s="656">
        <f t="shared" ca="1" si="81"/>
        <v>0.36528648958535104</v>
      </c>
      <c r="U207" s="656">
        <f t="shared" ca="1" si="81"/>
        <v>0.36528648958535087</v>
      </c>
      <c r="V207" s="656">
        <f t="shared" ca="1" si="81"/>
        <v>0.36528648958535098</v>
      </c>
      <c r="W207" s="656">
        <f t="shared" ca="1" si="81"/>
        <v>0.36528648958535082</v>
      </c>
      <c r="X207" s="656">
        <f t="shared" ca="1" si="81"/>
        <v>0.36528648958535109</v>
      </c>
      <c r="Y207" s="656">
        <f t="shared" ca="1" si="81"/>
        <v>0.36528648958535087</v>
      </c>
      <c r="Z207" s="656">
        <f t="shared" ca="1" si="81"/>
        <v>0.36528648958535087</v>
      </c>
    </row>
    <row r="208" spans="2:26">
      <c r="B208" s="654" t="s">
        <v>589</v>
      </c>
      <c r="C208" s="655"/>
      <c r="D208" s="655"/>
      <c r="E208" s="655"/>
      <c r="F208" s="658">
        <f>+F202/Assumptions!$N$131</f>
        <v>0</v>
      </c>
      <c r="G208" s="658">
        <f>+G202/Assumptions!$N$131</f>
        <v>0</v>
      </c>
      <c r="H208" s="658">
        <f>+H202/Assumptions!$N$131</f>
        <v>0</v>
      </c>
      <c r="I208" s="658">
        <f ca="1">I206/Assumptions!$N$131</f>
        <v>23626649.942963473</v>
      </c>
      <c r="J208" s="658">
        <f ca="1">J206/Assumptions!$N$131</f>
        <v>52667252.929021977</v>
      </c>
      <c r="K208" s="658">
        <f ca="1">+K202/Assumptions!$N$131</f>
        <v>60599496.972913936</v>
      </c>
      <c r="L208" s="658">
        <f ca="1">+L202/Assumptions!$N$131</f>
        <v>61811486.912372187</v>
      </c>
      <c r="M208" s="658">
        <f ca="1">+M202/Assumptions!$N$131</f>
        <v>63047716.650619641</v>
      </c>
      <c r="N208" s="658">
        <f ca="1">+N202/Assumptions!$N$131</f>
        <v>64308670.983632021</v>
      </c>
      <c r="O208" s="658">
        <f ca="1">+O202/Assumptions!$N$131</f>
        <v>65594844.403304644</v>
      </c>
      <c r="P208" s="658">
        <f ca="1">+P202/Assumptions!$N$131</f>
        <v>66906741.291370757</v>
      </c>
      <c r="Q208" s="658">
        <f ca="1">+Q202/Assumptions!$N$131</f>
        <v>68244876.117198184</v>
      </c>
      <c r="R208" s="658">
        <f ca="1">+R202/Assumptions!$N$131</f>
        <v>69609773.639542133</v>
      </c>
      <c r="S208" s="658">
        <f ca="1">+S202/Assumptions!$N$131</f>
        <v>71001969.112333</v>
      </c>
      <c r="T208" s="658">
        <f ca="1">+T202/Assumptions!$N$131</f>
        <v>72422008.494579673</v>
      </c>
      <c r="U208" s="658">
        <f ca="1">+U202/Assumptions!$N$131</f>
        <v>73870448.664471239</v>
      </c>
      <c r="V208" s="658">
        <f ca="1">+V202/Assumptions!$N$131</f>
        <v>75347857.637760669</v>
      </c>
      <c r="W208" s="658">
        <f ca="1">+W202/Assumptions!$N$131</f>
        <v>76854814.790515855</v>
      </c>
      <c r="X208" s="658">
        <f ca="1">+X202/Assumptions!$N$131</f>
        <v>78391911.086326241</v>
      </c>
      <c r="Y208" s="658">
        <f ca="1">+Y202/Assumptions!$N$131</f>
        <v>79959749.308052734</v>
      </c>
      <c r="Z208" s="658">
        <f ca="1">+Z202/Assumptions!$N$131</f>
        <v>81558944.294213787</v>
      </c>
    </row>
    <row r="210" spans="2:26">
      <c r="B210" s="699" t="s">
        <v>597</v>
      </c>
      <c r="F210" s="75">
        <f>+Assumptions!$F$22</f>
        <v>44561</v>
      </c>
      <c r="G210" s="75">
        <f>+EOMONTH(F210,12)</f>
        <v>44926</v>
      </c>
      <c r="H210" s="75">
        <f t="shared" ref="H210:Z210" si="82">+EOMONTH(G210,12)</f>
        <v>45291</v>
      </c>
      <c r="I210" s="75">
        <f>+EOMONTH(H210,12)</f>
        <v>45657</v>
      </c>
      <c r="J210" s="75">
        <f>+EOMONTH(I210,12)</f>
        <v>46022</v>
      </c>
      <c r="K210" s="75">
        <f t="shared" si="82"/>
        <v>46387</v>
      </c>
      <c r="L210" s="75">
        <f t="shared" si="82"/>
        <v>46752</v>
      </c>
      <c r="M210" s="75">
        <f t="shared" si="82"/>
        <v>47118</v>
      </c>
      <c r="N210" s="75">
        <f t="shared" si="82"/>
        <v>47483</v>
      </c>
      <c r="O210" s="75">
        <f t="shared" si="82"/>
        <v>47848</v>
      </c>
      <c r="P210" s="75">
        <f t="shared" si="82"/>
        <v>48213</v>
      </c>
      <c r="Q210" s="75">
        <f t="shared" si="82"/>
        <v>48579</v>
      </c>
      <c r="R210" s="75">
        <f t="shared" si="82"/>
        <v>48944</v>
      </c>
      <c r="S210" s="75">
        <f t="shared" si="82"/>
        <v>49309</v>
      </c>
      <c r="T210" s="75">
        <f t="shared" si="82"/>
        <v>49674</v>
      </c>
      <c r="U210" s="75">
        <f t="shared" si="82"/>
        <v>50040</v>
      </c>
      <c r="V210" s="75">
        <f t="shared" si="82"/>
        <v>50405</v>
      </c>
      <c r="W210" s="75">
        <f t="shared" si="82"/>
        <v>50770</v>
      </c>
      <c r="X210" s="75">
        <f t="shared" si="82"/>
        <v>51135</v>
      </c>
      <c r="Y210" s="75">
        <f t="shared" si="82"/>
        <v>51501</v>
      </c>
      <c r="Z210" s="75">
        <f t="shared" si="82"/>
        <v>51866</v>
      </c>
    </row>
    <row r="211" spans="2:26">
      <c r="B211" s="15" t="s">
        <v>598</v>
      </c>
      <c r="F211" s="16">
        <v>0</v>
      </c>
      <c r="G211" s="16">
        <f t="shared" ref="G211:N211" si="83">+F214</f>
        <v>0</v>
      </c>
      <c r="H211" s="16">
        <f t="shared" si="83"/>
        <v>0</v>
      </c>
      <c r="I211" s="16">
        <f>+H214</f>
        <v>0</v>
      </c>
      <c r="J211" s="16">
        <f>+I214</f>
        <v>10800000</v>
      </c>
      <c r="K211" s="16">
        <f t="shared" si="83"/>
        <v>10800000</v>
      </c>
      <c r="L211" s="16">
        <f t="shared" si="83"/>
        <v>10800000</v>
      </c>
      <c r="M211" s="16">
        <f t="shared" si="83"/>
        <v>10800000</v>
      </c>
      <c r="N211" s="16">
        <f t="shared" si="83"/>
        <v>10800000</v>
      </c>
      <c r="O211" s="16">
        <f t="shared" ref="O211:Z211" si="84">+N214</f>
        <v>10800000</v>
      </c>
      <c r="P211" s="16">
        <f t="shared" si="84"/>
        <v>10800000</v>
      </c>
      <c r="Q211" s="16">
        <f t="shared" si="84"/>
        <v>10800000</v>
      </c>
      <c r="R211" s="16">
        <f t="shared" si="84"/>
        <v>10800000</v>
      </c>
      <c r="S211" s="16">
        <f t="shared" si="84"/>
        <v>10800000</v>
      </c>
      <c r="T211" s="16">
        <f t="shared" si="84"/>
        <v>10800000</v>
      </c>
      <c r="U211" s="16">
        <f t="shared" si="84"/>
        <v>10800000</v>
      </c>
      <c r="V211" s="16">
        <f t="shared" si="84"/>
        <v>10800000</v>
      </c>
      <c r="W211" s="16">
        <f t="shared" si="84"/>
        <v>10800000</v>
      </c>
      <c r="X211" s="16">
        <f t="shared" si="84"/>
        <v>10800000</v>
      </c>
      <c r="Y211" s="16">
        <f t="shared" si="84"/>
        <v>10800000</v>
      </c>
      <c r="Z211" s="16">
        <f t="shared" si="84"/>
        <v>10800000</v>
      </c>
    </row>
    <row r="212" spans="2:26">
      <c r="B212" s="15" t="s">
        <v>599</v>
      </c>
      <c r="F212" s="76">
        <f>+IF(YEAR(F$140)=YEAR(Assumptions!$F$26),'S&amp;U'!$R$18,0)</f>
        <v>0</v>
      </c>
      <c r="G212" s="76">
        <f>+IF(YEAR(G$140)=YEAR(Assumptions!$F$26),'S&amp;U'!$R$18,0)</f>
        <v>0</v>
      </c>
      <c r="H212" s="76">
        <f>+IF(YEAR(H$140)=YEAR(Assumptions!$F$26),'S&amp;U'!$R$18,0)</f>
        <v>0</v>
      </c>
      <c r="I212" s="76">
        <f>+IF(YEAR(I$140)=YEAR(Assumptions!$F$26),'S&amp;U'!$R$18,0)</f>
        <v>10800000</v>
      </c>
      <c r="J212" s="76">
        <f>+IF(YEAR(J$140)=YEAR(Assumptions!$F$26),'S&amp;U'!$R$18,0)</f>
        <v>0</v>
      </c>
      <c r="K212" s="76">
        <f>+IF(YEAR(K$140)=YEAR(Assumptions!$F$26),'S&amp;U'!$R$18,0)</f>
        <v>0</v>
      </c>
      <c r="L212" s="76">
        <f>+IF(YEAR(L$140)=YEAR(Assumptions!$F$26),'S&amp;U'!$R$18,0)</f>
        <v>0</v>
      </c>
      <c r="M212" s="76">
        <f>+IF(YEAR(M$140)=YEAR(Assumptions!$F$26),'S&amp;U'!$R$18,0)</f>
        <v>0</v>
      </c>
      <c r="N212" s="76">
        <f>+IF(YEAR(N$140)=YEAR(Assumptions!$F$26),'S&amp;U'!$R$18,0)</f>
        <v>0</v>
      </c>
      <c r="O212" s="76">
        <f>+IF(YEAR(O$140)=YEAR(Assumptions!$F$26),'S&amp;U'!$R$18,0)</f>
        <v>0</v>
      </c>
      <c r="P212" s="76">
        <f>+IF(YEAR(P$140)=YEAR(Assumptions!$F$26),'S&amp;U'!$R$18,0)</f>
        <v>0</v>
      </c>
      <c r="Q212" s="76">
        <f>+IF(YEAR(Q$140)=YEAR(Assumptions!$F$26),'S&amp;U'!$R$18,0)</f>
        <v>0</v>
      </c>
      <c r="R212" s="76">
        <f>+IF(YEAR(R$140)=YEAR(Assumptions!$F$26),'S&amp;U'!$R$18,0)</f>
        <v>0</v>
      </c>
      <c r="S212" s="76">
        <f>+IF(YEAR(S$140)=YEAR(Assumptions!$F$26),'S&amp;U'!$R$18,0)</f>
        <v>0</v>
      </c>
      <c r="T212" s="76">
        <f>+IF(YEAR(T$140)=YEAR(Assumptions!$F$26),'S&amp;U'!$R$18,0)</f>
        <v>0</v>
      </c>
      <c r="U212" s="76">
        <f>+IF(YEAR(U$140)=YEAR(Assumptions!$F$26),'S&amp;U'!$R$18,0)</f>
        <v>0</v>
      </c>
      <c r="V212" s="76">
        <f>+IF(YEAR(V$140)=YEAR(Assumptions!$F$26),'S&amp;U'!$R$18,0)</f>
        <v>0</v>
      </c>
      <c r="W212" s="76">
        <f>+IF(YEAR(W$140)=YEAR(Assumptions!$F$26),'S&amp;U'!$R$18,0)</f>
        <v>0</v>
      </c>
      <c r="X212" s="76">
        <f>+IF(YEAR(X$140)=YEAR(Assumptions!$F$26),'S&amp;U'!$R$18,0)</f>
        <v>0</v>
      </c>
      <c r="Y212" s="76">
        <f>+IF(YEAR(Y$140)=YEAR(Assumptions!$F$26),'S&amp;U'!$R$18,0)</f>
        <v>0</v>
      </c>
      <c r="Z212" s="76">
        <f>+IF(YEAR(Z$140)=YEAR(Assumptions!$F$26),'S&amp;U'!$R$18,0)</f>
        <v>0</v>
      </c>
    </row>
    <row r="213" spans="2:26">
      <c r="B213" s="15" t="s">
        <v>167</v>
      </c>
      <c r="F213" s="76">
        <v>0</v>
      </c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</row>
    <row r="214" spans="2:26">
      <c r="B214" s="15" t="s">
        <v>600</v>
      </c>
      <c r="F214" s="76">
        <f t="shared" ref="F214:N214" si="85">+SUM(F211:F213)</f>
        <v>0</v>
      </c>
      <c r="G214" s="76">
        <f t="shared" si="85"/>
        <v>0</v>
      </c>
      <c r="H214" s="76">
        <f t="shared" si="85"/>
        <v>0</v>
      </c>
      <c r="I214" s="76">
        <f t="shared" si="85"/>
        <v>10800000</v>
      </c>
      <c r="J214" s="76">
        <f t="shared" si="85"/>
        <v>10800000</v>
      </c>
      <c r="K214" s="76">
        <f t="shared" si="85"/>
        <v>10800000</v>
      </c>
      <c r="L214" s="76">
        <f t="shared" si="85"/>
        <v>10800000</v>
      </c>
      <c r="M214" s="76">
        <f t="shared" si="85"/>
        <v>10800000</v>
      </c>
      <c r="N214" s="76">
        <f t="shared" si="85"/>
        <v>10800000</v>
      </c>
      <c r="O214" s="76">
        <f t="shared" ref="O214" si="86">+SUM(O211:O213)</f>
        <v>10800000</v>
      </c>
      <c r="P214" s="76">
        <f t="shared" ref="P214" si="87">+SUM(P211:P213)</f>
        <v>10800000</v>
      </c>
      <c r="Q214" s="76">
        <f t="shared" ref="Q214" si="88">+SUM(Q211:Q213)</f>
        <v>10800000</v>
      </c>
      <c r="R214" s="76">
        <f t="shared" ref="R214" si="89">+SUM(R211:R213)</f>
        <v>10800000</v>
      </c>
      <c r="S214" s="76">
        <f t="shared" ref="S214" si="90">+SUM(S211:S213)</f>
        <v>10800000</v>
      </c>
      <c r="T214" s="76">
        <f t="shared" ref="T214" si="91">+SUM(T211:T213)</f>
        <v>10800000</v>
      </c>
      <c r="U214" s="76">
        <f t="shared" ref="U214" si="92">+SUM(U211:U213)</f>
        <v>10800000</v>
      </c>
      <c r="V214" s="76">
        <f t="shared" ref="V214" si="93">+SUM(V211:V213)</f>
        <v>10800000</v>
      </c>
      <c r="W214" s="76">
        <f t="shared" ref="W214" si="94">+SUM(W211:W213)</f>
        <v>10800000</v>
      </c>
      <c r="X214" s="76">
        <f t="shared" ref="X214" si="95">+SUM(X211:X213)</f>
        <v>10800000</v>
      </c>
      <c r="Y214" s="76">
        <f t="shared" ref="Y214" si="96">+SUM(Y211:Y213)</f>
        <v>10800000</v>
      </c>
      <c r="Z214" s="76">
        <f t="shared" ref="Z214" si="97">+SUM(Z211:Z213)</f>
        <v>10800000</v>
      </c>
    </row>
    <row r="216" spans="2:26">
      <c r="B216" s="21" t="s">
        <v>601</v>
      </c>
      <c r="F216" s="16">
        <f>+F214*Assumptions!$N$157</f>
        <v>0</v>
      </c>
      <c r="G216" s="16">
        <f>+G214*Assumptions!$N$157</f>
        <v>0</v>
      </c>
      <c r="H216" s="16">
        <f>+H214*Assumptions!$N$157</f>
        <v>0</v>
      </c>
      <c r="I216" s="16">
        <f>+I214*Assumptions!$N$157</f>
        <v>648000</v>
      </c>
      <c r="J216" s="16">
        <f>+J214*Assumptions!$N$157</f>
        <v>648000</v>
      </c>
      <c r="K216" s="16">
        <f>+K214*Assumptions!$N$157</f>
        <v>648000</v>
      </c>
      <c r="L216" s="16">
        <f>+L214*Assumptions!$N$157</f>
        <v>648000</v>
      </c>
      <c r="M216" s="16">
        <f>+M214*Assumptions!$N$157</f>
        <v>648000</v>
      </c>
      <c r="N216" s="16">
        <f>+N214*Assumptions!$N$157</f>
        <v>648000</v>
      </c>
      <c r="O216" s="16">
        <f>+O214*Assumptions!$N$157</f>
        <v>648000</v>
      </c>
      <c r="P216" s="16">
        <f>+P214*Assumptions!$N$157</f>
        <v>648000</v>
      </c>
      <c r="Q216" s="16">
        <f>+Q214*Assumptions!$N$157</f>
        <v>648000</v>
      </c>
      <c r="R216" s="16">
        <f>+R214*Assumptions!$N$157</f>
        <v>648000</v>
      </c>
      <c r="S216" s="16">
        <f>+S214*Assumptions!$N$157</f>
        <v>648000</v>
      </c>
      <c r="T216" s="16">
        <f>+T214*Assumptions!$N$157</f>
        <v>648000</v>
      </c>
      <c r="U216" s="16">
        <f>+U214*Assumptions!$N$157</f>
        <v>648000</v>
      </c>
      <c r="V216" s="16">
        <f>+V214*Assumptions!$N$157</f>
        <v>648000</v>
      </c>
      <c r="W216" s="16">
        <f>+W214*Assumptions!$N$157</f>
        <v>648000</v>
      </c>
      <c r="X216" s="16">
        <f>+X214*Assumptions!$N$157</f>
        <v>648000</v>
      </c>
      <c r="Y216" s="16">
        <f>+Y214*Assumptions!$N$157</f>
        <v>648000</v>
      </c>
      <c r="Z216" s="16">
        <f>+Z214*Assumptions!$N$157</f>
        <v>648000</v>
      </c>
    </row>
    <row r="217" spans="2:26">
      <c r="B217" s="62" t="s">
        <v>602</v>
      </c>
      <c r="C217" s="62"/>
      <c r="D217" s="62"/>
      <c r="E217" s="62"/>
      <c r="F217" s="58">
        <f t="shared" ref="F217" si="98">+F216-F213</f>
        <v>0</v>
      </c>
      <c r="G217" s="58">
        <f t="shared" ref="G217" si="99">+G216-G213</f>
        <v>0</v>
      </c>
      <c r="H217" s="58">
        <f t="shared" ref="H217" si="100">+H216-H213</f>
        <v>0</v>
      </c>
      <c r="I217" s="58">
        <f t="shared" ref="I217" si="101">+I216-I213</f>
        <v>648000</v>
      </c>
      <c r="J217" s="58">
        <f t="shared" ref="J217" si="102">+J216-J213</f>
        <v>648000</v>
      </c>
      <c r="K217" s="58">
        <f t="shared" ref="K217" si="103">+K216-K213</f>
        <v>648000</v>
      </c>
      <c r="L217" s="58">
        <f>+L216-L213</f>
        <v>648000</v>
      </c>
      <c r="M217" s="58">
        <f t="shared" ref="M217" si="104">+M216-M213</f>
        <v>648000</v>
      </c>
      <c r="N217" s="58">
        <f t="shared" ref="N217" si="105">+N216-N213</f>
        <v>648000</v>
      </c>
      <c r="O217" s="58">
        <f t="shared" ref="O217" si="106">+O216-O213</f>
        <v>648000</v>
      </c>
      <c r="P217" s="58">
        <f t="shared" ref="P217" si="107">+P216-P213</f>
        <v>648000</v>
      </c>
      <c r="Q217" s="58">
        <f t="shared" ref="Q217" si="108">+Q216-Q213</f>
        <v>648000</v>
      </c>
      <c r="R217" s="58">
        <f t="shared" ref="R217" si="109">+R216-R213</f>
        <v>648000</v>
      </c>
      <c r="S217" s="58">
        <f t="shared" ref="S217" si="110">+S216-S213</f>
        <v>648000</v>
      </c>
      <c r="T217" s="58">
        <f t="shared" ref="T217" si="111">+T216-T213</f>
        <v>648000</v>
      </c>
      <c r="U217" s="58">
        <f t="shared" ref="U217" si="112">+U216-U213</f>
        <v>648000</v>
      </c>
      <c r="V217" s="58">
        <f t="shared" ref="V217" si="113">+V216-V213</f>
        <v>648000</v>
      </c>
      <c r="W217" s="58">
        <f t="shared" ref="W217" si="114">+W216-W213</f>
        <v>648000</v>
      </c>
      <c r="X217" s="58">
        <f t="shared" ref="X217" si="115">+X216-X213</f>
        <v>648000</v>
      </c>
      <c r="Y217" s="58">
        <f t="shared" ref="Y217" si="116">+Y216-Y213</f>
        <v>648000</v>
      </c>
      <c r="Z217" s="58">
        <f t="shared" ref="Z217" si="117">+Z216-Z213</f>
        <v>648000</v>
      </c>
    </row>
    <row r="218" spans="2:26">
      <c r="B218" s="71" t="s">
        <v>165</v>
      </c>
      <c r="F218" s="89" t="str">
        <f t="shared" ref="F218:J218" si="118">+IFERROR(F206/F217,"")</f>
        <v/>
      </c>
      <c r="G218" s="89" t="str">
        <f t="shared" si="118"/>
        <v/>
      </c>
      <c r="H218" s="89" t="str">
        <f t="shared" si="118"/>
        <v/>
      </c>
      <c r="I218" s="89">
        <f t="shared" ca="1" si="118"/>
        <v>2.3699571702046693</v>
      </c>
      <c r="J218" s="89">
        <f t="shared" ca="1" si="118"/>
        <v>5.2829806178802912</v>
      </c>
      <c r="K218" s="89">
        <f ca="1">+IFERROR(K206/K217,"")</f>
        <v>5.635598129037275</v>
      </c>
      <c r="L218" s="89">
        <f t="shared" ref="L218:Z218" ca="1" si="119">+IFERROR(L206/L217,"")</f>
        <v>5.7483100916180181</v>
      </c>
      <c r="M218" s="89">
        <f t="shared" ca="1" si="119"/>
        <v>5.8632762934503795</v>
      </c>
      <c r="N218" s="89">
        <f t="shared" ca="1" si="119"/>
        <v>5.9805418193193853</v>
      </c>
      <c r="O218" s="89">
        <f t="shared" ca="1" si="119"/>
        <v>6.1001526557057719</v>
      </c>
      <c r="P218" s="89">
        <f t="shared" ca="1" si="119"/>
        <v>6.2221557088198889</v>
      </c>
      <c r="Q218" s="89">
        <f t="shared" ca="1" si="119"/>
        <v>6.3465988229962873</v>
      </c>
      <c r="R218" s="89">
        <f t="shared" ca="1" si="119"/>
        <v>6.4735307994562126</v>
      </c>
      <c r="S218" s="89">
        <f t="shared" ca="1" si="119"/>
        <v>6.6030014154453385</v>
      </c>
      <c r="T218" s="89">
        <f t="shared" ca="1" si="119"/>
        <v>6.7350614437542475</v>
      </c>
      <c r="U218" s="89">
        <f t="shared" ca="1" si="119"/>
        <v>6.8697626726293279</v>
      </c>
      <c r="V218" s="89">
        <f t="shared" ca="1" si="119"/>
        <v>7.0071579260819172</v>
      </c>
      <c r="W218" s="89">
        <f t="shared" ca="1" si="119"/>
        <v>7.1473010846035523</v>
      </c>
      <c r="X218" s="89">
        <f t="shared" ca="1" si="119"/>
        <v>7.2902471062956309</v>
      </c>
      <c r="Y218" s="89">
        <f t="shared" ca="1" si="119"/>
        <v>7.436052048421538</v>
      </c>
      <c r="Z218" s="89">
        <f t="shared" ca="1" si="119"/>
        <v>7.5847730893899694</v>
      </c>
    </row>
    <row r="220" spans="2:26">
      <c r="B220" s="21" t="s">
        <v>161</v>
      </c>
      <c r="F220" s="16">
        <f>+F212*Assumptions!$N$158</f>
        <v>0</v>
      </c>
      <c r="G220" s="16">
        <f>+G212*Assumptions!$N$158</f>
        <v>0</v>
      </c>
      <c r="H220" s="16">
        <f>+H212*Assumptions!$N$158</f>
        <v>0</v>
      </c>
      <c r="I220" s="16">
        <f>+I212*Assumptions!$N$158</f>
        <v>108000</v>
      </c>
      <c r="J220" s="16">
        <f>+J212*Assumptions!$N$158</f>
        <v>0</v>
      </c>
      <c r="K220" s="16">
        <f>+K212*Assumptions!$N$158</f>
        <v>0</v>
      </c>
      <c r="L220" s="16">
        <f>+L212*Assumptions!$N$158</f>
        <v>0</v>
      </c>
      <c r="M220" s="16">
        <f>+M212*Assumptions!$N$158</f>
        <v>0</v>
      </c>
      <c r="N220" s="16">
        <f>+N212*Assumptions!$N$158</f>
        <v>0</v>
      </c>
      <c r="O220" s="16">
        <f>+O212*Assumptions!$N$158</f>
        <v>0</v>
      </c>
      <c r="P220" s="16">
        <f>+P212*Assumptions!$N$158</f>
        <v>0</v>
      </c>
      <c r="Q220" s="16">
        <f>+Q212*Assumptions!$N$158</f>
        <v>0</v>
      </c>
      <c r="R220" s="16">
        <f>+R212*Assumptions!$N$158</f>
        <v>0</v>
      </c>
      <c r="S220" s="16">
        <f>+S212*Assumptions!$N$158</f>
        <v>0</v>
      </c>
      <c r="T220" s="16">
        <f>+T212*Assumptions!$N$158</f>
        <v>0</v>
      </c>
      <c r="U220" s="16">
        <f>+U212*Assumptions!$N$158</f>
        <v>0</v>
      </c>
      <c r="V220" s="16">
        <f>+V212*Assumptions!$N$158</f>
        <v>0</v>
      </c>
      <c r="W220" s="16">
        <f>+W212*Assumptions!$N$158</f>
        <v>0</v>
      </c>
      <c r="X220" s="16">
        <f>+X212*Assumptions!$N$158</f>
        <v>0</v>
      </c>
      <c r="Y220" s="16">
        <f>+Y212*Assumptions!$N$158</f>
        <v>0</v>
      </c>
      <c r="Z220" s="16">
        <f>+Z212*Assumptions!$N$158</f>
        <v>0</v>
      </c>
    </row>
    <row r="222" spans="2:26">
      <c r="B222" s="62" t="s">
        <v>603</v>
      </c>
      <c r="C222" s="62"/>
      <c r="D222" s="62"/>
      <c r="E222" s="62"/>
      <c r="F222" s="58">
        <f>+F206-F217-F220</f>
        <v>0</v>
      </c>
      <c r="G222" s="58">
        <f t="shared" ref="G222:H222" si="120">+G206-G217-G220</f>
        <v>0</v>
      </c>
      <c r="H222" s="58">
        <f t="shared" si="120"/>
        <v>0</v>
      </c>
      <c r="I222" s="58">
        <f t="shared" ref="I222:Z222" ca="1" si="121">+I206-I217-I220</f>
        <v>779732.24629262579</v>
      </c>
      <c r="J222" s="58">
        <f t="shared" ca="1" si="121"/>
        <v>2775371.4403864285</v>
      </c>
      <c r="K222" s="58">
        <f t="shared" ca="1" si="121"/>
        <v>3003867.5876161545</v>
      </c>
      <c r="L222" s="58">
        <f t="shared" ca="1" si="121"/>
        <v>3076904.9393684757</v>
      </c>
      <c r="M222" s="58">
        <f t="shared" ca="1" si="121"/>
        <v>3151403.0381558458</v>
      </c>
      <c r="N222" s="58">
        <f t="shared" ca="1" si="121"/>
        <v>3227391.0989189618</v>
      </c>
      <c r="O222" s="58">
        <f t="shared" ca="1" si="121"/>
        <v>3304898.9208973399</v>
      </c>
      <c r="P222" s="58">
        <f t="shared" ca="1" si="121"/>
        <v>3383956.8993152878</v>
      </c>
      <c r="Q222" s="58">
        <f t="shared" ca="1" si="121"/>
        <v>3464596.0373015944</v>
      </c>
      <c r="R222" s="58">
        <f t="shared" ca="1" si="121"/>
        <v>3546847.9580476256</v>
      </c>
      <c r="S222" s="58">
        <f t="shared" ca="1" si="121"/>
        <v>3630744.9172085794</v>
      </c>
      <c r="T222" s="58">
        <f t="shared" ca="1" si="121"/>
        <v>3716319.8155527525</v>
      </c>
      <c r="U222" s="58">
        <f t="shared" ca="1" si="121"/>
        <v>3803606.2118638046</v>
      </c>
      <c r="V222" s="58">
        <f t="shared" ca="1" si="121"/>
        <v>3892638.3361010822</v>
      </c>
      <c r="W222" s="671">
        <f t="shared" ca="1" si="121"/>
        <v>3983451.1028231019</v>
      </c>
      <c r="X222" s="58">
        <f t="shared" ca="1" si="121"/>
        <v>4076080.1248795688</v>
      </c>
      <c r="Y222" s="58">
        <f t="shared" ca="1" si="121"/>
        <v>4170561.7273771567</v>
      </c>
      <c r="Z222" s="58">
        <f t="shared" ca="1" si="121"/>
        <v>4266932.9619247001</v>
      </c>
    </row>
    <row r="224" spans="2:26">
      <c r="B224" s="73" t="s">
        <v>604</v>
      </c>
    </row>
    <row r="225" spans="2:26">
      <c r="B225" s="15" t="s">
        <v>605</v>
      </c>
      <c r="F225" s="16">
        <f>+IF(YEAR(F$140)=YEAR(Assumptions!$F$30),F208,0)</f>
        <v>0</v>
      </c>
      <c r="G225" s="16">
        <f>+IF(YEAR(G$140)=YEAR(Assumptions!$F$30),G208,0)</f>
        <v>0</v>
      </c>
      <c r="H225" s="16">
        <f>+IF(YEAR(H$140)=YEAR(Assumptions!$F$30),H208,0)</f>
        <v>0</v>
      </c>
      <c r="I225" s="16">
        <f>+IF(YEAR(I$140)=YEAR(Assumptions!$F$30),I208,0)</f>
        <v>0</v>
      </c>
      <c r="J225" s="16">
        <f>+IF(YEAR(J$140)=YEAR(Assumptions!$F$30),J208,0)</f>
        <v>0</v>
      </c>
      <c r="K225" s="16">
        <f>+IF(YEAR(K$140)=YEAR(Assumptions!$F$30),K208,0)</f>
        <v>0</v>
      </c>
      <c r="L225" s="16">
        <f>+IF(YEAR(L$140)=YEAR(Assumptions!$F$30),L208,0)</f>
        <v>0</v>
      </c>
      <c r="M225" s="16">
        <f>+IF(YEAR(M$140)=YEAR(Assumptions!$F$30),M208,0)</f>
        <v>0</v>
      </c>
      <c r="N225" s="16">
        <f>+IF(YEAR(N$140)=YEAR(Assumptions!$F$30),N208,0)</f>
        <v>0</v>
      </c>
      <c r="O225" s="16">
        <f>+IF(YEAR(O$140)=YEAR(Assumptions!$F$30),O208,0)</f>
        <v>0</v>
      </c>
      <c r="P225" s="16">
        <f ca="1">+IF(YEAR(P$140)=YEAR(Assumptions!$F$30),P208,0)</f>
        <v>66906741.291370757</v>
      </c>
      <c r="Q225" s="16">
        <f>+IF(YEAR(Q$140)=YEAR(Assumptions!$F$30),Q208,0)</f>
        <v>0</v>
      </c>
      <c r="R225" s="16">
        <f>+IF(YEAR(R$140)=YEAR(Assumptions!$F$30),R208,0)</f>
        <v>0</v>
      </c>
      <c r="S225" s="16">
        <f>+IF(YEAR(S$140)=YEAR(Assumptions!$F$30),S208,0)</f>
        <v>0</v>
      </c>
      <c r="T225" s="16">
        <f>+IF(YEAR(T$140)=YEAR(Assumptions!$F$30),T208,0)</f>
        <v>0</v>
      </c>
      <c r="U225" s="16">
        <f>+IF(YEAR(U$140)=YEAR(Assumptions!$F$30),U208,0)</f>
        <v>0</v>
      </c>
      <c r="V225" s="16">
        <f>+IF(YEAR(V$140)=YEAR(Assumptions!$F$30),V208,0)</f>
        <v>0</v>
      </c>
      <c r="W225" s="16">
        <f>+IF(YEAR(W$140)=YEAR(Assumptions!$F$30),W208,0)</f>
        <v>0</v>
      </c>
      <c r="X225" s="16">
        <f>+IF(YEAR(X$140)=YEAR(Assumptions!$F$30),X208,0)</f>
        <v>0</v>
      </c>
      <c r="Y225" s="16">
        <f>+IF(YEAR(Y$140)=YEAR(Assumptions!$F$30),Y208,0)</f>
        <v>0</v>
      </c>
      <c r="Z225" s="16">
        <f>+IF(YEAR(Z$140)=YEAR(Assumptions!$F$30),Z208,0)</f>
        <v>0</v>
      </c>
    </row>
    <row r="226" spans="2:26">
      <c r="B226" s="15" t="s">
        <v>607</v>
      </c>
      <c r="F226" s="76">
        <f>-F225*Assumptions!$N$136</f>
        <v>0</v>
      </c>
      <c r="G226" s="76">
        <f>-G225*Assumptions!$N$136</f>
        <v>0</v>
      </c>
      <c r="H226" s="76">
        <f>-H225*Assumptions!$N$136</f>
        <v>0</v>
      </c>
      <c r="I226" s="76">
        <f>-I225*Assumptions!$N$136</f>
        <v>0</v>
      </c>
      <c r="J226" s="76">
        <f>-J225*Assumptions!$N$136</f>
        <v>0</v>
      </c>
      <c r="K226" s="76">
        <f>-K225*Assumptions!$N$136</f>
        <v>0</v>
      </c>
      <c r="L226" s="76">
        <f>-L225*Assumptions!$N$136</f>
        <v>0</v>
      </c>
      <c r="M226" s="76">
        <f>-M225*Assumptions!$N$136</f>
        <v>0</v>
      </c>
      <c r="N226" s="76">
        <f>-N225*Assumptions!$N$136</f>
        <v>0</v>
      </c>
      <c r="O226" s="76">
        <f>-O225*Assumptions!$N$136</f>
        <v>0</v>
      </c>
      <c r="P226" s="76">
        <f ca="1">-P225*Assumptions!$N$136</f>
        <v>-1338134.8258274151</v>
      </c>
      <c r="Q226" s="76">
        <f>-Q225*Assumptions!$N$136</f>
        <v>0</v>
      </c>
      <c r="R226" s="76">
        <f>-R225*Assumptions!$N$136</f>
        <v>0</v>
      </c>
      <c r="S226" s="76">
        <f>-S225*Assumptions!$N$136</f>
        <v>0</v>
      </c>
      <c r="T226" s="76">
        <f>-T225*Assumptions!$N$136</f>
        <v>0</v>
      </c>
      <c r="U226" s="76">
        <f>-U225*Assumptions!$N$136</f>
        <v>0</v>
      </c>
      <c r="V226" s="76">
        <f>-V225*Assumptions!$N$136</f>
        <v>0</v>
      </c>
      <c r="W226" s="76">
        <f>-W225*Assumptions!$N$136</f>
        <v>0</v>
      </c>
      <c r="X226" s="76">
        <f>-X225*Assumptions!$N$136</f>
        <v>0</v>
      </c>
      <c r="Y226" s="76">
        <f>-Y225*Assumptions!$N$136</f>
        <v>0</v>
      </c>
      <c r="Z226" s="76">
        <f>-Z225*Assumptions!$N$136</f>
        <v>0</v>
      </c>
    </row>
    <row r="227" spans="2:26">
      <c r="B227" s="15" t="s">
        <v>608</v>
      </c>
      <c r="F227" s="76">
        <f>+IF(YEAR(F$140)=YEAR(Assumptions!$F$30),-F214,0)</f>
        <v>0</v>
      </c>
      <c r="G227" s="76">
        <f>+IF(YEAR(G$140)=YEAR(Assumptions!$F$30),-G214,0)</f>
        <v>0</v>
      </c>
      <c r="H227" s="76">
        <f>+IF(YEAR(H$140)=YEAR(Assumptions!$F$30),-H214,0)</f>
        <v>0</v>
      </c>
      <c r="I227" s="76">
        <f>+IF(YEAR(I$140)=YEAR(Assumptions!$F$30),-I214,0)</f>
        <v>0</v>
      </c>
      <c r="J227" s="76">
        <f>+IF(YEAR(J$140)=YEAR(Assumptions!$F$30),-J214,0)</f>
        <v>0</v>
      </c>
      <c r="K227" s="76">
        <f>+IF(YEAR(K$140)=YEAR(Assumptions!$F$30),-K214,0)</f>
        <v>0</v>
      </c>
      <c r="L227" s="76">
        <f>+IF(YEAR(L$140)=YEAR(Assumptions!$F$30),-L214,0)</f>
        <v>0</v>
      </c>
      <c r="M227" s="76">
        <f>+IF(YEAR(M$140)=YEAR(Assumptions!$F$30),-M214,0)</f>
        <v>0</v>
      </c>
      <c r="N227" s="76">
        <f>+IF(YEAR(N$140)=YEAR(Assumptions!$F$30),-N214,0)</f>
        <v>0</v>
      </c>
      <c r="O227" s="76">
        <f>+IF(YEAR(O$140)=YEAR(Assumptions!$F$30),-O214,0)</f>
        <v>0</v>
      </c>
      <c r="P227" s="76">
        <f>+IF(YEAR(P$140)=YEAR(Assumptions!$F$30),-P214,0)</f>
        <v>-10800000</v>
      </c>
      <c r="Q227" s="76">
        <f>+IF(YEAR(Q$140)=YEAR(Assumptions!$F$30),-Q214,0)</f>
        <v>0</v>
      </c>
      <c r="R227" s="76">
        <f>+IF(YEAR(R$140)=YEAR(Assumptions!$F$30),-R214,0)</f>
        <v>0</v>
      </c>
      <c r="S227" s="76">
        <f>+IF(YEAR(S$140)=YEAR(Assumptions!$F$30),-S214,0)</f>
        <v>0</v>
      </c>
      <c r="T227" s="76">
        <f>+IF(YEAR(T$140)=YEAR(Assumptions!$F$30),-T214,0)</f>
        <v>0</v>
      </c>
      <c r="U227" s="76">
        <f>+IF(YEAR(U$140)=YEAR(Assumptions!$F$30),-U214,0)</f>
        <v>0</v>
      </c>
      <c r="V227" s="76">
        <f>+IF(YEAR(V$140)=YEAR(Assumptions!$F$30),-V214,0)</f>
        <v>0</v>
      </c>
      <c r="W227" s="76">
        <f>+IF(YEAR(W$140)=YEAR(Assumptions!$F$30),-W214,0)</f>
        <v>0</v>
      </c>
      <c r="X227" s="76">
        <f>+IF(YEAR(X$140)=YEAR(Assumptions!$F$30),-X214,0)</f>
        <v>0</v>
      </c>
      <c r="Y227" s="76">
        <f>+IF(YEAR(Y$140)=YEAR(Assumptions!$F$30),-Y214,0)</f>
        <v>0</v>
      </c>
      <c r="Z227" s="76">
        <f>+IF(YEAR(Z$140)=YEAR(Assumptions!$F$30),-Z214,0)</f>
        <v>0</v>
      </c>
    </row>
    <row r="228" spans="2:26">
      <c r="B228" s="62" t="s">
        <v>609</v>
      </c>
      <c r="C228" s="62"/>
      <c r="D228" s="62"/>
      <c r="E228" s="62"/>
      <c r="F228" s="58">
        <f t="shared" ref="F228:Z228" si="122">+SUM(F225:F227)</f>
        <v>0</v>
      </c>
      <c r="G228" s="58">
        <f t="shared" si="122"/>
        <v>0</v>
      </c>
      <c r="H228" s="58">
        <f t="shared" si="122"/>
        <v>0</v>
      </c>
      <c r="I228" s="58">
        <f t="shared" si="122"/>
        <v>0</v>
      </c>
      <c r="J228" s="58">
        <f t="shared" si="122"/>
        <v>0</v>
      </c>
      <c r="K228" s="58">
        <f t="shared" si="122"/>
        <v>0</v>
      </c>
      <c r="L228" s="58">
        <f t="shared" si="122"/>
        <v>0</v>
      </c>
      <c r="M228" s="58">
        <f t="shared" si="122"/>
        <v>0</v>
      </c>
      <c r="N228" s="58">
        <f t="shared" si="122"/>
        <v>0</v>
      </c>
      <c r="O228" s="58">
        <f t="shared" si="122"/>
        <v>0</v>
      </c>
      <c r="P228" s="58">
        <f ca="1">+SUM(P225:P227)</f>
        <v>54768606.465543345</v>
      </c>
      <c r="Q228" s="58">
        <f t="shared" si="122"/>
        <v>0</v>
      </c>
      <c r="R228" s="58">
        <f t="shared" si="122"/>
        <v>0</v>
      </c>
      <c r="S228" s="58">
        <f t="shared" si="122"/>
        <v>0</v>
      </c>
      <c r="T228" s="58">
        <f t="shared" si="122"/>
        <v>0</v>
      </c>
      <c r="U228" s="58">
        <f t="shared" si="122"/>
        <v>0</v>
      </c>
      <c r="V228" s="58">
        <f t="shared" si="122"/>
        <v>0</v>
      </c>
      <c r="W228" s="58">
        <f t="shared" si="122"/>
        <v>0</v>
      </c>
      <c r="X228" s="58">
        <f t="shared" si="122"/>
        <v>0</v>
      </c>
      <c r="Y228" s="58">
        <f t="shared" si="122"/>
        <v>0</v>
      </c>
      <c r="Z228" s="58">
        <f t="shared" si="122"/>
        <v>0</v>
      </c>
    </row>
    <row r="230" spans="2:26">
      <c r="B230" s="653" t="s">
        <v>611</v>
      </c>
      <c r="C230" s="653"/>
      <c r="D230" s="653"/>
      <c r="E230" s="653"/>
      <c r="F230" s="544">
        <f>+IF(YEAR(F$140)&lt;=YEAR(Assumptions!$F$30),'Phase I Pro Forma'!F228+'Phase I Pro Forma'!F222,0)</f>
        <v>0</v>
      </c>
      <c r="G230" s="544">
        <f>+IF(YEAR(G$140)&lt;=YEAR(Assumptions!$F$30),'Phase I Pro Forma'!G228+'Phase I Pro Forma'!G222,0)</f>
        <v>0</v>
      </c>
      <c r="H230" s="544">
        <f>+IF(YEAR(H$140)&lt;=YEAR(Assumptions!$F$30),'Phase I Pro Forma'!H228+'Phase I Pro Forma'!H222,0)</f>
        <v>0</v>
      </c>
      <c r="I230" s="544">
        <f ca="1">+IF(YEAR(I$140)&lt;=YEAR(Assumptions!$F$30),'Phase I Pro Forma'!I228+'Phase I Pro Forma'!I222,0)</f>
        <v>779732.24629262579</v>
      </c>
      <c r="J230" s="544">
        <f ca="1">+IF(YEAR(J$140)&lt;=YEAR(Assumptions!$F$30),'Phase I Pro Forma'!J228+'Phase I Pro Forma'!J222,0)</f>
        <v>2775371.4403864285</v>
      </c>
      <c r="K230" s="544">
        <f ca="1">+IF(YEAR(K$140)&lt;=YEAR(Assumptions!$F$30),'Phase I Pro Forma'!K228+'Phase I Pro Forma'!K222,0)</f>
        <v>3003867.5876161545</v>
      </c>
      <c r="L230" s="544">
        <f ca="1">+IF(YEAR(L$140)&lt;=YEAR(Assumptions!$F$30),'Phase I Pro Forma'!L228+'Phase I Pro Forma'!L222,0)</f>
        <v>3076904.9393684757</v>
      </c>
      <c r="M230" s="544">
        <f ca="1">+IF(YEAR(M$140)&lt;=YEAR(Assumptions!$F$30),'Phase I Pro Forma'!M228+'Phase I Pro Forma'!M222,0)</f>
        <v>3151403.0381558458</v>
      </c>
      <c r="N230" s="544">
        <f ca="1">+IF(YEAR(N$140)&lt;=YEAR(Assumptions!$F$30),'Phase I Pro Forma'!N228+'Phase I Pro Forma'!N222,0)</f>
        <v>3227391.0989189618</v>
      </c>
      <c r="O230" s="544">
        <f ca="1">+IF(YEAR(O$140)&lt;=YEAR(Assumptions!$F$30),'Phase I Pro Forma'!O228+'Phase I Pro Forma'!O222,0)</f>
        <v>3304898.9208973399</v>
      </c>
      <c r="P230" s="544">
        <f ca="1">+IF(YEAR(P$140)&lt;=YEAR(Assumptions!$F$30),'Phase I Pro Forma'!P228+'Phase I Pro Forma'!P222,0)</f>
        <v>58152563.364858635</v>
      </c>
      <c r="Q230" s="544">
        <f>+IF(YEAR(Q$140)&lt;=YEAR(Assumptions!$F$30),'Phase I Pro Forma'!Q228+'Phase I Pro Forma'!Q222,0)</f>
        <v>0</v>
      </c>
      <c r="R230" s="544">
        <f>+IF(YEAR(R$140)&lt;=YEAR(Assumptions!$F$30),'Phase I Pro Forma'!R228+'Phase I Pro Forma'!R222,0)</f>
        <v>0</v>
      </c>
      <c r="S230" s="544">
        <f>+IF(YEAR(S$140)&lt;=YEAR(Assumptions!$F$30),'Phase I Pro Forma'!S228+'Phase I Pro Forma'!S222,0)</f>
        <v>0</v>
      </c>
      <c r="T230" s="544">
        <f>+IF(YEAR(T$140)&lt;=YEAR(Assumptions!$F$30),'Phase I Pro Forma'!T228+'Phase I Pro Forma'!T222,0)</f>
        <v>0</v>
      </c>
      <c r="U230" s="544">
        <f>+IF(YEAR(U$140)&lt;=YEAR(Assumptions!$F$30),'Phase I Pro Forma'!U228+'Phase I Pro Forma'!U222,0)</f>
        <v>0</v>
      </c>
      <c r="V230" s="544">
        <f>+IF(YEAR(V$140)&lt;=YEAR(Assumptions!$F$30),'Phase I Pro Forma'!V228+'Phase I Pro Forma'!V222,0)</f>
        <v>0</v>
      </c>
      <c r="W230" s="544">
        <f>+IF(YEAR(W$140)&lt;=YEAR(Assumptions!$F$30),'Phase I Pro Forma'!W228+'Phase I Pro Forma'!W222,0)</f>
        <v>0</v>
      </c>
      <c r="X230" s="544">
        <f>+IF(YEAR(X$140)&lt;=YEAR(Assumptions!$F$30),'Phase I Pro Forma'!X228+'Phase I Pro Forma'!X222,0)</f>
        <v>0</v>
      </c>
      <c r="Y230" s="544">
        <f>+IF(YEAR(Y$140)&lt;=YEAR(Assumptions!$F$30),'Phase I Pro Forma'!Y228+'Phase I Pro Forma'!Y222,0)</f>
        <v>0</v>
      </c>
      <c r="Z230" s="544">
        <f>+IF(YEAR(Z$140)&lt;=YEAR(Assumptions!$F$30),'Phase I Pro Forma'!Z228+'Phase I Pro Forma'!Z222,0)</f>
        <v>0</v>
      </c>
    </row>
    <row r="232" spans="2:26">
      <c r="B232" s="440" t="s">
        <v>629</v>
      </c>
      <c r="C232" s="441"/>
      <c r="D232" s="441"/>
      <c r="E232" s="441"/>
      <c r="F232" s="611"/>
      <c r="G232" s="611"/>
      <c r="H232" s="611"/>
      <c r="I232" s="611"/>
      <c r="J232" s="611"/>
      <c r="K232" s="611"/>
      <c r="L232" s="611"/>
      <c r="M232" s="611"/>
      <c r="N232" s="611"/>
      <c r="O232" s="611"/>
      <c r="P232" s="611"/>
      <c r="Q232" s="611"/>
      <c r="R232" s="611"/>
      <c r="S232" s="611"/>
      <c r="T232" s="611"/>
      <c r="U232" s="611"/>
      <c r="V232" s="611"/>
      <c r="W232" s="611"/>
      <c r="X232" s="611"/>
      <c r="Y232" s="611"/>
      <c r="Z232" s="611"/>
    </row>
    <row r="234" spans="2:26">
      <c r="B234" s="73" t="s">
        <v>332</v>
      </c>
      <c r="C234" s="74"/>
      <c r="D234" s="74"/>
      <c r="E234" s="74"/>
      <c r="F234" s="75">
        <f>+Assumptions!$F$22</f>
        <v>44561</v>
      </c>
      <c r="G234" s="75">
        <f>+EOMONTH(F234,12)</f>
        <v>44926</v>
      </c>
      <c r="H234" s="75">
        <f t="shared" ref="H234:Z234" si="123">+EOMONTH(G234,12)</f>
        <v>45291</v>
      </c>
      <c r="I234" s="75">
        <f>+EOMONTH(H234,12)</f>
        <v>45657</v>
      </c>
      <c r="J234" s="75">
        <f>+EOMONTH(I234,12)</f>
        <v>46022</v>
      </c>
      <c r="K234" s="75">
        <f t="shared" si="123"/>
        <v>46387</v>
      </c>
      <c r="L234" s="75">
        <f t="shared" si="123"/>
        <v>46752</v>
      </c>
      <c r="M234" s="75">
        <f t="shared" si="123"/>
        <v>47118</v>
      </c>
      <c r="N234" s="75">
        <f t="shared" si="123"/>
        <v>47483</v>
      </c>
      <c r="O234" s="75">
        <f t="shared" si="123"/>
        <v>47848</v>
      </c>
      <c r="P234" s="75">
        <f t="shared" si="123"/>
        <v>48213</v>
      </c>
      <c r="Q234" s="75">
        <f t="shared" si="123"/>
        <v>48579</v>
      </c>
      <c r="R234" s="75">
        <f t="shared" si="123"/>
        <v>48944</v>
      </c>
      <c r="S234" s="75">
        <f t="shared" si="123"/>
        <v>49309</v>
      </c>
      <c r="T234" s="75">
        <f t="shared" si="123"/>
        <v>49674</v>
      </c>
      <c r="U234" s="75">
        <f t="shared" si="123"/>
        <v>50040</v>
      </c>
      <c r="V234" s="75">
        <f t="shared" si="123"/>
        <v>50405</v>
      </c>
      <c r="W234" s="75">
        <f t="shared" si="123"/>
        <v>50770</v>
      </c>
      <c r="X234" s="75">
        <f t="shared" si="123"/>
        <v>51135</v>
      </c>
      <c r="Y234" s="75">
        <f t="shared" si="123"/>
        <v>51501</v>
      </c>
      <c r="Z234" s="75">
        <f t="shared" si="123"/>
        <v>51866</v>
      </c>
    </row>
    <row r="235" spans="2:26">
      <c r="B235" s="15" t="s">
        <v>575</v>
      </c>
      <c r="C235" s="15"/>
      <c r="D235" s="20"/>
      <c r="E235" s="20"/>
      <c r="F235" s="22">
        <f>+IF(AND(F234&gt;=Assumptions!$F$26,F234&lt;Assumptions!$F$28),Assumptions!$F$218/ROUNDUP((Assumptions!$F$27/12),0),0)</f>
        <v>0</v>
      </c>
      <c r="G235" s="22">
        <f>+IF(AND(G234&gt;=Assumptions!$F$26,G234&lt;Assumptions!$F$28),Assumptions!$F$218/ROUNDUP((Assumptions!$F$27/12),0),0)</f>
        <v>0</v>
      </c>
      <c r="H235" s="22">
        <f>+IF(AND(H234&gt;=Assumptions!$F$26,H234&lt;Assumptions!$F$28),Assumptions!$F$218/ROUNDUP((Assumptions!$F$27/12),0),0)</f>
        <v>0</v>
      </c>
      <c r="I235" s="22">
        <f>+IF(AND(I234&gt;=Assumptions!$F$26,I234&lt;Assumptions!$F$28),Assumptions!$F$218/ROUNDUP((Assumptions!$F$27/12),0),0)</f>
        <v>18937</v>
      </c>
      <c r="J235" s="22">
        <f>+IF(AND(J234&gt;=Assumptions!$F$26,J234&lt;Assumptions!$F$28),Assumptions!$F$218/ROUNDUP((Assumptions!$F$27/12),0),0)</f>
        <v>18937</v>
      </c>
      <c r="K235" s="22">
        <f>+IF(AND(K234&gt;=Assumptions!$F$26,K234&lt;Assumptions!$F$28),Assumptions!$F$218/ROUNDUP((Assumptions!$F$27/12),0),0)</f>
        <v>0</v>
      </c>
      <c r="L235" s="22">
        <f>+IF(AND(L234&gt;=Assumptions!$F$26,L234&lt;Assumptions!$F$28),Assumptions!$F$218/ROUNDUP((Assumptions!$F$27/12),0),0)</f>
        <v>0</v>
      </c>
      <c r="M235" s="22">
        <f>+IF(AND(M234&gt;=Assumptions!$F$26,M234&lt;Assumptions!$F$28),Assumptions!$F$218/ROUNDUP((Assumptions!$F$27/12),0),0)</f>
        <v>0</v>
      </c>
      <c r="N235" s="22">
        <f>+IF(AND(N234&gt;=Assumptions!$F$26,N234&lt;Assumptions!$F$28),Assumptions!$F$218/ROUNDUP((Assumptions!$F$27/12),0),0)</f>
        <v>0</v>
      </c>
      <c r="O235" s="22">
        <f>+IF(AND(O234&gt;=Assumptions!$F$26,O234&lt;Assumptions!$F$28),Assumptions!$F$218/ROUNDUP((Assumptions!$F$27/12),0),0)</f>
        <v>0</v>
      </c>
      <c r="P235" s="22">
        <f>+IF(AND(P234&gt;=Assumptions!$F$26,P234&lt;Assumptions!$F$28),Assumptions!$F$218/ROUNDUP((Assumptions!$F$27/12),0),0)</f>
        <v>0</v>
      </c>
      <c r="Q235" s="22">
        <f>+IF(AND(Q234&gt;=Assumptions!$F$26,Q234&lt;Assumptions!$F$28),Assumptions!$F$218/ROUNDUP((Assumptions!$F$27/12),0),0)</f>
        <v>0</v>
      </c>
      <c r="R235" s="22">
        <f>+IF(AND(R234&gt;=Assumptions!$F$26,R234&lt;Assumptions!$F$28),Assumptions!$F$218/ROUNDUP((Assumptions!$F$27/12),0),0)</f>
        <v>0</v>
      </c>
      <c r="S235" s="22">
        <f>+IF(AND(S234&gt;=Assumptions!$F$26,S234&lt;Assumptions!$F$28),Assumptions!$F$218/ROUNDUP((Assumptions!$F$27/12),0),0)</f>
        <v>0</v>
      </c>
      <c r="T235" s="22">
        <f>+IF(AND(T234&gt;=Assumptions!$F$26,T234&lt;Assumptions!$F$28),Assumptions!$F$218/ROUNDUP((Assumptions!$F$27/12),0),0)</f>
        <v>0</v>
      </c>
      <c r="U235" s="22">
        <f>+IF(AND(U234&gt;=Assumptions!$F$26,U234&lt;Assumptions!$F$28),Assumptions!$F$218/ROUNDUP((Assumptions!$F$27/12),0),0)</f>
        <v>0</v>
      </c>
      <c r="V235" s="22">
        <f>+IF(AND(V234&gt;=Assumptions!$F$26,V234&lt;Assumptions!$F$28),Assumptions!$F$218/ROUNDUP((Assumptions!$F$27/12),0),0)</f>
        <v>0</v>
      </c>
      <c r="W235" s="22">
        <f>+IF(AND(W234&gt;=Assumptions!$F$26,W234&lt;Assumptions!$F$28),Assumptions!$F$218/ROUNDUP((Assumptions!$F$27/12),0),0)</f>
        <v>0</v>
      </c>
      <c r="X235" s="22">
        <f>+IF(AND(X234&gt;=Assumptions!$F$26,X234&lt;Assumptions!$F$28),Assumptions!$F$218/ROUNDUP((Assumptions!$F$27/12),0),0)</f>
        <v>0</v>
      </c>
      <c r="Y235" s="22">
        <f>+IF(AND(Y234&gt;=Assumptions!$F$26,Y234&lt;Assumptions!$F$28),Assumptions!$F$218/ROUNDUP((Assumptions!$F$27/12),0),0)</f>
        <v>0</v>
      </c>
      <c r="Z235" s="22">
        <f>+IF(AND(Z234&gt;=Assumptions!$F$26,Z234&lt;Assumptions!$F$28),Assumptions!$F$218/ROUNDUP((Assumptions!$F$27/12),0),0)</f>
        <v>0</v>
      </c>
    </row>
    <row r="236" spans="2:26">
      <c r="B236" s="15" t="s">
        <v>576</v>
      </c>
      <c r="C236" s="15"/>
      <c r="D236" s="22">
        <v>0</v>
      </c>
      <c r="E236" s="22"/>
      <c r="F236" s="22">
        <f>+D236+F235</f>
        <v>0</v>
      </c>
      <c r="G236" s="22">
        <f t="shared" ref="G236" si="124">+F236+G235</f>
        <v>0</v>
      </c>
      <c r="H236" s="22">
        <f t="shared" ref="H236" si="125">+G236+H235</f>
        <v>0</v>
      </c>
      <c r="I236" s="22">
        <f>+H236+I235</f>
        <v>18937</v>
      </c>
      <c r="J236" s="22">
        <f>+I236+J235</f>
        <v>37874</v>
      </c>
      <c r="K236" s="22">
        <f t="shared" ref="K236" si="126">+J236+K235</f>
        <v>37874</v>
      </c>
      <c r="L236" s="22">
        <f t="shared" ref="L236" si="127">+K236+L235</f>
        <v>37874</v>
      </c>
      <c r="M236" s="22">
        <f t="shared" ref="M236" si="128">+L236+M235</f>
        <v>37874</v>
      </c>
      <c r="N236" s="22">
        <f t="shared" ref="N236" si="129">+M236+N235</f>
        <v>37874</v>
      </c>
      <c r="O236" s="22">
        <f t="shared" ref="O236" si="130">+N236+O235</f>
        <v>37874</v>
      </c>
      <c r="P236" s="22">
        <f t="shared" ref="P236" si="131">+O236+P235</f>
        <v>37874</v>
      </c>
      <c r="Q236" s="22">
        <f t="shared" ref="Q236" si="132">+P236+Q235</f>
        <v>37874</v>
      </c>
      <c r="R236" s="22">
        <f t="shared" ref="R236" si="133">+Q236+R235</f>
        <v>37874</v>
      </c>
      <c r="S236" s="22">
        <f t="shared" ref="S236" si="134">+R236+S235</f>
        <v>37874</v>
      </c>
      <c r="T236" s="22">
        <f t="shared" ref="T236" si="135">+S236+T235</f>
        <v>37874</v>
      </c>
      <c r="U236" s="22">
        <f t="shared" ref="U236" si="136">+T236+U235</f>
        <v>37874</v>
      </c>
      <c r="V236" s="22">
        <f t="shared" ref="V236" si="137">+U236+V235</f>
        <v>37874</v>
      </c>
      <c r="W236" s="22">
        <f t="shared" ref="W236" si="138">+V236+W235</f>
        <v>37874</v>
      </c>
      <c r="X236" s="22">
        <f t="shared" ref="X236" si="139">+W236+X235</f>
        <v>37874</v>
      </c>
      <c r="Y236" s="22">
        <f t="shared" ref="Y236" si="140">+X236+Y235</f>
        <v>37874</v>
      </c>
      <c r="Z236" s="22">
        <f t="shared" ref="Z236" si="141">+Y236+Z235</f>
        <v>37874</v>
      </c>
    </row>
    <row r="237" spans="2:26">
      <c r="B237" s="15" t="s">
        <v>579</v>
      </c>
      <c r="C237" s="15"/>
      <c r="D237" s="22"/>
      <c r="E237" s="22"/>
      <c r="F237" s="49">
        <f t="shared" ref="F237:Z237" si="142">+F236/SUM($F235:$Z235)</f>
        <v>0</v>
      </c>
      <c r="G237" s="49">
        <f t="shared" si="142"/>
        <v>0</v>
      </c>
      <c r="H237" s="49">
        <f t="shared" si="142"/>
        <v>0</v>
      </c>
      <c r="I237" s="49">
        <f>+I236/SUM($F235:$Z235)</f>
        <v>0.5</v>
      </c>
      <c r="J237" s="49">
        <f t="shared" si="142"/>
        <v>1</v>
      </c>
      <c r="K237" s="49">
        <f t="shared" si="142"/>
        <v>1</v>
      </c>
      <c r="L237" s="49">
        <f t="shared" si="142"/>
        <v>1</v>
      </c>
      <c r="M237" s="49">
        <f t="shared" si="142"/>
        <v>1</v>
      </c>
      <c r="N237" s="49">
        <f t="shared" si="142"/>
        <v>1</v>
      </c>
      <c r="O237" s="49">
        <f t="shared" si="142"/>
        <v>1</v>
      </c>
      <c r="P237" s="49">
        <f t="shared" si="142"/>
        <v>1</v>
      </c>
      <c r="Q237" s="49">
        <f t="shared" si="142"/>
        <v>1</v>
      </c>
      <c r="R237" s="49">
        <f t="shared" si="142"/>
        <v>1</v>
      </c>
      <c r="S237" s="49">
        <f t="shared" si="142"/>
        <v>1</v>
      </c>
      <c r="T237" s="49">
        <f t="shared" si="142"/>
        <v>1</v>
      </c>
      <c r="U237" s="49">
        <f t="shared" si="142"/>
        <v>1</v>
      </c>
      <c r="V237" s="49">
        <f t="shared" si="142"/>
        <v>1</v>
      </c>
      <c r="W237" s="49">
        <f t="shared" si="142"/>
        <v>1</v>
      </c>
      <c r="X237" s="49">
        <f t="shared" si="142"/>
        <v>1</v>
      </c>
      <c r="Y237" s="49">
        <f t="shared" si="142"/>
        <v>1</v>
      </c>
      <c r="Z237" s="49">
        <f t="shared" si="142"/>
        <v>1</v>
      </c>
    </row>
    <row r="238" spans="2:26">
      <c r="B238" s="15"/>
      <c r="C238" s="15"/>
      <c r="D238" s="20"/>
      <c r="E238" s="20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2:26">
      <c r="B239" s="15" t="s">
        <v>580</v>
      </c>
      <c r="C239" s="15"/>
      <c r="D239" s="22"/>
      <c r="E239" s="22"/>
      <c r="F239" s="49">
        <v>1</v>
      </c>
      <c r="G239" s="49">
        <f>+IF(MOD(G$2,Assumptions!$N$73)=(Assumptions!$N$73-1),F239*(1+Assumptions!$N$72),'Phase I Pro Forma'!F239)</f>
        <v>1</v>
      </c>
      <c r="H239" s="49">
        <f>+IF(MOD(H$2,Assumptions!$N$73)=(Assumptions!$N$73-1),G239*(1+Assumptions!$N$72),'Phase I Pro Forma'!G239)</f>
        <v>1</v>
      </c>
      <c r="I239" s="49">
        <f>+IF(MOD(I$2,Assumptions!$N$73)=(Assumptions!$N$73-1),H239*(1+Assumptions!$N$72),'Phase I Pro Forma'!H239)</f>
        <v>1</v>
      </c>
      <c r="J239" s="49">
        <f>+IF(MOD(J$2,Assumptions!$N$73)=(Assumptions!$N$73-1),I239*(1+Assumptions!$N$72),'Phase I Pro Forma'!I239)</f>
        <v>1</v>
      </c>
      <c r="K239" s="49">
        <f>+IF(MOD(K$2,Assumptions!$N$73)=(Assumptions!$N$73-1),J239*(1+Assumptions!$N$72),'Phase I Pro Forma'!J239)</f>
        <v>1</v>
      </c>
      <c r="L239" s="49">
        <f>+IF(MOD(L$2,Assumptions!$N$73)=(Assumptions!$N$73-1),K239*(1+Assumptions!$N$72),'Phase I Pro Forma'!K239)</f>
        <v>1.1000000000000001</v>
      </c>
      <c r="M239" s="49">
        <f>+IF(MOD(M$2,Assumptions!$N$73)=(Assumptions!$N$73-1),L239*(1+Assumptions!$N$72),'Phase I Pro Forma'!L239)</f>
        <v>1.1000000000000001</v>
      </c>
      <c r="N239" s="49">
        <f>+IF(MOD(N$2,Assumptions!$N$73)=(Assumptions!$N$73-1),M239*(1+Assumptions!$N$72),'Phase I Pro Forma'!M239)</f>
        <v>1.1000000000000001</v>
      </c>
      <c r="O239" s="49">
        <f>+IF(MOD(O$2,Assumptions!$N$73)=(Assumptions!$N$73-1),N239*(1+Assumptions!$N$72),'Phase I Pro Forma'!N239)</f>
        <v>1.1000000000000001</v>
      </c>
      <c r="P239" s="49">
        <f>+IF(MOD(P$2,Assumptions!$N$73)=(Assumptions!$N$73-1),O239*(1+Assumptions!$N$72),'Phase I Pro Forma'!O239)</f>
        <v>1.1000000000000001</v>
      </c>
      <c r="Q239" s="49">
        <f>+IF(MOD(Q$2,Assumptions!$N$73)=(Assumptions!$N$73-1),P239*(1+Assumptions!$N$72),'Phase I Pro Forma'!P239)</f>
        <v>1.2100000000000002</v>
      </c>
      <c r="R239" s="49">
        <f>+IF(MOD(R$2,Assumptions!$N$73)=(Assumptions!$N$73-1),Q239*(1+Assumptions!$N$72),'Phase I Pro Forma'!Q239)</f>
        <v>1.2100000000000002</v>
      </c>
      <c r="S239" s="49">
        <f>+IF(MOD(S$2,Assumptions!$N$73)=(Assumptions!$N$73-1),R239*(1+Assumptions!$N$72),'Phase I Pro Forma'!R239)</f>
        <v>1.2100000000000002</v>
      </c>
      <c r="T239" s="49">
        <f>+IF(MOD(T$2,Assumptions!$N$73)=(Assumptions!$N$73-1),S239*(1+Assumptions!$N$72),'Phase I Pro Forma'!S239)</f>
        <v>1.2100000000000002</v>
      </c>
      <c r="U239" s="49">
        <f>+IF(MOD(U$2,Assumptions!$N$73)=(Assumptions!$N$73-1),T239*(1+Assumptions!$N$72),'Phase I Pro Forma'!T239)</f>
        <v>1.2100000000000002</v>
      </c>
      <c r="V239" s="49">
        <f>+IF(MOD(V$2,Assumptions!$N$73)=(Assumptions!$N$73-1),U239*(1+Assumptions!$N$72),'Phase I Pro Forma'!U239)</f>
        <v>1.3310000000000004</v>
      </c>
      <c r="W239" s="49">
        <f>+IF(MOD(W$2,Assumptions!$N$73)=(Assumptions!$N$73-1),V239*(1+Assumptions!$N$72),'Phase I Pro Forma'!V239)</f>
        <v>1.3310000000000004</v>
      </c>
      <c r="X239" s="49">
        <f>+IF(MOD(X$2,Assumptions!$N$73)=(Assumptions!$N$73-1),W239*(1+Assumptions!$N$72),'Phase I Pro Forma'!W239)</f>
        <v>1.3310000000000004</v>
      </c>
      <c r="Y239" s="49">
        <f>+IF(MOD(Y$2,Assumptions!$N$73)=(Assumptions!$N$73-1),X239*(1+Assumptions!$N$72),'Phase I Pro Forma'!X239)</f>
        <v>1.3310000000000004</v>
      </c>
      <c r="Z239" s="49">
        <f>+IF(MOD(Z$2,Assumptions!$N$73)=(Assumptions!$N$73-1),Y239*(1+Assumptions!$N$72),'Phase I Pro Forma'!Y239)</f>
        <v>1.3310000000000004</v>
      </c>
    </row>
    <row r="240" spans="2:26" s="15" customFormat="1">
      <c r="B240" s="15" t="s">
        <v>581</v>
      </c>
      <c r="D240" s="679"/>
      <c r="E240" s="679"/>
      <c r="F240" s="693">
        <v>1</v>
      </c>
      <c r="G240" s="693">
        <f>+F240*(1+Assumptions!$N$81)</f>
        <v>1.02</v>
      </c>
      <c r="H240" s="693">
        <f>+G240*(1+Assumptions!$N$81)</f>
        <v>1.0404</v>
      </c>
      <c r="I240" s="693">
        <f>+H240*(1+Assumptions!$N$81)</f>
        <v>1.0612079999999999</v>
      </c>
      <c r="J240" s="693">
        <f>+I240*(1+Assumptions!$N$81)</f>
        <v>1.08243216</v>
      </c>
      <c r="K240" s="693">
        <f>+J240*(1+Assumptions!$N$81)</f>
        <v>1.1040808032</v>
      </c>
      <c r="L240" s="693">
        <f>+K240*(1+Assumptions!$N$81)</f>
        <v>1.1261624192640001</v>
      </c>
      <c r="M240" s="693">
        <f>+L240*(1+Assumptions!$N$81)</f>
        <v>1.14868566764928</v>
      </c>
      <c r="N240" s="693">
        <f>+M240*(1+Assumptions!$N$81)</f>
        <v>1.1716593810022657</v>
      </c>
      <c r="O240" s="693">
        <f>+N240*(1+Assumptions!$N$81)</f>
        <v>1.1950925686223111</v>
      </c>
      <c r="P240" s="693">
        <f>+O240*(1+Assumptions!$N$81)</f>
        <v>1.2189944199947573</v>
      </c>
      <c r="Q240" s="693">
        <f>+P240*(1+Assumptions!$N$81)</f>
        <v>1.2433743083946525</v>
      </c>
      <c r="R240" s="693">
        <f>+Q240*(1+Assumptions!$N$81)</f>
        <v>1.2682417945625455</v>
      </c>
      <c r="S240" s="693">
        <f>+R240*(1+Assumptions!$N$81)</f>
        <v>1.2936066304537963</v>
      </c>
      <c r="T240" s="693">
        <f>+S240*(1+Assumptions!$N$81)</f>
        <v>1.3194787630628724</v>
      </c>
      <c r="U240" s="693">
        <f>+T240*(1+Assumptions!$N$81)</f>
        <v>1.3458683383241299</v>
      </c>
      <c r="V240" s="693">
        <f>+U240*(1+Assumptions!$N$81)</f>
        <v>1.3727857050906125</v>
      </c>
      <c r="W240" s="693">
        <f>+V240*(1+Assumptions!$N$81)</f>
        <v>1.4002414191924248</v>
      </c>
      <c r="X240" s="693">
        <f>+W240*(1+Assumptions!$N$81)</f>
        <v>1.4282462475762734</v>
      </c>
      <c r="Y240" s="693">
        <f>+X240*(1+Assumptions!$N$81)</f>
        <v>1.4568111725277988</v>
      </c>
      <c r="Z240" s="693">
        <f>+Y240*(1+Assumptions!$N$81)</f>
        <v>1.4859473959783549</v>
      </c>
    </row>
    <row r="241" spans="2:26" s="15" customFormat="1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s="15" customFormat="1">
      <c r="B242" s="15" t="s">
        <v>582</v>
      </c>
      <c r="D242" s="7"/>
      <c r="E242" s="7"/>
      <c r="F242" s="7">
        <f>+F237*Assumptions!$F$217*F239</f>
        <v>0</v>
      </c>
      <c r="G242" s="7">
        <f>+G237*Assumptions!$F$217*G239</f>
        <v>0</v>
      </c>
      <c r="H242" s="7">
        <f>+H237*Assumptions!$F$217*H239</f>
        <v>0</v>
      </c>
      <c r="I242" s="7">
        <f>I237*Assumptions!$F$217*'Phase I Pro Forma'!I239</f>
        <v>151496</v>
      </c>
      <c r="J242" s="7">
        <f>J237*Assumptions!$F$217*'Phase I Pro Forma'!J239</f>
        <v>302992</v>
      </c>
      <c r="K242" s="7">
        <f>K237*Assumptions!$F$217*'Phase I Pro Forma'!K239</f>
        <v>302992</v>
      </c>
      <c r="L242" s="7">
        <f>L237*Assumptions!$F$217*'Phase I Pro Forma'!L239</f>
        <v>333291.2</v>
      </c>
      <c r="M242" s="7">
        <f>M237*Assumptions!$F$217*'Phase I Pro Forma'!M239</f>
        <v>333291.2</v>
      </c>
      <c r="N242" s="7">
        <f>N237*Assumptions!$F$217*'Phase I Pro Forma'!N239</f>
        <v>333291.2</v>
      </c>
      <c r="O242" s="7">
        <f>O237*Assumptions!$F$217*'Phase I Pro Forma'!O239</f>
        <v>333291.2</v>
      </c>
      <c r="P242" s="7">
        <f>P237*Assumptions!$F$217*'Phase I Pro Forma'!P239</f>
        <v>333291.2</v>
      </c>
      <c r="Q242" s="7">
        <f>Q237*Assumptions!$F$217*'Phase I Pro Forma'!Q239</f>
        <v>366620.32000000007</v>
      </c>
      <c r="R242" s="7">
        <f>R237*Assumptions!$F$217*'Phase I Pro Forma'!R239</f>
        <v>366620.32000000007</v>
      </c>
      <c r="S242" s="7">
        <f>S237*Assumptions!$F$217*'Phase I Pro Forma'!S239</f>
        <v>366620.32000000007</v>
      </c>
      <c r="T242" s="7">
        <f>T237*Assumptions!$F$217*'Phase I Pro Forma'!T239</f>
        <v>366620.32000000007</v>
      </c>
      <c r="U242" s="7">
        <f>U237*Assumptions!$F$217*'Phase I Pro Forma'!U239</f>
        <v>366620.32000000007</v>
      </c>
      <c r="V242" s="7">
        <f>V237*Assumptions!$F$217*'Phase I Pro Forma'!V239</f>
        <v>403282.35200000013</v>
      </c>
      <c r="W242" s="7">
        <f>W237*Assumptions!$F$217*'Phase I Pro Forma'!W239</f>
        <v>403282.35200000013</v>
      </c>
      <c r="X242" s="7">
        <f>X237*Assumptions!$F$217*'Phase I Pro Forma'!X239</f>
        <v>403282.35200000013</v>
      </c>
      <c r="Y242" s="7">
        <f>Y237*Assumptions!$F$217*'Phase I Pro Forma'!Y239</f>
        <v>403282.35200000013</v>
      </c>
      <c r="Z242" s="7">
        <f>Z237*Assumptions!$F$217*'Phase I Pro Forma'!Z239</f>
        <v>403282.35200000013</v>
      </c>
    </row>
    <row r="243" spans="2:26" s="15" customFormat="1">
      <c r="B243" s="15" t="s">
        <v>583</v>
      </c>
      <c r="D243" s="7"/>
      <c r="E243" s="7"/>
      <c r="F243" s="679">
        <f>-F242*Assumptions!$N$59</f>
        <v>0</v>
      </c>
      <c r="G243" s="679">
        <f>-G242*Assumptions!$N$59</f>
        <v>0</v>
      </c>
      <c r="H243" s="679">
        <f>-H242*Assumptions!$N$59</f>
        <v>0</v>
      </c>
      <c r="I243" s="679">
        <f>-I242*Assumptions!$N$59</f>
        <v>-7574.8</v>
      </c>
      <c r="J243" s="679">
        <f>-J242*Assumptions!$N$59</f>
        <v>-15149.6</v>
      </c>
      <c r="K243" s="679">
        <f>-K242*Assumptions!$N$59</f>
        <v>-15149.6</v>
      </c>
      <c r="L243" s="679">
        <f>-L242*Assumptions!$N$59</f>
        <v>-16664.560000000001</v>
      </c>
      <c r="M243" s="679">
        <f>-M242*Assumptions!$N$59</f>
        <v>-16664.560000000001</v>
      </c>
      <c r="N243" s="679">
        <f>-N242*Assumptions!$N$59</f>
        <v>-16664.560000000001</v>
      </c>
      <c r="O243" s="679">
        <f>-O242*Assumptions!$N$59</f>
        <v>-16664.560000000001</v>
      </c>
      <c r="P243" s="679">
        <f>-P242*Assumptions!$N$59</f>
        <v>-16664.560000000001</v>
      </c>
      <c r="Q243" s="679">
        <f>-Q242*Assumptions!$N$59</f>
        <v>-18331.016000000003</v>
      </c>
      <c r="R243" s="679">
        <f>-R242*Assumptions!$N$59</f>
        <v>-18331.016000000003</v>
      </c>
      <c r="S243" s="679">
        <f>-S242*Assumptions!$N$59</f>
        <v>-18331.016000000003</v>
      </c>
      <c r="T243" s="679">
        <f>-T242*Assumptions!$N$59</f>
        <v>-18331.016000000003</v>
      </c>
      <c r="U243" s="679">
        <f>-U242*Assumptions!$N$59</f>
        <v>-18331.016000000003</v>
      </c>
      <c r="V243" s="679">
        <f>-V242*Assumptions!$N$59</f>
        <v>-20164.117600000009</v>
      </c>
      <c r="W243" s="679">
        <f>-W242*Assumptions!$N$59</f>
        <v>-20164.117600000009</v>
      </c>
      <c r="X243" s="679">
        <f>-X242*Assumptions!$N$59</f>
        <v>-20164.117600000009</v>
      </c>
      <c r="Y243" s="679">
        <f>-Y242*Assumptions!$N$59</f>
        <v>-20164.117600000009</v>
      </c>
      <c r="Z243" s="679">
        <f>-Z242*Assumptions!$N$59</f>
        <v>-20164.117600000009</v>
      </c>
    </row>
    <row r="244" spans="2:26" s="15" customFormat="1">
      <c r="B244" s="15" t="s">
        <v>593</v>
      </c>
      <c r="D244" s="7"/>
      <c r="E244" s="7"/>
      <c r="F244" s="700">
        <f>+F249*Assumptions!$N$92</f>
        <v>0</v>
      </c>
      <c r="G244" s="700">
        <f>+G249*Assumptions!$N$92</f>
        <v>0</v>
      </c>
      <c r="H244" s="700">
        <f>+H249*Assumptions!$N$92</f>
        <v>0</v>
      </c>
      <c r="I244" s="700">
        <f>I236*Assumptions!$N$92*'Phase I Pro Forma'!I240</f>
        <v>20096.095895999999</v>
      </c>
      <c r="J244" s="700">
        <f>J236*Assumptions!$N$92*'Phase I Pro Forma'!J240</f>
        <v>40996.03562784</v>
      </c>
      <c r="K244" s="700">
        <f>K236*Assumptions!$N$92*'Phase I Pro Forma'!K240</f>
        <v>41815.956340396799</v>
      </c>
      <c r="L244" s="700">
        <f>L236*Assumptions!$N$92*'Phase I Pro Forma'!L240</f>
        <v>42652.275467204738</v>
      </c>
      <c r="M244" s="700">
        <f>M236*Assumptions!$N$92*'Phase I Pro Forma'!M240</f>
        <v>43505.320976548835</v>
      </c>
      <c r="N244" s="700">
        <f>N236*Assumptions!$N$92*'Phase I Pro Forma'!N240</f>
        <v>44375.427396079809</v>
      </c>
      <c r="O244" s="700">
        <f>O236*Assumptions!$N$92*'Phase I Pro Forma'!O240</f>
        <v>45262.935944001409</v>
      </c>
      <c r="P244" s="700">
        <f>P236*Assumptions!$N$92*'Phase I Pro Forma'!P240</f>
        <v>46168.19466288144</v>
      </c>
      <c r="Q244" s="700">
        <f>Q236*Assumptions!$N$92*'Phase I Pro Forma'!Q240</f>
        <v>47091.558556139069</v>
      </c>
      <c r="R244" s="700">
        <f>R236*Assumptions!$N$92*'Phase I Pro Forma'!R240</f>
        <v>48033.389727261849</v>
      </c>
      <c r="S244" s="700">
        <f>S236*Assumptions!$N$92*'Phase I Pro Forma'!S240</f>
        <v>48994.057521807081</v>
      </c>
      <c r="T244" s="700">
        <f>T236*Assumptions!$N$92*'Phase I Pro Forma'!T240</f>
        <v>49973.938672243232</v>
      </c>
      <c r="U244" s="700">
        <f>U236*Assumptions!$N$92*'Phase I Pro Forma'!U240</f>
        <v>50973.417445688094</v>
      </c>
      <c r="V244" s="700">
        <f>V236*Assumptions!$N$92*'Phase I Pro Forma'!V240</f>
        <v>51992.885794601854</v>
      </c>
      <c r="W244" s="700">
        <f>W236*Assumptions!$N$92*'Phase I Pro Forma'!W240</f>
        <v>53032.7435104939</v>
      </c>
      <c r="X244" s="700">
        <f>X236*Assumptions!$N$92*'Phase I Pro Forma'!X240</f>
        <v>54093.39838070378</v>
      </c>
      <c r="Y244" s="700">
        <f>Y236*Assumptions!$N$92*'Phase I Pro Forma'!Y240</f>
        <v>55175.266348317855</v>
      </c>
      <c r="Z244" s="700">
        <f>Z236*Assumptions!$N$92*'Phase I Pro Forma'!Z240</f>
        <v>56278.771675284217</v>
      </c>
    </row>
    <row r="245" spans="2:26" s="15" customFormat="1">
      <c r="B245" s="701" t="s">
        <v>584</v>
      </c>
      <c r="C245" s="701"/>
      <c r="D245" s="701"/>
      <c r="E245" s="701"/>
      <c r="F245" s="702">
        <f t="shared" ref="F245:H245" si="143">+SUM(F242:F244)</f>
        <v>0</v>
      </c>
      <c r="G245" s="702">
        <f t="shared" si="143"/>
        <v>0</v>
      </c>
      <c r="H245" s="702">
        <f t="shared" si="143"/>
        <v>0</v>
      </c>
      <c r="I245" s="702">
        <f t="shared" ref="I245:Z245" si="144">SUM(I242:I244)</f>
        <v>164017.295896</v>
      </c>
      <c r="J245" s="702">
        <f t="shared" si="144"/>
        <v>328838.43562783999</v>
      </c>
      <c r="K245" s="702">
        <f t="shared" si="144"/>
        <v>329658.3563403968</v>
      </c>
      <c r="L245" s="702">
        <f t="shared" si="144"/>
        <v>359278.91546720476</v>
      </c>
      <c r="M245" s="702">
        <f t="shared" si="144"/>
        <v>360131.96097654884</v>
      </c>
      <c r="N245" s="702">
        <f t="shared" si="144"/>
        <v>361002.06739607983</v>
      </c>
      <c r="O245" s="702">
        <f t="shared" si="144"/>
        <v>361889.57594400144</v>
      </c>
      <c r="P245" s="702">
        <f t="shared" si="144"/>
        <v>362794.83466288145</v>
      </c>
      <c r="Q245" s="702">
        <f t="shared" si="144"/>
        <v>395380.86255613912</v>
      </c>
      <c r="R245" s="702">
        <f t="shared" si="144"/>
        <v>396322.69372726191</v>
      </c>
      <c r="S245" s="702">
        <f t="shared" si="144"/>
        <v>397283.36152180715</v>
      </c>
      <c r="T245" s="702">
        <f t="shared" si="144"/>
        <v>398263.24267224327</v>
      </c>
      <c r="U245" s="702">
        <f t="shared" si="144"/>
        <v>399262.72144568816</v>
      </c>
      <c r="V245" s="702">
        <f t="shared" si="144"/>
        <v>435111.120194602</v>
      </c>
      <c r="W245" s="702">
        <f t="shared" si="144"/>
        <v>436150.97791049402</v>
      </c>
      <c r="X245" s="702">
        <f t="shared" si="144"/>
        <v>437211.63278070389</v>
      </c>
      <c r="Y245" s="702">
        <f t="shared" si="144"/>
        <v>438293.50074831798</v>
      </c>
      <c r="Z245" s="702">
        <f t="shared" si="144"/>
        <v>439397.00607528433</v>
      </c>
    </row>
    <row r="247" spans="2:26">
      <c r="B247" s="15" t="s">
        <v>585</v>
      </c>
      <c r="F247" s="16">
        <f>+F236*Assumptions!$N$124*'Phase I Pro Forma'!F240</f>
        <v>0</v>
      </c>
      <c r="G247" s="16">
        <f>+G236*Assumptions!$N$124*'Phase I Pro Forma'!G240</f>
        <v>0</v>
      </c>
      <c r="H247" s="16">
        <f>+H236*Assumptions!$N$124*'Phase I Pro Forma'!H240</f>
        <v>0</v>
      </c>
      <c r="I247" s="16">
        <f>+I236*Assumptions!$N$124*'Phase I Pro Forma'!I240</f>
        <v>40192.191791999998</v>
      </c>
      <c r="J247" s="16">
        <f>+J236*Assumptions!$N$124*'Phase I Pro Forma'!J240</f>
        <v>81992.071255679999</v>
      </c>
      <c r="K247" s="16">
        <f>+K236*Assumptions!$N$124*'Phase I Pro Forma'!K240</f>
        <v>83631.912680793597</v>
      </c>
      <c r="L247" s="16">
        <f>+L236*Assumptions!$N$124*'Phase I Pro Forma'!L240</f>
        <v>85304.550934409475</v>
      </c>
      <c r="M247" s="16">
        <f>+M236*Assumptions!$N$124*'Phase I Pro Forma'!M240</f>
        <v>87010.641953097671</v>
      </c>
      <c r="N247" s="16">
        <f>+N236*Assumptions!$N$124*'Phase I Pro Forma'!N240</f>
        <v>88750.854792159618</v>
      </c>
      <c r="O247" s="16">
        <f>+O236*Assumptions!$N$124*'Phase I Pro Forma'!O240</f>
        <v>90525.871888002817</v>
      </c>
      <c r="P247" s="16">
        <f>+P236*Assumptions!$N$124*'Phase I Pro Forma'!P240</f>
        <v>92336.389325762881</v>
      </c>
      <c r="Q247" s="16">
        <f>+Q236*Assumptions!$N$124*'Phase I Pro Forma'!Q240</f>
        <v>94183.117112278138</v>
      </c>
      <c r="R247" s="16">
        <f>+R236*Assumptions!$N$124*'Phase I Pro Forma'!R240</f>
        <v>96066.779454523697</v>
      </c>
      <c r="S247" s="16">
        <f>+S236*Assumptions!$N$124*'Phase I Pro Forma'!S240</f>
        <v>97988.115043614162</v>
      </c>
      <c r="T247" s="16">
        <f>+T236*Assumptions!$N$124*'Phase I Pro Forma'!T240</f>
        <v>99947.877344486464</v>
      </c>
      <c r="U247" s="16">
        <f>+U236*Assumptions!$N$124*'Phase I Pro Forma'!U240</f>
        <v>101946.83489137619</v>
      </c>
      <c r="V247" s="16">
        <f>+V236*Assumptions!$N$124*'Phase I Pro Forma'!V240</f>
        <v>103985.77158920371</v>
      </c>
      <c r="W247" s="16">
        <f>+W236*Assumptions!$N$124*'Phase I Pro Forma'!W240</f>
        <v>106065.4870209878</v>
      </c>
      <c r="X247" s="16">
        <f>+X236*Assumptions!$N$124*'Phase I Pro Forma'!X240</f>
        <v>108186.79676140756</v>
      </c>
      <c r="Y247" s="16">
        <f>+Y236*Assumptions!$N$124*'Phase I Pro Forma'!Y240</f>
        <v>110350.53269663571</v>
      </c>
      <c r="Z247" s="16">
        <f>+Z236*Assumptions!$N$124*'Phase I Pro Forma'!Z240</f>
        <v>112557.54335056843</v>
      </c>
    </row>
    <row r="248" spans="2:26">
      <c r="B248" s="15" t="s">
        <v>626</v>
      </c>
      <c r="C248" s="15"/>
      <c r="D248" s="15"/>
      <c r="E248" s="15"/>
      <c r="F248" s="681">
        <v>0</v>
      </c>
      <c r="G248" s="681">
        <v>0</v>
      </c>
      <c r="H248" s="681">
        <v>0</v>
      </c>
      <c r="I248" s="681">
        <f>(('Parcel x Block Info'!$P$15*0.03)*I237)*0.03</f>
        <v>1823.7555665099997</v>
      </c>
      <c r="J248" s="681">
        <f>(('Parcel x Block Info'!$P$15*0.05)*J237)*0.3</f>
        <v>60791.852216999992</v>
      </c>
      <c r="K248" s="681">
        <f t="shared" ref="K248:Z248" si="145">J248*1.02</f>
        <v>62007.68926133999</v>
      </c>
      <c r="L248" s="681">
        <f t="shared" si="145"/>
        <v>63247.843046566792</v>
      </c>
      <c r="M248" s="681">
        <f t="shared" si="145"/>
        <v>64512.799907498127</v>
      </c>
      <c r="N248" s="681">
        <f t="shared" si="145"/>
        <v>65803.055905648085</v>
      </c>
      <c r="O248" s="681">
        <f t="shared" si="145"/>
        <v>67119.117023761049</v>
      </c>
      <c r="P248" s="681">
        <f t="shared" si="145"/>
        <v>68461.499364236268</v>
      </c>
      <c r="Q248" s="681">
        <f t="shared" si="145"/>
        <v>69830.729351520989</v>
      </c>
      <c r="R248" s="681">
        <f t="shared" si="145"/>
        <v>71227.343938551407</v>
      </c>
      <c r="S248" s="681">
        <f t="shared" si="145"/>
        <v>72651.890817322434</v>
      </c>
      <c r="T248" s="681">
        <f t="shared" si="145"/>
        <v>74104.928633668882</v>
      </c>
      <c r="U248" s="681">
        <f t="shared" si="145"/>
        <v>75587.02720634226</v>
      </c>
      <c r="V248" s="681">
        <f t="shared" si="145"/>
        <v>77098.767750469109</v>
      </c>
      <c r="W248" s="681">
        <f t="shared" si="145"/>
        <v>78640.743105478497</v>
      </c>
      <c r="X248" s="681">
        <f t="shared" si="145"/>
        <v>80213.557967588073</v>
      </c>
      <c r="Y248" s="681">
        <f t="shared" si="145"/>
        <v>81817.829126939832</v>
      </c>
      <c r="Z248" s="681">
        <f t="shared" si="145"/>
        <v>83454.185709478625</v>
      </c>
    </row>
    <row r="249" spans="2:26" s="15" customFormat="1">
      <c r="B249" s="701" t="s">
        <v>586</v>
      </c>
      <c r="C249" s="701"/>
      <c r="D249" s="701"/>
      <c r="E249" s="701"/>
      <c r="F249" s="702">
        <f>+SUM(F247:F248)</f>
        <v>0</v>
      </c>
      <c r="G249" s="702">
        <f t="shared" ref="G249" si="146">+SUM(G247:G248)</f>
        <v>0</v>
      </c>
      <c r="H249" s="702">
        <f t="shared" ref="H249" si="147">+SUM(H247:H248)</f>
        <v>0</v>
      </c>
      <c r="I249" s="702">
        <f t="shared" ref="I249:Z249" si="148">SUM(I247:I248)</f>
        <v>42015.947358509999</v>
      </c>
      <c r="J249" s="702">
        <f t="shared" si="148"/>
        <v>142783.92347267998</v>
      </c>
      <c r="K249" s="702">
        <f t="shared" si="148"/>
        <v>145639.6019421336</v>
      </c>
      <c r="L249" s="702">
        <f t="shared" si="148"/>
        <v>148552.39398097625</v>
      </c>
      <c r="M249" s="702">
        <f t="shared" si="148"/>
        <v>151523.44186059581</v>
      </c>
      <c r="N249" s="702">
        <f t="shared" si="148"/>
        <v>154553.9106978077</v>
      </c>
      <c r="O249" s="702">
        <f t="shared" si="148"/>
        <v>157644.98891176388</v>
      </c>
      <c r="P249" s="702">
        <f t="shared" si="148"/>
        <v>160797.88868999915</v>
      </c>
      <c r="Q249" s="702">
        <f t="shared" si="148"/>
        <v>164013.84646379913</v>
      </c>
      <c r="R249" s="702">
        <f t="shared" si="148"/>
        <v>167294.1233930751</v>
      </c>
      <c r="S249" s="702">
        <f t="shared" si="148"/>
        <v>170640.0058609366</v>
      </c>
      <c r="T249" s="702">
        <f t="shared" si="148"/>
        <v>174052.80597815535</v>
      </c>
      <c r="U249" s="702">
        <f t="shared" si="148"/>
        <v>177533.86209771846</v>
      </c>
      <c r="V249" s="702">
        <f t="shared" si="148"/>
        <v>181084.53933967283</v>
      </c>
      <c r="W249" s="702">
        <f t="shared" si="148"/>
        <v>184706.23012646631</v>
      </c>
      <c r="X249" s="702">
        <f t="shared" si="148"/>
        <v>188400.35472899565</v>
      </c>
      <c r="Y249" s="702">
        <f t="shared" si="148"/>
        <v>192168.36182357554</v>
      </c>
      <c r="Z249" s="702">
        <f t="shared" si="148"/>
        <v>196011.72906004707</v>
      </c>
    </row>
    <row r="250" spans="2:26">
      <c r="B250" s="15"/>
    </row>
    <row r="251" spans="2:26">
      <c r="B251" s="653" t="s">
        <v>587</v>
      </c>
      <c r="C251" s="653"/>
      <c r="D251" s="653"/>
      <c r="E251" s="653"/>
      <c r="F251" s="544">
        <f>+F245-F249</f>
        <v>0</v>
      </c>
      <c r="G251" s="544">
        <f t="shared" ref="G251:H251" si="149">+G245-G249</f>
        <v>0</v>
      </c>
      <c r="H251" s="544">
        <f t="shared" si="149"/>
        <v>0</v>
      </c>
      <c r="I251" s="544">
        <f t="shared" ref="I251:Z251" si="150">I245-I249</f>
        <v>122001.34853749</v>
      </c>
      <c r="J251" s="544">
        <f t="shared" si="150"/>
        <v>186054.51215516002</v>
      </c>
      <c r="K251" s="544">
        <f t="shared" si="150"/>
        <v>184018.75439826321</v>
      </c>
      <c r="L251" s="544">
        <f t="shared" si="150"/>
        <v>210726.52148622851</v>
      </c>
      <c r="M251" s="544">
        <f t="shared" si="150"/>
        <v>208608.51911595304</v>
      </c>
      <c r="N251" s="544">
        <f t="shared" si="150"/>
        <v>206448.15669827213</v>
      </c>
      <c r="O251" s="544">
        <f t="shared" si="150"/>
        <v>204244.58703223756</v>
      </c>
      <c r="P251" s="544">
        <f t="shared" si="150"/>
        <v>201996.9459728823</v>
      </c>
      <c r="Q251" s="544">
        <f t="shared" si="150"/>
        <v>231367.01609234</v>
      </c>
      <c r="R251" s="544">
        <f t="shared" si="150"/>
        <v>229028.57033418681</v>
      </c>
      <c r="S251" s="544">
        <f t="shared" si="150"/>
        <v>226643.35566087055</v>
      </c>
      <c r="T251" s="544">
        <f t="shared" si="150"/>
        <v>224210.43669408793</v>
      </c>
      <c r="U251" s="544">
        <f t="shared" si="150"/>
        <v>221728.8593479697</v>
      </c>
      <c r="V251" s="544">
        <f t="shared" si="150"/>
        <v>254026.58085492917</v>
      </c>
      <c r="W251" s="544">
        <f t="shared" si="150"/>
        <v>251444.74778402771</v>
      </c>
      <c r="X251" s="544">
        <f t="shared" si="150"/>
        <v>248811.27805170824</v>
      </c>
      <c r="Y251" s="544">
        <f t="shared" si="150"/>
        <v>246125.13892474244</v>
      </c>
      <c r="Z251" s="544">
        <f t="shared" si="150"/>
        <v>243385.27701523725</v>
      </c>
    </row>
    <row r="252" spans="2:26">
      <c r="B252" s="654" t="s">
        <v>588</v>
      </c>
      <c r="C252" s="655"/>
      <c r="D252" s="655"/>
      <c r="E252" s="655"/>
      <c r="F252" s="656" t="str">
        <f>+IFERROR(F251/F245,"")</f>
        <v/>
      </c>
      <c r="G252" s="656" t="str">
        <f t="shared" ref="G252" si="151">+IFERROR(G251/G245,"")</f>
        <v/>
      </c>
      <c r="H252" s="656" t="str">
        <f t="shared" ref="H252" si="152">+IFERROR(H251/H245,"")</f>
        <v/>
      </c>
      <c r="I252" s="657">
        <f t="shared" ref="I252:Z252" si="153">+IFERROR(I251/I245,"")</f>
        <v>0.74383221520033205</v>
      </c>
      <c r="J252" s="657">
        <f t="shared" si="153"/>
        <v>0.56579308255110905</v>
      </c>
      <c r="K252" s="657">
        <f t="shared" si="153"/>
        <v>0.55821049537797895</v>
      </c>
      <c r="L252" s="657">
        <f t="shared" si="153"/>
        <v>0.58652626807281649</v>
      </c>
      <c r="M252" s="657">
        <f t="shared" si="153"/>
        <v>0.579255777660726</v>
      </c>
      <c r="N252" s="657">
        <f t="shared" si="153"/>
        <v>0.57187527536168892</v>
      </c>
      <c r="O252" s="657">
        <f t="shared" si="153"/>
        <v>0.56438372533792525</v>
      </c>
      <c r="P252" s="657">
        <f t="shared" si="153"/>
        <v>0.55678010454747295</v>
      </c>
      <c r="Q252" s="657">
        <f t="shared" si="153"/>
        <v>0.58517505019476956</v>
      </c>
      <c r="R252" s="657">
        <f t="shared" si="153"/>
        <v>0.57788406760223976</v>
      </c>
      <c r="S252" s="657">
        <f t="shared" si="153"/>
        <v>0.57048287849938051</v>
      </c>
      <c r="T252" s="657">
        <f t="shared" si="153"/>
        <v>0.56297044936834728</v>
      </c>
      <c r="U252" s="657">
        <f t="shared" si="153"/>
        <v>0.5553457596670005</v>
      </c>
      <c r="V252" s="657">
        <f t="shared" si="153"/>
        <v>0.58382001531313799</v>
      </c>
      <c r="W252" s="657">
        <f t="shared" si="153"/>
        <v>0.57650850397870401</v>
      </c>
      <c r="X252" s="657">
        <f t="shared" si="153"/>
        <v>0.56908659193088473</v>
      </c>
      <c r="Y252" s="657">
        <f t="shared" si="153"/>
        <v>0.56155324800509709</v>
      </c>
      <c r="Z252" s="657">
        <f t="shared" si="153"/>
        <v>0.5539074541931146</v>
      </c>
    </row>
    <row r="253" spans="2:26">
      <c r="B253" s="654" t="s">
        <v>589</v>
      </c>
      <c r="C253" s="655"/>
      <c r="D253" s="655"/>
      <c r="E253" s="655"/>
      <c r="F253" s="658">
        <f>+F251/Assumptions!$N$134</f>
        <v>0</v>
      </c>
      <c r="G253" s="658">
        <f>+G251/Assumptions!$N$134</f>
        <v>0</v>
      </c>
      <c r="H253" s="658">
        <f>+H251/Assumptions!$N$134</f>
        <v>0</v>
      </c>
      <c r="I253" s="658">
        <f>I251/Assumptions!$N$134</f>
        <v>2218206.3370452728</v>
      </c>
      <c r="J253" s="658">
        <f>J251/Assumptions!$N$134</f>
        <v>3382809.3119120002</v>
      </c>
      <c r="K253" s="658">
        <f>K251/Assumptions!$N$134</f>
        <v>3345795.5345138763</v>
      </c>
      <c r="L253" s="658">
        <f>L251/Assumptions!$N$134</f>
        <v>3831391.2997496091</v>
      </c>
      <c r="M253" s="704">
        <f>M251/Assumptions!$N$134</f>
        <v>3792882.1657446008</v>
      </c>
      <c r="N253" s="658">
        <f>N251/Assumptions!$N$134</f>
        <v>3753602.8490594933</v>
      </c>
      <c r="O253" s="658">
        <f>O251/Assumptions!$N$134</f>
        <v>3713537.946040683</v>
      </c>
      <c r="P253" s="658">
        <f>P251/Assumptions!$N$134</f>
        <v>3672671.7449614964</v>
      </c>
      <c r="Q253" s="658">
        <f>Q251/Assumptions!$N$134</f>
        <v>4206673.0198607268</v>
      </c>
      <c r="R253" s="658">
        <f>R251/Assumptions!$N$134</f>
        <v>4164155.8242579419</v>
      </c>
      <c r="S253" s="658">
        <f>S251/Assumptions!$N$134</f>
        <v>4120788.2847431009</v>
      </c>
      <c r="T253" s="658">
        <f>T251/Assumptions!$N$134</f>
        <v>4076553.3944379622</v>
      </c>
      <c r="U253" s="658">
        <f>U251/Assumptions!$N$134</f>
        <v>4031433.8063267218</v>
      </c>
      <c r="V253" s="658">
        <f>V251/Assumptions!$N$134</f>
        <v>4618665.1064532576</v>
      </c>
      <c r="W253" s="658">
        <f>W251/Assumptions!$N$134</f>
        <v>4571722.6869823225</v>
      </c>
      <c r="X253" s="658">
        <f>X251/Assumptions!$N$134</f>
        <v>4523841.4191219676</v>
      </c>
      <c r="Y253" s="658">
        <f>Y251/Assumptions!$N$134</f>
        <v>4475002.5259044077</v>
      </c>
      <c r="Z253" s="658">
        <f>Z251/Assumptions!$N$134</f>
        <v>4425186.854822496</v>
      </c>
    </row>
    <row r="255" spans="2:26">
      <c r="B255" s="73" t="s">
        <v>597</v>
      </c>
      <c r="F255" s="75">
        <f>+Assumptions!$F$22</f>
        <v>44561</v>
      </c>
      <c r="G255" s="75">
        <f>+EOMONTH(F255,12)</f>
        <v>44926</v>
      </c>
      <c r="H255" s="75">
        <f t="shared" ref="H255:Z255" si="154">+EOMONTH(G255,12)</f>
        <v>45291</v>
      </c>
      <c r="I255" s="75">
        <f>+EOMONTH(H255,12)</f>
        <v>45657</v>
      </c>
      <c r="J255" s="75">
        <f>+EOMONTH(I255,12)</f>
        <v>46022</v>
      </c>
      <c r="K255" s="75">
        <f t="shared" si="154"/>
        <v>46387</v>
      </c>
      <c r="L255" s="75">
        <f t="shared" si="154"/>
        <v>46752</v>
      </c>
      <c r="M255" s="75">
        <f t="shared" si="154"/>
        <v>47118</v>
      </c>
      <c r="N255" s="75">
        <f t="shared" si="154"/>
        <v>47483</v>
      </c>
      <c r="O255" s="75">
        <f t="shared" si="154"/>
        <v>47848</v>
      </c>
      <c r="P255" s="75">
        <f t="shared" si="154"/>
        <v>48213</v>
      </c>
      <c r="Q255" s="75">
        <f t="shared" si="154"/>
        <v>48579</v>
      </c>
      <c r="R255" s="75">
        <f t="shared" si="154"/>
        <v>48944</v>
      </c>
      <c r="S255" s="75">
        <f t="shared" si="154"/>
        <v>49309</v>
      </c>
      <c r="T255" s="75">
        <f t="shared" si="154"/>
        <v>49674</v>
      </c>
      <c r="U255" s="75">
        <f t="shared" si="154"/>
        <v>50040</v>
      </c>
      <c r="V255" s="75">
        <f t="shared" si="154"/>
        <v>50405</v>
      </c>
      <c r="W255" s="75">
        <f t="shared" si="154"/>
        <v>50770</v>
      </c>
      <c r="X255" s="75">
        <f t="shared" si="154"/>
        <v>51135</v>
      </c>
      <c r="Y255" s="75">
        <f t="shared" si="154"/>
        <v>51501</v>
      </c>
      <c r="Z255" s="75">
        <f t="shared" si="154"/>
        <v>51866</v>
      </c>
    </row>
    <row r="256" spans="2:26">
      <c r="B256" s="15" t="s">
        <v>598</v>
      </c>
      <c r="F256" s="16">
        <v>0</v>
      </c>
      <c r="G256" s="16">
        <f t="shared" ref="G256:N256" si="155">+F259</f>
        <v>0</v>
      </c>
      <c r="H256" s="16">
        <f t="shared" si="155"/>
        <v>0</v>
      </c>
      <c r="I256" s="16">
        <f>+H259</f>
        <v>0</v>
      </c>
      <c r="J256" s="16">
        <f>+I259</f>
        <v>0</v>
      </c>
      <c r="K256" s="16">
        <f t="shared" si="155"/>
        <v>0</v>
      </c>
      <c r="L256" s="16">
        <f t="shared" si="155"/>
        <v>0</v>
      </c>
      <c r="M256" s="16">
        <f t="shared" si="155"/>
        <v>0</v>
      </c>
      <c r="N256" s="16">
        <f t="shared" si="155"/>
        <v>0</v>
      </c>
      <c r="O256" s="16">
        <f t="shared" ref="O256:Z256" si="156">+N259</f>
        <v>0</v>
      </c>
      <c r="P256" s="16">
        <f t="shared" si="156"/>
        <v>0</v>
      </c>
      <c r="Q256" s="16">
        <f t="shared" si="156"/>
        <v>0</v>
      </c>
      <c r="R256" s="16">
        <f t="shared" si="156"/>
        <v>0</v>
      </c>
      <c r="S256" s="16">
        <f t="shared" si="156"/>
        <v>0</v>
      </c>
      <c r="T256" s="16">
        <f t="shared" si="156"/>
        <v>0</v>
      </c>
      <c r="U256" s="16">
        <f t="shared" si="156"/>
        <v>0</v>
      </c>
      <c r="V256" s="16">
        <f t="shared" si="156"/>
        <v>0</v>
      </c>
      <c r="W256" s="16">
        <f t="shared" si="156"/>
        <v>0</v>
      </c>
      <c r="X256" s="16">
        <f t="shared" si="156"/>
        <v>0</v>
      </c>
      <c r="Y256" s="16">
        <f t="shared" si="156"/>
        <v>0</v>
      </c>
      <c r="Z256" s="16">
        <f t="shared" si="156"/>
        <v>0</v>
      </c>
    </row>
    <row r="257" spans="2:26">
      <c r="B257" s="15" t="s">
        <v>599</v>
      </c>
      <c r="F257" s="76">
        <f>+IF(YEAR(F$140)=YEAR(Assumptions!$F$26),'S&amp;U'!$R$19,0)</f>
        <v>0</v>
      </c>
      <c r="G257" s="76">
        <f>+IF(YEAR(G$140)=YEAR(Assumptions!$F$26),'S&amp;U'!$R$19,0)</f>
        <v>0</v>
      </c>
      <c r="H257" s="76">
        <f>+IF(YEAR(H$140)=YEAR(Assumptions!$F$26),'S&amp;U'!$R$19,0)</f>
        <v>0</v>
      </c>
      <c r="I257" s="76">
        <f>+IF(YEAR(I$140)=YEAR(Assumptions!$F$26),'S&amp;U'!$R$19,0)</f>
        <v>4058107</v>
      </c>
      <c r="J257" s="76">
        <f>+IF(YEAR(J$140)=YEAR(Assumptions!$F$26),'S&amp;U'!$R$19,0)</f>
        <v>0</v>
      </c>
      <c r="K257" s="76">
        <f>+IF(YEAR(K$140)=YEAR(Assumptions!$F$26),'S&amp;U'!$R$19,0)</f>
        <v>0</v>
      </c>
      <c r="L257" s="76">
        <f>+IF(YEAR(L$140)=YEAR(Assumptions!$F$26),'S&amp;U'!$R$19,0)</f>
        <v>0</v>
      </c>
      <c r="M257" s="76">
        <f>+IF(YEAR(M$140)=YEAR(Assumptions!$F$26),'S&amp;U'!$R$19,0)</f>
        <v>0</v>
      </c>
      <c r="N257" s="76">
        <f>+IF(YEAR(N$140)=YEAR(Assumptions!$F$26),'S&amp;U'!$R$19,0)</f>
        <v>0</v>
      </c>
      <c r="O257" s="76">
        <f>+IF(YEAR(O$140)=YEAR(Assumptions!$F$26),'S&amp;U'!$R$19,0)</f>
        <v>0</v>
      </c>
      <c r="P257" s="76">
        <f>+IF(YEAR(P$140)=YEAR(Assumptions!$F$26),'S&amp;U'!$R$19,0)</f>
        <v>0</v>
      </c>
      <c r="Q257" s="76">
        <f>+IF(YEAR(Q$140)=YEAR(Assumptions!$F$26),'S&amp;U'!$R$19,0)</f>
        <v>0</v>
      </c>
      <c r="R257" s="76">
        <f>+IF(YEAR(R$140)=YEAR(Assumptions!$F$26),'S&amp;U'!$R$19,0)</f>
        <v>0</v>
      </c>
      <c r="S257" s="76">
        <f>+IF(YEAR(S$140)=YEAR(Assumptions!$F$26),'S&amp;U'!$R$19,0)</f>
        <v>0</v>
      </c>
      <c r="T257" s="76">
        <f>+IF(YEAR(T$140)=YEAR(Assumptions!$F$26),'S&amp;U'!$R$19,0)</f>
        <v>0</v>
      </c>
      <c r="U257" s="76">
        <f>+IF(YEAR(U$140)=YEAR(Assumptions!$F$26),'S&amp;U'!$R$19,0)</f>
        <v>0</v>
      </c>
      <c r="V257" s="76">
        <f>+IF(YEAR(V$140)=YEAR(Assumptions!$F$26),'S&amp;U'!$R$19,0)</f>
        <v>0</v>
      </c>
      <c r="W257" s="76">
        <f>+IF(YEAR(W$140)=YEAR(Assumptions!$F$26),'S&amp;U'!$R$19,0)</f>
        <v>0</v>
      </c>
      <c r="X257" s="76">
        <f>+IF(YEAR(X$140)=YEAR(Assumptions!$F$26),'S&amp;U'!$R$19,0)</f>
        <v>0</v>
      </c>
      <c r="Y257" s="76">
        <f>+IF(YEAR(Y$140)=YEAR(Assumptions!$F$26),'S&amp;U'!$R$19,0)</f>
        <v>0</v>
      </c>
      <c r="Z257" s="76">
        <f>+IF(YEAR(Z$140)=YEAR(Assumptions!$F$26),'S&amp;U'!$R$19,0)</f>
        <v>0</v>
      </c>
    </row>
    <row r="258" spans="2:26">
      <c r="B258" s="15" t="s">
        <v>167</v>
      </c>
      <c r="F258" s="76">
        <v>0</v>
      </c>
      <c r="G258" s="76">
        <v>0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</row>
    <row r="259" spans="2:26">
      <c r="B259" s="15" t="s">
        <v>600</v>
      </c>
      <c r="F259" s="76">
        <f t="shared" ref="F259:N259" si="157">+SUM(F256:F258)</f>
        <v>0</v>
      </c>
      <c r="G259" s="76">
        <f t="shared" si="157"/>
        <v>0</v>
      </c>
      <c r="H259" s="76">
        <f t="shared" si="157"/>
        <v>0</v>
      </c>
      <c r="I259" s="76">
        <v>0</v>
      </c>
      <c r="J259" s="76">
        <f t="shared" si="157"/>
        <v>0</v>
      </c>
      <c r="K259" s="76">
        <f t="shared" si="157"/>
        <v>0</v>
      </c>
      <c r="L259" s="76">
        <f t="shared" si="157"/>
        <v>0</v>
      </c>
      <c r="M259" s="76">
        <f t="shared" si="157"/>
        <v>0</v>
      </c>
      <c r="N259" s="76">
        <f t="shared" si="157"/>
        <v>0</v>
      </c>
      <c r="O259" s="76">
        <f t="shared" ref="O259" si="158">+SUM(O256:O258)</f>
        <v>0</v>
      </c>
      <c r="P259" s="76">
        <f t="shared" ref="P259" si="159">+SUM(P256:P258)</f>
        <v>0</v>
      </c>
      <c r="Q259" s="76">
        <f t="shared" ref="Q259" si="160">+SUM(Q256:Q258)</f>
        <v>0</v>
      </c>
      <c r="R259" s="76">
        <f t="shared" ref="R259" si="161">+SUM(R256:R258)</f>
        <v>0</v>
      </c>
      <c r="S259" s="76">
        <f t="shared" ref="S259" si="162">+SUM(S256:S258)</f>
        <v>0</v>
      </c>
      <c r="T259" s="76">
        <f t="shared" ref="T259" si="163">+SUM(T256:T258)</f>
        <v>0</v>
      </c>
      <c r="U259" s="76">
        <f t="shared" ref="U259" si="164">+SUM(U256:U258)</f>
        <v>0</v>
      </c>
      <c r="V259" s="76">
        <f t="shared" ref="V259" si="165">+SUM(V256:V258)</f>
        <v>0</v>
      </c>
      <c r="W259" s="76">
        <f t="shared" ref="W259" si="166">+SUM(W256:W258)</f>
        <v>0</v>
      </c>
      <c r="X259" s="76">
        <f t="shared" ref="X259" si="167">+SUM(X256:X258)</f>
        <v>0</v>
      </c>
      <c r="Y259" s="76">
        <f t="shared" ref="Y259" si="168">+SUM(Y256:Y258)</f>
        <v>0</v>
      </c>
      <c r="Z259" s="76">
        <f t="shared" ref="Z259" si="169">+SUM(Z256:Z258)</f>
        <v>0</v>
      </c>
    </row>
    <row r="261" spans="2:26">
      <c r="B261" s="21" t="s">
        <v>601</v>
      </c>
      <c r="F261" s="16">
        <f>+F259*Assumptions!$N$163</f>
        <v>0</v>
      </c>
      <c r="G261" s="16">
        <f>+G259*Assumptions!$N$163</f>
        <v>0</v>
      </c>
      <c r="H261" s="16">
        <f>+H259*Assumptions!$N$163</f>
        <v>0</v>
      </c>
      <c r="I261" s="16">
        <f>+I259*Assumptions!$N$163</f>
        <v>0</v>
      </c>
      <c r="J261" s="16">
        <f>+J259*Assumptions!$N$163</f>
        <v>0</v>
      </c>
      <c r="K261" s="16">
        <f>+K259*Assumptions!$N$163</f>
        <v>0</v>
      </c>
      <c r="L261" s="16">
        <f>+L259*Assumptions!$N$163</f>
        <v>0</v>
      </c>
      <c r="M261" s="16">
        <f>+M259*Assumptions!$N$163</f>
        <v>0</v>
      </c>
      <c r="N261" s="16">
        <f>+N259*Assumptions!$N$163</f>
        <v>0</v>
      </c>
      <c r="O261" s="16">
        <f>+O259*Assumptions!$N$163</f>
        <v>0</v>
      </c>
      <c r="P261" s="16">
        <f>+P259*Assumptions!$N$163</f>
        <v>0</v>
      </c>
      <c r="Q261" s="16">
        <f>+Q259*Assumptions!$N$163</f>
        <v>0</v>
      </c>
      <c r="R261" s="16">
        <f>+R259*Assumptions!$N$163</f>
        <v>0</v>
      </c>
      <c r="S261" s="16">
        <f>+S259*Assumptions!$N$163</f>
        <v>0</v>
      </c>
      <c r="T261" s="16">
        <f>+T259*Assumptions!$N$163</f>
        <v>0</v>
      </c>
      <c r="U261" s="16">
        <f>+U259*Assumptions!$N$163</f>
        <v>0</v>
      </c>
      <c r="V261" s="16">
        <f>+V259*Assumptions!$N$163</f>
        <v>0</v>
      </c>
      <c r="W261" s="16">
        <f>+W259*Assumptions!$N$163</f>
        <v>0</v>
      </c>
      <c r="X261" s="16">
        <f>+X259*Assumptions!$N$163</f>
        <v>0</v>
      </c>
      <c r="Y261" s="16">
        <f>+Y259*Assumptions!$N$163</f>
        <v>0</v>
      </c>
      <c r="Z261" s="16">
        <f>+Z259*Assumptions!$N$163</f>
        <v>0</v>
      </c>
    </row>
    <row r="262" spans="2:26">
      <c r="B262" s="62" t="s">
        <v>602</v>
      </c>
      <c r="C262" s="62"/>
      <c r="D262" s="62"/>
      <c r="E262" s="62"/>
      <c r="F262" s="58">
        <f t="shared" ref="F262" si="170">+F261-F258</f>
        <v>0</v>
      </c>
      <c r="G262" s="58">
        <f t="shared" ref="G262" si="171">+G261-G258</f>
        <v>0</v>
      </c>
      <c r="H262" s="58">
        <f t="shared" ref="H262" si="172">+H261-H258</f>
        <v>0</v>
      </c>
      <c r="I262" s="58">
        <f t="shared" ref="I262" si="173">+I261-I258</f>
        <v>0</v>
      </c>
      <c r="J262" s="58">
        <f t="shared" ref="J262" si="174">+J261-J258</f>
        <v>0</v>
      </c>
      <c r="K262" s="58">
        <f t="shared" ref="K262" si="175">+K261-K258</f>
        <v>0</v>
      </c>
      <c r="L262" s="58">
        <f>+L261-L258</f>
        <v>0</v>
      </c>
      <c r="M262" s="58">
        <f t="shared" ref="M262" si="176">+M261-M258</f>
        <v>0</v>
      </c>
      <c r="N262" s="58">
        <f t="shared" ref="N262" si="177">+N261-N258</f>
        <v>0</v>
      </c>
      <c r="O262" s="58">
        <f t="shared" ref="O262" si="178">+O261-O258</f>
        <v>0</v>
      </c>
      <c r="P262" s="58">
        <f t="shared" ref="P262" si="179">+P261-P258</f>
        <v>0</v>
      </c>
      <c r="Q262" s="58">
        <f t="shared" ref="Q262" si="180">+Q261-Q258</f>
        <v>0</v>
      </c>
      <c r="R262" s="58">
        <f t="shared" ref="R262" si="181">+R261-R258</f>
        <v>0</v>
      </c>
      <c r="S262" s="58">
        <f t="shared" ref="S262" si="182">+S261-S258</f>
        <v>0</v>
      </c>
      <c r="T262" s="58">
        <f t="shared" ref="T262" si="183">+T261-T258</f>
        <v>0</v>
      </c>
      <c r="U262" s="58">
        <f t="shared" ref="U262" si="184">+U261-U258</f>
        <v>0</v>
      </c>
      <c r="V262" s="58">
        <f t="shared" ref="V262" si="185">+V261-V258</f>
        <v>0</v>
      </c>
      <c r="W262" s="58">
        <f t="shared" ref="W262" si="186">+W261-W258</f>
        <v>0</v>
      </c>
      <c r="X262" s="58">
        <f t="shared" ref="X262" si="187">+X261-X258</f>
        <v>0</v>
      </c>
      <c r="Y262" s="58">
        <f t="shared" ref="Y262" si="188">+Y261-Y258</f>
        <v>0</v>
      </c>
      <c r="Z262" s="58">
        <f t="shared" ref="Z262" si="189">+Z261-Z258</f>
        <v>0</v>
      </c>
    </row>
    <row r="263" spans="2:26">
      <c r="B263" s="71" t="s">
        <v>165</v>
      </c>
      <c r="F263" s="89" t="str">
        <f t="shared" ref="F263" si="190">+IFERROR(F251/F262,"")</f>
        <v/>
      </c>
      <c r="G263" s="89" t="str">
        <f t="shared" ref="G263" si="191">+IFERROR(G251/G262,"")</f>
        <v/>
      </c>
      <c r="H263" s="89" t="str">
        <f t="shared" ref="H263" si="192">+IFERROR(H251/H262,"")</f>
        <v/>
      </c>
      <c r="I263" s="89" t="str">
        <f t="shared" ref="I263" si="193">+IFERROR(I251/I262,"")</f>
        <v/>
      </c>
      <c r="J263" s="89" t="str">
        <f t="shared" ref="J263" si="194">+IFERROR(J251/J262,"")</f>
        <v/>
      </c>
      <c r="K263" s="89" t="str">
        <f>+IFERROR(K251/K262,"")</f>
        <v/>
      </c>
      <c r="L263" s="89" t="str">
        <f t="shared" ref="L263" si="195">+IFERROR(L251/L262,"")</f>
        <v/>
      </c>
      <c r="M263" s="89" t="str">
        <f t="shared" ref="M263" si="196">+IFERROR(M251/M262,"")</f>
        <v/>
      </c>
      <c r="N263" s="89" t="str">
        <f t="shared" ref="N263" si="197">+IFERROR(N251/N262,"")</f>
        <v/>
      </c>
      <c r="O263" s="89" t="str">
        <f t="shared" ref="O263" si="198">+IFERROR(O251/O262,"")</f>
        <v/>
      </c>
      <c r="P263" s="89" t="str">
        <f t="shared" ref="P263" si="199">+IFERROR(P251/P262,"")</f>
        <v/>
      </c>
      <c r="Q263" s="89" t="str">
        <f t="shared" ref="Q263" si="200">+IFERROR(Q251/Q262,"")</f>
        <v/>
      </c>
      <c r="R263" s="89" t="str">
        <f t="shared" ref="R263" si="201">+IFERROR(R251/R262,"")</f>
        <v/>
      </c>
      <c r="S263" s="89" t="str">
        <f t="shared" ref="S263" si="202">+IFERROR(S251/S262,"")</f>
        <v/>
      </c>
      <c r="T263" s="89" t="str">
        <f t="shared" ref="T263" si="203">+IFERROR(T251/T262,"")</f>
        <v/>
      </c>
      <c r="U263" s="89" t="str">
        <f t="shared" ref="U263" si="204">+IFERROR(U251/U262,"")</f>
        <v/>
      </c>
      <c r="V263" s="89" t="str">
        <f t="shared" ref="V263" si="205">+IFERROR(V251/V262,"")</f>
        <v/>
      </c>
      <c r="W263" s="89" t="str">
        <f t="shared" ref="W263" si="206">+IFERROR(W251/W262,"")</f>
        <v/>
      </c>
      <c r="X263" s="89" t="str">
        <f t="shared" ref="X263" si="207">+IFERROR(X251/X262,"")</f>
        <v/>
      </c>
      <c r="Y263" s="89" t="str">
        <f t="shared" ref="Y263" si="208">+IFERROR(Y251/Y262,"")</f>
        <v/>
      </c>
      <c r="Z263" s="89" t="str">
        <f t="shared" ref="Z263" si="209">+IFERROR(Z251/Z262,"")</f>
        <v/>
      </c>
    </row>
    <row r="265" spans="2:26">
      <c r="B265" s="21" t="s">
        <v>161</v>
      </c>
      <c r="F265" s="16">
        <f>+F257*Assumptions!$N$164</f>
        <v>0</v>
      </c>
      <c r="G265" s="16">
        <f>+G257*Assumptions!$N$164</f>
        <v>0</v>
      </c>
      <c r="H265" s="16">
        <f>+H257*Assumptions!$N$164</f>
        <v>0</v>
      </c>
      <c r="I265" s="16">
        <f>+I257*Assumptions!$N$164</f>
        <v>30435.802499999998</v>
      </c>
      <c r="J265" s="16">
        <f>+J257*Assumptions!$N$164</f>
        <v>0</v>
      </c>
      <c r="K265" s="16">
        <f>+K257*Assumptions!$N$164</f>
        <v>0</v>
      </c>
      <c r="L265" s="16">
        <f>+L257*Assumptions!$N$164</f>
        <v>0</v>
      </c>
      <c r="M265" s="16">
        <f>+M257*Assumptions!$N$164</f>
        <v>0</v>
      </c>
      <c r="N265" s="16">
        <f>+N257*Assumptions!$N$164</f>
        <v>0</v>
      </c>
      <c r="O265" s="16">
        <f>+O257*Assumptions!$N$164</f>
        <v>0</v>
      </c>
      <c r="P265" s="16">
        <f>+P257*Assumptions!$N$164</f>
        <v>0</v>
      </c>
      <c r="Q265" s="16">
        <f>+Q257*Assumptions!$N$164</f>
        <v>0</v>
      </c>
      <c r="R265" s="16">
        <f>+R257*Assumptions!$N$164</f>
        <v>0</v>
      </c>
      <c r="S265" s="16">
        <f>+S257*Assumptions!$N$164</f>
        <v>0</v>
      </c>
      <c r="T265" s="16">
        <f>+T257*Assumptions!$N$164</f>
        <v>0</v>
      </c>
      <c r="U265" s="16">
        <f>+U257*Assumptions!$N$164</f>
        <v>0</v>
      </c>
      <c r="V265" s="16">
        <f>+V257*Assumptions!$N$164</f>
        <v>0</v>
      </c>
      <c r="W265" s="16">
        <f>+W257*Assumptions!$N$164</f>
        <v>0</v>
      </c>
      <c r="X265" s="16">
        <f>+X257*Assumptions!$N$164</f>
        <v>0</v>
      </c>
      <c r="Y265" s="16">
        <f>+Y257*Assumptions!$N$164</f>
        <v>0</v>
      </c>
      <c r="Z265" s="16">
        <f>+Z257*Assumptions!$N$164</f>
        <v>0</v>
      </c>
    </row>
    <row r="267" spans="2:26">
      <c r="B267" s="62" t="s">
        <v>603</v>
      </c>
      <c r="C267" s="62"/>
      <c r="D267" s="62"/>
      <c r="E267" s="62"/>
      <c r="F267" s="58">
        <f>+F251-F262-F265</f>
        <v>0</v>
      </c>
      <c r="G267" s="58">
        <f t="shared" ref="G267:Z267" si="210">+G251-G262-G265</f>
        <v>0</v>
      </c>
      <c r="H267" s="58">
        <f t="shared" si="210"/>
        <v>0</v>
      </c>
      <c r="I267" s="58">
        <f t="shared" si="210"/>
        <v>91565.546037490014</v>
      </c>
      <c r="J267" s="58">
        <f t="shared" si="210"/>
        <v>186054.51215516002</v>
      </c>
      <c r="K267" s="58">
        <f t="shared" si="210"/>
        <v>184018.75439826321</v>
      </c>
      <c r="L267" s="58">
        <f t="shared" si="210"/>
        <v>210726.52148622851</v>
      </c>
      <c r="M267" s="58">
        <f t="shared" si="210"/>
        <v>208608.51911595304</v>
      </c>
      <c r="N267" s="58">
        <f t="shared" si="210"/>
        <v>206448.15669827213</v>
      </c>
      <c r="O267" s="58">
        <f t="shared" si="210"/>
        <v>204244.58703223756</v>
      </c>
      <c r="P267" s="58">
        <f t="shared" si="210"/>
        <v>201996.9459728823</v>
      </c>
      <c r="Q267" s="58">
        <f t="shared" si="210"/>
        <v>231367.01609234</v>
      </c>
      <c r="R267" s="58">
        <f t="shared" si="210"/>
        <v>229028.57033418681</v>
      </c>
      <c r="S267" s="58">
        <f t="shared" si="210"/>
        <v>226643.35566087055</v>
      </c>
      <c r="T267" s="58">
        <f t="shared" si="210"/>
        <v>224210.43669408793</v>
      </c>
      <c r="U267" s="58">
        <f t="shared" si="210"/>
        <v>221728.8593479697</v>
      </c>
      <c r="V267" s="58">
        <f t="shared" si="210"/>
        <v>254026.58085492917</v>
      </c>
      <c r="W267" s="58">
        <f t="shared" si="210"/>
        <v>251444.74778402771</v>
      </c>
      <c r="X267" s="58">
        <f t="shared" si="210"/>
        <v>248811.27805170824</v>
      </c>
      <c r="Y267" s="58">
        <f t="shared" si="210"/>
        <v>246125.13892474244</v>
      </c>
      <c r="Z267" s="58">
        <f t="shared" si="210"/>
        <v>243385.27701523725</v>
      </c>
    </row>
    <row r="269" spans="2:26">
      <c r="B269" s="73" t="s">
        <v>630</v>
      </c>
    </row>
    <row r="270" spans="2:26">
      <c r="B270" s="15" t="s">
        <v>605</v>
      </c>
      <c r="F270" s="16">
        <f>+IF(YEAR(F$140)=YEAR(Assumptions!$F$30),F253,0)</f>
        <v>0</v>
      </c>
      <c r="G270" s="16">
        <f>+IF(YEAR(G$140)=YEAR(Assumptions!$F$30),G253,0)</f>
        <v>0</v>
      </c>
      <c r="H270" s="819">
        <f>+IF(YEAR(H$140)=YEAR(Assumptions!$F$30),H253,0)</f>
        <v>0</v>
      </c>
      <c r="I270" s="16">
        <f>+IF(YEAR(I$140)=YEAR(Assumptions!$F$30),I253,0)</f>
        <v>0</v>
      </c>
      <c r="J270" s="16">
        <f>+IF(YEAR(J$140)=YEAR(Assumptions!$F$30),J253,0)</f>
        <v>0</v>
      </c>
      <c r="K270" s="16">
        <f>+IF(YEAR(K$140)=YEAR(Assumptions!$F$30),K253,0)</f>
        <v>0</v>
      </c>
      <c r="L270" s="16">
        <f>+IF(YEAR(L$140)=YEAR(Assumptions!$F$30),L253,0)</f>
        <v>0</v>
      </c>
      <c r="M270" s="16">
        <f>+IF(YEAR(M$140)=YEAR(Assumptions!$F$30),M253,0)</f>
        <v>0</v>
      </c>
      <c r="N270" s="16">
        <f>+IF(YEAR(N$140)=YEAR(Assumptions!$F$30),N253,0)</f>
        <v>0</v>
      </c>
      <c r="O270" s="16">
        <f>+IF(YEAR(O$140)=YEAR(Assumptions!$F$30),O253,0)</f>
        <v>0</v>
      </c>
      <c r="P270" s="16">
        <f>+IF(YEAR(P$140)=YEAR(Assumptions!$F$30),P253,0)</f>
        <v>3672671.7449614964</v>
      </c>
      <c r="Q270" s="16">
        <f>+IF(YEAR(Q$140)=YEAR(Assumptions!$F$30),Q253,0)</f>
        <v>0</v>
      </c>
      <c r="R270" s="16">
        <f>+IF(YEAR(R$140)=YEAR(Assumptions!$F$30),R253,0)</f>
        <v>0</v>
      </c>
      <c r="S270" s="16">
        <f>+IF(YEAR(S$140)=YEAR(Assumptions!$F$30),S253,0)</f>
        <v>0</v>
      </c>
      <c r="T270" s="16">
        <f>+IF(YEAR(T$140)=YEAR(Assumptions!$F$30),T253,0)</f>
        <v>0</v>
      </c>
      <c r="U270" s="16">
        <f>+IF(YEAR(U$140)=YEAR(Assumptions!$F$30),U253,0)</f>
        <v>0</v>
      </c>
      <c r="V270" s="16">
        <f>+IF(YEAR(V$140)=YEAR(Assumptions!$F$30),V253,0)</f>
        <v>0</v>
      </c>
      <c r="W270" s="16">
        <f>+IF(YEAR(W$140)=YEAR(Assumptions!$F$30),W253,0)</f>
        <v>0</v>
      </c>
      <c r="X270" s="16">
        <f>+IF(YEAR(X$140)=YEAR(Assumptions!$F$30),X253,0)</f>
        <v>0</v>
      </c>
      <c r="Y270" s="16">
        <f>+IF(YEAR(Y$140)=YEAR(Assumptions!$F$30),Y253,0)</f>
        <v>0</v>
      </c>
      <c r="Z270" s="16">
        <f>+IF(YEAR(Z$140)=YEAR(Assumptions!$F$30),Z253,0)</f>
        <v>0</v>
      </c>
    </row>
    <row r="271" spans="2:26">
      <c r="B271" s="15" t="s">
        <v>607</v>
      </c>
      <c r="F271" s="76">
        <f>-F270*Assumptions!$N$136</f>
        <v>0</v>
      </c>
      <c r="G271" s="76">
        <f>-G270*Assumptions!$N$136</f>
        <v>0</v>
      </c>
      <c r="H271" s="612">
        <f>-H270*Assumptions!$N$136</f>
        <v>0</v>
      </c>
      <c r="I271" s="76">
        <f>-I270*Assumptions!$N$136</f>
        <v>0</v>
      </c>
      <c r="J271" s="76">
        <f>-J270*Assumptions!$N$136</f>
        <v>0</v>
      </c>
      <c r="K271" s="76">
        <f>-K270*Assumptions!$N$136</f>
        <v>0</v>
      </c>
      <c r="L271" s="76">
        <f>-L270*Assumptions!$N$136</f>
        <v>0</v>
      </c>
      <c r="M271" s="76">
        <f>-M270*Assumptions!$N$136</f>
        <v>0</v>
      </c>
      <c r="N271" s="76">
        <f>-N270*Assumptions!$N$136</f>
        <v>0</v>
      </c>
      <c r="O271" s="76">
        <f>-O270*Assumptions!$N$136</f>
        <v>0</v>
      </c>
      <c r="P271" s="76">
        <f>-P270*Assumptions!$N$136</f>
        <v>-73453.434899229935</v>
      </c>
      <c r="Q271" s="76">
        <f>-Q270*Assumptions!$N$136</f>
        <v>0</v>
      </c>
      <c r="R271" s="76">
        <f>-R270*Assumptions!$N$136</f>
        <v>0</v>
      </c>
      <c r="S271" s="76">
        <f>-S270*Assumptions!$N$136</f>
        <v>0</v>
      </c>
      <c r="T271" s="76">
        <f>-T270*Assumptions!$N$136</f>
        <v>0</v>
      </c>
      <c r="U271" s="76">
        <f>-U270*Assumptions!$N$136</f>
        <v>0</v>
      </c>
      <c r="V271" s="76">
        <f>-V270*Assumptions!$N$136</f>
        <v>0</v>
      </c>
      <c r="W271" s="76">
        <f>-W270*Assumptions!$N$136</f>
        <v>0</v>
      </c>
      <c r="X271" s="76">
        <f>-X270*Assumptions!$N$136</f>
        <v>0</v>
      </c>
      <c r="Y271" s="76">
        <f>-Y270*Assumptions!$N$136</f>
        <v>0</v>
      </c>
      <c r="Z271" s="76">
        <f>-Z270*Assumptions!$N$136</f>
        <v>0</v>
      </c>
    </row>
    <row r="272" spans="2:26">
      <c r="B272" s="15" t="s">
        <v>608</v>
      </c>
      <c r="F272" s="76">
        <f>+IF(YEAR(F$140)=YEAR(Assumptions!$F$30),-F259,0)</f>
        <v>0</v>
      </c>
      <c r="G272" s="76">
        <f>+IF(YEAR(G$140)=YEAR(Assumptions!$F$30),-G259,0)</f>
        <v>0</v>
      </c>
      <c r="H272" s="612">
        <f>+IF(YEAR(H$140)=YEAR(Assumptions!$F$30),-H259,0)</f>
        <v>0</v>
      </c>
      <c r="I272" s="76">
        <f>+IF(YEAR(I$140)=YEAR(Assumptions!$F$30),-I259,0)</f>
        <v>0</v>
      </c>
      <c r="J272" s="76">
        <f>+IF(YEAR(J$140)=YEAR(Assumptions!$F$30),-J259,0)</f>
        <v>0</v>
      </c>
      <c r="K272" s="76">
        <f>+IF(YEAR(K$140)=YEAR(Assumptions!$F$30),-K259,0)</f>
        <v>0</v>
      </c>
      <c r="L272" s="76">
        <f>+IF(YEAR(L$140)=YEAR(Assumptions!$F$30),-L259,0)</f>
        <v>0</v>
      </c>
      <c r="M272" s="76">
        <f>+IF(YEAR(M$140)=YEAR(Assumptions!$F$30),-M259,0)</f>
        <v>0</v>
      </c>
      <c r="N272" s="76">
        <f>+IF(YEAR(N$140)=YEAR(Assumptions!$F$30),-N259,0)</f>
        <v>0</v>
      </c>
      <c r="O272" s="76">
        <f>+IF(YEAR(O$140)=YEAR(Assumptions!$F$30),-O259,0)</f>
        <v>0</v>
      </c>
      <c r="P272" s="76">
        <f>+IF(YEAR(P$140)=YEAR(Assumptions!$F$30),-P259,0)</f>
        <v>0</v>
      </c>
      <c r="Q272" s="76">
        <f>+IF(YEAR(Q$140)=YEAR(Assumptions!$F$30),-Q259,0)</f>
        <v>0</v>
      </c>
      <c r="R272" s="76">
        <f>+IF(YEAR(R$140)=YEAR(Assumptions!$F$30),-R259,0)</f>
        <v>0</v>
      </c>
      <c r="S272" s="76">
        <f>+IF(YEAR(S$140)=YEAR(Assumptions!$F$30),-S259,0)</f>
        <v>0</v>
      </c>
      <c r="T272" s="76">
        <f>+IF(YEAR(T$140)=YEAR(Assumptions!$F$30),-T259,0)</f>
        <v>0</v>
      </c>
      <c r="U272" s="76">
        <f>+IF(YEAR(U$140)=YEAR(Assumptions!$F$30),-U259,0)</f>
        <v>0</v>
      </c>
      <c r="V272" s="76">
        <f>+IF(YEAR(V$140)=YEAR(Assumptions!$F$30),-V259,0)</f>
        <v>0</v>
      </c>
      <c r="W272" s="76">
        <f>+IF(YEAR(W$140)=YEAR(Assumptions!$F$30),-W259,0)</f>
        <v>0</v>
      </c>
      <c r="X272" s="76">
        <f>+IF(YEAR(X$140)=YEAR(Assumptions!$F$30),-X259,0)</f>
        <v>0</v>
      </c>
      <c r="Y272" s="76">
        <f>+IF(YEAR(Y$140)=YEAR(Assumptions!$F$30),-Y259,0)</f>
        <v>0</v>
      </c>
      <c r="Z272" s="76">
        <f>+IF(YEAR(Z$140)=YEAR(Assumptions!$F$30),-Z259,0)</f>
        <v>0</v>
      </c>
    </row>
    <row r="273" spans="2:26">
      <c r="B273" s="62" t="s">
        <v>609</v>
      </c>
      <c r="C273" s="62"/>
      <c r="D273" s="62"/>
      <c r="E273" s="62"/>
      <c r="F273" s="58">
        <f t="shared" ref="F273:Z273" si="211">+SUM(F270:F272)</f>
        <v>0</v>
      </c>
      <c r="G273" s="58">
        <f t="shared" si="211"/>
        <v>0</v>
      </c>
      <c r="H273" s="58">
        <f t="shared" si="211"/>
        <v>0</v>
      </c>
      <c r="I273" s="58">
        <f t="shared" si="211"/>
        <v>0</v>
      </c>
      <c r="J273" s="58">
        <f t="shared" si="211"/>
        <v>0</v>
      </c>
      <c r="K273" s="58">
        <f t="shared" si="211"/>
        <v>0</v>
      </c>
      <c r="L273" s="58">
        <f t="shared" si="211"/>
        <v>0</v>
      </c>
      <c r="M273" s="58">
        <f t="shared" si="211"/>
        <v>0</v>
      </c>
      <c r="N273" s="58">
        <f t="shared" si="211"/>
        <v>0</v>
      </c>
      <c r="O273" s="58">
        <f t="shared" si="211"/>
        <v>0</v>
      </c>
      <c r="P273" s="58">
        <f t="shared" si="211"/>
        <v>3599218.3100622664</v>
      </c>
      <c r="Q273" s="58">
        <f t="shared" si="211"/>
        <v>0</v>
      </c>
      <c r="R273" s="58">
        <f t="shared" si="211"/>
        <v>0</v>
      </c>
      <c r="S273" s="58">
        <f t="shared" si="211"/>
        <v>0</v>
      </c>
      <c r="T273" s="58">
        <f t="shared" si="211"/>
        <v>0</v>
      </c>
      <c r="U273" s="58">
        <f t="shared" si="211"/>
        <v>0</v>
      </c>
      <c r="V273" s="58">
        <f t="shared" si="211"/>
        <v>0</v>
      </c>
      <c r="W273" s="58">
        <f t="shared" si="211"/>
        <v>0</v>
      </c>
      <c r="X273" s="58">
        <f t="shared" si="211"/>
        <v>0</v>
      </c>
      <c r="Y273" s="58">
        <f t="shared" si="211"/>
        <v>0</v>
      </c>
      <c r="Z273" s="58">
        <f t="shared" si="211"/>
        <v>0</v>
      </c>
    </row>
    <row r="275" spans="2:26">
      <c r="B275" s="653" t="s">
        <v>611</v>
      </c>
      <c r="C275" s="653"/>
      <c r="D275" s="653"/>
      <c r="E275" s="653"/>
      <c r="F275" s="544">
        <f>+IF(YEAR(F$140)&lt;=YEAR(Assumptions!$F$30),'Phase I Pro Forma'!F273+'Phase I Pro Forma'!F267,0)</f>
        <v>0</v>
      </c>
      <c r="G275" s="544">
        <f>+IF(YEAR(G$140)&lt;=YEAR(Assumptions!$F$30),'Phase I Pro Forma'!G273+'Phase I Pro Forma'!G267,0)</f>
        <v>0</v>
      </c>
      <c r="H275" s="544">
        <f>+IF(YEAR(H$140)&lt;=YEAR(Assumptions!$F$30),'Phase I Pro Forma'!H273+'Phase I Pro Forma'!H267,0)</f>
        <v>0</v>
      </c>
      <c r="I275" s="544">
        <f>+IF(YEAR(I$140)&lt;=YEAR(Assumptions!$F$30),'Phase I Pro Forma'!I273+'Phase I Pro Forma'!I267,0)</f>
        <v>91565.546037490014</v>
      </c>
      <c r="J275" s="544">
        <f>+IF(YEAR(J$140)&lt;=YEAR(Assumptions!$F$30),'Phase I Pro Forma'!J273+'Phase I Pro Forma'!J267,0)</f>
        <v>186054.51215516002</v>
      </c>
      <c r="K275" s="544">
        <f>+IF(YEAR(K$140)&lt;=YEAR(Assumptions!$F$30),'Phase I Pro Forma'!K273+'Phase I Pro Forma'!K267,0)</f>
        <v>184018.75439826321</v>
      </c>
      <c r="L275" s="544">
        <f>+IF(YEAR(L$140)&lt;=YEAR(Assumptions!$F$30),'Phase I Pro Forma'!L273+'Phase I Pro Forma'!L267,0)</f>
        <v>210726.52148622851</v>
      </c>
      <c r="M275" s="544">
        <f>+IF(YEAR(M$140)&lt;=YEAR(Assumptions!$F$30),'Phase I Pro Forma'!M273+'Phase I Pro Forma'!M267,0)</f>
        <v>208608.51911595304</v>
      </c>
      <c r="N275" s="544">
        <f>+IF(YEAR(N$140)&lt;=YEAR(Assumptions!$F$30),'Phase I Pro Forma'!N273+'Phase I Pro Forma'!N267,0)</f>
        <v>206448.15669827213</v>
      </c>
      <c r="O275" s="544">
        <f>+IF(YEAR(O$140)&lt;=YEAR(Assumptions!$F$30),'Phase I Pro Forma'!O273+'Phase I Pro Forma'!O267,0)</f>
        <v>204244.58703223756</v>
      </c>
      <c r="P275" s="544">
        <f>+IF(YEAR(P$140)&lt;=YEAR(Assumptions!$F$30),'Phase I Pro Forma'!P273+'Phase I Pro Forma'!P267,0)</f>
        <v>3801215.2560351486</v>
      </c>
      <c r="Q275" s="544">
        <f>+IF(YEAR(Q$140)&lt;=YEAR(Assumptions!$F$30),'Phase I Pro Forma'!Q273+'Phase I Pro Forma'!Q267,0)</f>
        <v>0</v>
      </c>
      <c r="R275" s="544">
        <f>+IF(YEAR(R$140)&lt;=YEAR(Assumptions!$F$30),'Phase I Pro Forma'!R273+'Phase I Pro Forma'!R267,0)</f>
        <v>0</v>
      </c>
      <c r="S275" s="544">
        <f>+IF(YEAR(S$140)&lt;=YEAR(Assumptions!$F$30),'Phase I Pro Forma'!S273+'Phase I Pro Forma'!S267,0)</f>
        <v>0</v>
      </c>
      <c r="T275" s="544">
        <f>+IF(YEAR(T$140)&lt;=YEAR(Assumptions!$F$30),'Phase I Pro Forma'!T273+'Phase I Pro Forma'!T267,0)</f>
        <v>0</v>
      </c>
      <c r="U275" s="544">
        <f>+IF(YEAR(U$140)&lt;=YEAR(Assumptions!$F$30),'Phase I Pro Forma'!U273+'Phase I Pro Forma'!U267,0)</f>
        <v>0</v>
      </c>
      <c r="V275" s="544">
        <f>+IF(YEAR(V$140)&lt;=YEAR(Assumptions!$F$30),'Phase I Pro Forma'!V273+'Phase I Pro Forma'!V267,0)</f>
        <v>0</v>
      </c>
      <c r="W275" s="544">
        <f>+IF(YEAR(W$140)&lt;=YEAR(Assumptions!$F$30),'Phase I Pro Forma'!W273+'Phase I Pro Forma'!W267,0)</f>
        <v>0</v>
      </c>
      <c r="X275" s="544">
        <f>+IF(YEAR(X$140)&lt;=YEAR(Assumptions!$F$30),'Phase I Pro Forma'!X273+'Phase I Pro Forma'!X267,0)</f>
        <v>0</v>
      </c>
      <c r="Y275" s="544">
        <f>+IF(YEAR(Y$140)&lt;=YEAR(Assumptions!$F$30),'Phase I Pro Forma'!Y273+'Phase I Pro Forma'!Y267,0)</f>
        <v>0</v>
      </c>
      <c r="Z275" s="544">
        <f>+IF(YEAR(Z$140)&lt;=YEAR(Assumptions!$F$30),'Phase I Pro Forma'!Z273+'Phase I Pro Forma'!Z267,0)</f>
        <v>0</v>
      </c>
    </row>
    <row r="277" spans="2:26">
      <c r="B277" s="653" t="s">
        <v>631</v>
      </c>
      <c r="C277" s="653"/>
      <c r="D277" s="653"/>
      <c r="E277" s="653"/>
      <c r="F277" s="544">
        <f t="shared" ref="F277:Z277" si="212">+F275+F230+F162</f>
        <v>0</v>
      </c>
      <c r="G277" s="544">
        <f t="shared" si="212"/>
        <v>0</v>
      </c>
      <c r="H277" s="544">
        <f t="shared" si="212"/>
        <v>0</v>
      </c>
      <c r="I277" s="544">
        <f t="shared" ca="1" si="212"/>
        <v>172676049.55257836</v>
      </c>
      <c r="J277" s="544">
        <f t="shared" ca="1" si="212"/>
        <v>2961425.9525415883</v>
      </c>
      <c r="K277" s="544">
        <f t="shared" ca="1" si="212"/>
        <v>3187886.3420144175</v>
      </c>
      <c r="L277" s="544">
        <f t="shared" ca="1" si="212"/>
        <v>10717207.721793357</v>
      </c>
      <c r="M277" s="544">
        <f t="shared" ca="1" si="212"/>
        <v>10934583.583898494</v>
      </c>
      <c r="N277" s="544">
        <f t="shared" ca="1" si="212"/>
        <v>11130743.696651906</v>
      </c>
      <c r="O277" s="544">
        <f t="shared" ca="1" si="212"/>
        <v>11346709.331483688</v>
      </c>
      <c r="P277" s="544">
        <f t="shared" ca="1" si="212"/>
        <v>248071606.42917961</v>
      </c>
      <c r="Q277" s="544">
        <f t="shared" si="212"/>
        <v>0</v>
      </c>
      <c r="R277" s="544">
        <f t="shared" si="212"/>
        <v>0</v>
      </c>
      <c r="S277" s="544">
        <f t="shared" si="212"/>
        <v>0</v>
      </c>
      <c r="T277" s="544">
        <f t="shared" si="212"/>
        <v>0</v>
      </c>
      <c r="U277" s="544">
        <f t="shared" si="212"/>
        <v>0</v>
      </c>
      <c r="V277" s="544">
        <f t="shared" si="212"/>
        <v>0</v>
      </c>
      <c r="W277" s="544">
        <f t="shared" si="212"/>
        <v>0</v>
      </c>
      <c r="X277" s="544">
        <f t="shared" si="212"/>
        <v>0</v>
      </c>
      <c r="Y277" s="544">
        <f t="shared" si="212"/>
        <v>0</v>
      </c>
      <c r="Z277" s="544">
        <f t="shared" si="212"/>
        <v>0</v>
      </c>
    </row>
    <row r="279" spans="2:26">
      <c r="B279" s="21" t="s">
        <v>632</v>
      </c>
      <c r="F279" s="16">
        <f t="shared" ref="F279:Z279" si="213">+F156+F301</f>
        <v>61171525</v>
      </c>
      <c r="G279" s="16">
        <f t="shared" si="213"/>
        <v>0</v>
      </c>
      <c r="H279" s="16">
        <f t="shared" si="213"/>
        <v>0</v>
      </c>
      <c r="I279" s="16">
        <f t="shared" si="213"/>
        <v>178464826.62044176</v>
      </c>
      <c r="J279" s="16">
        <f t="shared" si="213"/>
        <v>0</v>
      </c>
      <c r="K279" s="16">
        <f t="shared" si="213"/>
        <v>0</v>
      </c>
      <c r="L279" s="16">
        <f t="shared" si="213"/>
        <v>0</v>
      </c>
      <c r="M279" s="16">
        <f t="shared" si="213"/>
        <v>0</v>
      </c>
      <c r="N279" s="16">
        <f t="shared" si="213"/>
        <v>0</v>
      </c>
      <c r="O279" s="16">
        <f t="shared" si="213"/>
        <v>0</v>
      </c>
      <c r="P279" s="16">
        <f t="shared" si="213"/>
        <v>0</v>
      </c>
      <c r="Q279" s="16">
        <f t="shared" si="213"/>
        <v>0</v>
      </c>
      <c r="R279" s="16">
        <f t="shared" si="213"/>
        <v>0</v>
      </c>
      <c r="S279" s="16">
        <f t="shared" si="213"/>
        <v>0</v>
      </c>
      <c r="T279" s="16">
        <f t="shared" si="213"/>
        <v>0</v>
      </c>
      <c r="U279" s="16">
        <f t="shared" si="213"/>
        <v>0</v>
      </c>
      <c r="V279" s="16">
        <f t="shared" si="213"/>
        <v>0</v>
      </c>
      <c r="W279" s="16">
        <f t="shared" si="213"/>
        <v>0</v>
      </c>
      <c r="X279" s="16">
        <f t="shared" si="213"/>
        <v>0</v>
      </c>
      <c r="Y279" s="16">
        <f t="shared" si="213"/>
        <v>0</v>
      </c>
      <c r="Z279" s="16">
        <f t="shared" si="213"/>
        <v>0</v>
      </c>
    </row>
    <row r="280" spans="2:26">
      <c r="B280" s="21" t="s">
        <v>633</v>
      </c>
      <c r="F280" s="16">
        <f>-F272+F262-F227+F217-F158+F147+F220+F150+F265</f>
        <v>0</v>
      </c>
      <c r="G280" s="16">
        <f t="shared" ref="G280:Z280" si="214">-G272+G262-G227+G217-G158+G147+G220+G150+G265</f>
        <v>0</v>
      </c>
      <c r="H280" s="16">
        <f t="shared" si="214"/>
        <v>0</v>
      </c>
      <c r="I280" s="362">
        <v>0</v>
      </c>
      <c r="J280" s="16">
        <f t="shared" si="214"/>
        <v>16977894.798318658</v>
      </c>
      <c r="K280" s="16">
        <f t="shared" si="214"/>
        <v>16977894.798318654</v>
      </c>
      <c r="L280" s="16">
        <f t="shared" si="214"/>
        <v>16977894.798318654</v>
      </c>
      <c r="M280" s="16">
        <f t="shared" si="214"/>
        <v>16977894.798318658</v>
      </c>
      <c r="N280" s="16">
        <f t="shared" si="214"/>
        <v>16977894.798318654</v>
      </c>
      <c r="O280" s="16">
        <f t="shared" si="214"/>
        <v>16977894.798318654</v>
      </c>
      <c r="P280" s="16">
        <f t="shared" si="214"/>
        <v>224415657.46181995</v>
      </c>
      <c r="Q280" s="16">
        <f t="shared" si="214"/>
        <v>16977894.798318658</v>
      </c>
      <c r="R280" s="16">
        <f t="shared" si="214"/>
        <v>16977894.798318658</v>
      </c>
      <c r="S280" s="16">
        <f t="shared" si="214"/>
        <v>16977894.798318654</v>
      </c>
      <c r="T280" s="16">
        <f t="shared" si="214"/>
        <v>16977894.798318658</v>
      </c>
      <c r="U280" s="16">
        <f t="shared" si="214"/>
        <v>16977894.798318658</v>
      </c>
      <c r="V280" s="16">
        <f t="shared" si="214"/>
        <v>16977894.798318658</v>
      </c>
      <c r="W280" s="16">
        <f t="shared" si="214"/>
        <v>16977894.798318658</v>
      </c>
      <c r="X280" s="16">
        <f t="shared" si="214"/>
        <v>16977894.798318658</v>
      </c>
      <c r="Y280" s="16">
        <f t="shared" si="214"/>
        <v>16977894.798318654</v>
      </c>
      <c r="Z280" s="16">
        <f t="shared" si="214"/>
        <v>16977894.798318654</v>
      </c>
    </row>
    <row r="282" spans="2:26">
      <c r="B282" s="440" t="s">
        <v>634</v>
      </c>
      <c r="C282" s="441"/>
      <c r="D282" s="441"/>
      <c r="E282" s="441"/>
      <c r="F282" s="611"/>
      <c r="G282" s="611"/>
      <c r="H282" s="611"/>
      <c r="I282" s="611"/>
      <c r="J282" s="611"/>
      <c r="K282" s="611"/>
      <c r="L282" s="611"/>
      <c r="M282" s="611"/>
      <c r="N282" s="611"/>
      <c r="O282" s="611"/>
      <c r="P282" s="611"/>
      <c r="Q282" s="611"/>
      <c r="R282" s="611"/>
      <c r="S282" s="611"/>
      <c r="T282" s="611"/>
      <c r="U282" s="611"/>
      <c r="V282" s="611"/>
      <c r="W282" s="611"/>
      <c r="X282" s="611"/>
      <c r="Y282" s="611"/>
      <c r="Z282" s="611"/>
    </row>
    <row r="284" spans="2:26">
      <c r="B284" s="73" t="s">
        <v>635</v>
      </c>
      <c r="F284" s="75">
        <f>+Assumptions!$F$22</f>
        <v>44561</v>
      </c>
      <c r="G284" s="75">
        <f>+EOMONTH(F284,12)</f>
        <v>44926</v>
      </c>
      <c r="H284" s="75">
        <f t="shared" ref="H284" si="215">+EOMONTH(G284,12)</f>
        <v>45291</v>
      </c>
      <c r="I284" s="75">
        <f>+EOMONTH(H284,12)</f>
        <v>45657</v>
      </c>
      <c r="J284" s="75">
        <f>+EOMONTH(I284,12)</f>
        <v>46022</v>
      </c>
      <c r="K284" s="75">
        <f t="shared" ref="K284" si="216">+EOMONTH(J284,12)</f>
        <v>46387</v>
      </c>
      <c r="L284" s="75">
        <f t="shared" ref="L284" si="217">+EOMONTH(K284,12)</f>
        <v>46752</v>
      </c>
      <c r="M284" s="75">
        <f t="shared" ref="M284" si="218">+EOMONTH(L284,12)</f>
        <v>47118</v>
      </c>
      <c r="N284" s="75">
        <f t="shared" ref="N284" si="219">+EOMONTH(M284,12)</f>
        <v>47483</v>
      </c>
      <c r="O284" s="75">
        <f t="shared" ref="O284" si="220">+EOMONTH(N284,12)</f>
        <v>47848</v>
      </c>
      <c r="P284" s="75">
        <f t="shared" ref="P284" si="221">+EOMONTH(O284,12)</f>
        <v>48213</v>
      </c>
      <c r="Q284" s="75">
        <f t="shared" ref="Q284" si="222">+EOMONTH(P284,12)</f>
        <v>48579</v>
      </c>
      <c r="R284" s="75">
        <f t="shared" ref="R284" si="223">+EOMONTH(Q284,12)</f>
        <v>48944</v>
      </c>
      <c r="S284" s="75">
        <f t="shared" ref="S284" si="224">+EOMONTH(R284,12)</f>
        <v>49309</v>
      </c>
      <c r="T284" s="75">
        <f t="shared" ref="T284" si="225">+EOMONTH(S284,12)</f>
        <v>49674</v>
      </c>
      <c r="U284" s="75">
        <f t="shared" ref="U284" si="226">+EOMONTH(T284,12)</f>
        <v>50040</v>
      </c>
      <c r="V284" s="75">
        <f t="shared" ref="V284" si="227">+EOMONTH(U284,12)</f>
        <v>50405</v>
      </c>
      <c r="W284" s="75">
        <f t="shared" ref="W284" si="228">+EOMONTH(V284,12)</f>
        <v>50770</v>
      </c>
      <c r="X284" s="75">
        <f t="shared" ref="X284" si="229">+EOMONTH(W284,12)</f>
        <v>51135</v>
      </c>
      <c r="Y284" s="75">
        <f t="shared" ref="Y284" si="230">+EOMONTH(X284,12)</f>
        <v>51501</v>
      </c>
      <c r="Z284" s="75">
        <f t="shared" ref="Z284" si="231">+EOMONTH(Y284,12)</f>
        <v>51866</v>
      </c>
    </row>
    <row r="285" spans="2:26">
      <c r="B285" s="15" t="s">
        <v>254</v>
      </c>
      <c r="D285" s="26">
        <f>SUM(F285)</f>
        <v>79998202</v>
      </c>
      <c r="E285" s="26"/>
      <c r="F285" s="16">
        <f>+IF(AND(F$284&gt;=Assumptions!$F$22,F$284&lt;Assumptions!$F$24),'S&amp;U'!$H7/ROUNDUP(Assumptions!$F$23/12,0),IF(AND(F$284&gt;=Assumptions!$F$24,F$284&lt;Assumptions!$F$26),'S&amp;U'!$H39/ROUNDUP(Assumptions!$F$25/12,0),0))</f>
        <v>79998202</v>
      </c>
      <c r="G285" s="16">
        <f>+IF(AND(G$284&gt;=Assumptions!$F$22,G$284&lt;Assumptions!$F$24),'S&amp;U'!$H7/ROUNDUP(Assumptions!$F$23/12,0),IF(AND(G$284&gt;=Assumptions!$F$24,G$284&lt;Assumptions!$F$26),'S&amp;U'!$H39/ROUNDUP(Assumptions!$F$25/12,0),0))</f>
        <v>0</v>
      </c>
      <c r="H285" s="16">
        <f>+IF(AND(H$284&gt;=Assumptions!$F$22,H$284&lt;Assumptions!$F$24),'S&amp;U'!$H7/ROUNDUP(Assumptions!$F$23/12,0),IF(AND(H$284&gt;=Assumptions!$F$24,H$284&lt;Assumptions!$F$26),'S&amp;U'!$H39/ROUNDUP(Assumptions!$F$25/12,0),0))</f>
        <v>0</v>
      </c>
      <c r="I285" s="16">
        <f>+IF(AND(I$284&gt;=Assumptions!$F$22,I$284&lt;Assumptions!$F$24),'S&amp;U'!$H7/ROUNDUP(Assumptions!$F$23/12,0),IF(AND(I$284&gt;=Assumptions!$F$24,I$284&lt;Assumptions!$F$26),'S&amp;U'!$H39/ROUNDUP(Assumptions!$F$25/12,0),0))</f>
        <v>0</v>
      </c>
      <c r="J285" s="16">
        <f>+IF(AND(J$284&gt;=Assumptions!$F$22,J$284&lt;Assumptions!$F$24),'S&amp;U'!$H7/ROUNDUP(Assumptions!$F$23/12,0),IF(AND(J$284&gt;=Assumptions!$F$24,J$284&lt;Assumptions!$F$26),'S&amp;U'!$H39/ROUNDUP(Assumptions!$F$25/12,0),0))</f>
        <v>0</v>
      </c>
      <c r="K285" s="16">
        <f>+IF(AND(K$284&gt;=Assumptions!$F$22,K$284&lt;Assumptions!$F$24),'S&amp;U'!$H7/ROUNDUP(Assumptions!$F$23/12,0),IF(AND(K$284&gt;=Assumptions!$F$24,K$284&lt;Assumptions!$F$26),'S&amp;U'!$H39/ROUNDUP(Assumptions!$F$25/12,0),0))</f>
        <v>0</v>
      </c>
      <c r="L285" s="16">
        <f>+IF(AND(L$284&gt;=Assumptions!$F$22,L$284&lt;Assumptions!$F$24),'S&amp;U'!$H7/ROUNDUP(Assumptions!$F$23/12,0),IF(AND(L$284&gt;=Assumptions!$F$24,L$284&lt;Assumptions!$F$26),'S&amp;U'!$H39/ROUNDUP(Assumptions!$F$25/12,0),0))</f>
        <v>0</v>
      </c>
      <c r="M285" s="16">
        <f>+IF(AND(M$284&gt;=Assumptions!$F$22,M$284&lt;Assumptions!$F$24),'S&amp;U'!$H7/ROUNDUP(Assumptions!$F$23/12,0),IF(AND(M$284&gt;=Assumptions!$F$24,M$284&lt;Assumptions!$F$26),'S&amp;U'!$H39/ROUNDUP(Assumptions!$F$25/12,0),0))</f>
        <v>0</v>
      </c>
      <c r="N285" s="16">
        <f>+IF(AND(N$284&gt;=Assumptions!$F$22,N$284&lt;Assumptions!$F$24),'S&amp;U'!$H7/ROUNDUP(Assumptions!$F$23/12,0),IF(AND(N$284&gt;=Assumptions!$F$24,N$284&lt;Assumptions!$F$26),'S&amp;U'!$H39/ROUNDUP(Assumptions!$F$25/12,0),0))</f>
        <v>0</v>
      </c>
      <c r="O285" s="16">
        <f>+IF(AND(O$284&gt;=Assumptions!$F$22,O$284&lt;Assumptions!$F$24),'S&amp;U'!$H7/ROUNDUP(Assumptions!$F$23/12,0),IF(AND(O$284&gt;=Assumptions!$F$24,O$284&lt;Assumptions!$F$26),'S&amp;U'!$H39/ROUNDUP(Assumptions!$F$25/12,0),0))</f>
        <v>0</v>
      </c>
      <c r="P285" s="16">
        <f>+IF(AND(P$284&gt;=Assumptions!$F$22,P$284&lt;Assumptions!$F$24),'S&amp;U'!$H7/ROUNDUP(Assumptions!$F$23/12,0),IF(AND(P$284&gt;=Assumptions!$F$24,P$284&lt;Assumptions!$F$26),'S&amp;U'!$H39/ROUNDUP(Assumptions!$F$25/12,0),0))</f>
        <v>0</v>
      </c>
      <c r="Q285" s="16">
        <f>+IF(AND(Q$284&gt;=Assumptions!$F$22,Q$284&lt;Assumptions!$F$24),'S&amp;U'!$H7/ROUNDUP(Assumptions!$F$23/12,0),IF(AND(Q$284&gt;=Assumptions!$F$24,Q$284&lt;Assumptions!$F$26),'S&amp;U'!$H39/ROUNDUP(Assumptions!$F$25/12,0),0))</f>
        <v>0</v>
      </c>
      <c r="R285" s="16">
        <f>+IF(AND(R$284&gt;=Assumptions!$F$22,R$284&lt;Assumptions!$F$24),'S&amp;U'!$H7/ROUNDUP(Assumptions!$F$23/12,0),IF(AND(R$284&gt;=Assumptions!$F$24,R$284&lt;Assumptions!$F$26),'S&amp;U'!$H39/ROUNDUP(Assumptions!$F$25/12,0),0))</f>
        <v>0</v>
      </c>
      <c r="S285" s="16">
        <f>+IF(AND(S$284&gt;=Assumptions!$F$22,S$284&lt;Assumptions!$F$24),'S&amp;U'!$H7/ROUNDUP(Assumptions!$F$23/12,0),IF(AND(S$284&gt;=Assumptions!$F$24,S$284&lt;Assumptions!$F$26),'S&amp;U'!$H39/ROUNDUP(Assumptions!$F$25/12,0),0))</f>
        <v>0</v>
      </c>
      <c r="T285" s="16">
        <f>+IF(AND(T$284&gt;=Assumptions!$F$22,T$284&lt;Assumptions!$F$24),'S&amp;U'!$H7/ROUNDUP(Assumptions!$F$23/12,0),IF(AND(T$284&gt;=Assumptions!$F$24,T$284&lt;Assumptions!$F$26),'S&amp;U'!$H39/ROUNDUP(Assumptions!$F$25/12,0),0))</f>
        <v>0</v>
      </c>
      <c r="U285" s="16">
        <f>+IF(AND(U$284&gt;=Assumptions!$F$22,U$284&lt;Assumptions!$F$24),'S&amp;U'!$H7/ROUNDUP(Assumptions!$F$23/12,0),IF(AND(U$284&gt;=Assumptions!$F$24,U$284&lt;Assumptions!$F$26),'S&amp;U'!$H39/ROUNDUP(Assumptions!$F$25/12,0),0))</f>
        <v>0</v>
      </c>
      <c r="V285" s="16">
        <f>+IF(AND(V$284&gt;=Assumptions!$F$22,V$284&lt;Assumptions!$F$24),'S&amp;U'!$H7/ROUNDUP(Assumptions!$F$23/12,0),IF(AND(V$284&gt;=Assumptions!$F$24,V$284&lt;Assumptions!$F$26),'S&amp;U'!$H39/ROUNDUP(Assumptions!$F$25/12,0),0))</f>
        <v>0</v>
      </c>
      <c r="W285" s="16">
        <f>+IF(AND(W$284&gt;=Assumptions!$F$22,W$284&lt;Assumptions!$F$24),'S&amp;U'!$H7/ROUNDUP(Assumptions!$F$23/12,0),IF(AND(W$284&gt;=Assumptions!$F$24,W$284&lt;Assumptions!$F$26),'S&amp;U'!$H39/ROUNDUP(Assumptions!$F$25/12,0),0))</f>
        <v>0</v>
      </c>
      <c r="X285" s="16">
        <f>+IF(AND(X$284&gt;=Assumptions!$F$22,X$284&lt;Assumptions!$F$24),'S&amp;U'!$H7/ROUNDUP(Assumptions!$F$23/12,0),IF(AND(X$284&gt;=Assumptions!$F$24,X$284&lt;Assumptions!$F$26),'S&amp;U'!$H39/ROUNDUP(Assumptions!$F$25/12,0),0))</f>
        <v>0</v>
      </c>
      <c r="Y285" s="16">
        <f>+IF(AND(Y$284&gt;=Assumptions!$F$22,Y$284&lt;Assumptions!$F$24),'S&amp;U'!$H7/ROUNDUP(Assumptions!$F$23/12,0),IF(AND(Y$284&gt;=Assumptions!$F$24,Y$284&lt;Assumptions!$F$26),'S&amp;U'!$H39/ROUNDUP(Assumptions!$F$25/12,0),0))</f>
        <v>0</v>
      </c>
      <c r="Z285" s="16">
        <f>+IF(AND(Z$284&gt;=Assumptions!$F$22,Z$284&lt;Assumptions!$F$24),'S&amp;U'!$H7/ROUNDUP(Assumptions!$F$23/12,0),IF(AND(Z$284&gt;=Assumptions!$F$24,Z$284&lt;Assumptions!$F$26),'S&amp;U'!$H39/ROUNDUP(Assumptions!$F$25/12,0),0))</f>
        <v>0</v>
      </c>
    </row>
    <row r="286" spans="2:26">
      <c r="B286" s="15" t="s">
        <v>255</v>
      </c>
      <c r="D286" s="26">
        <f t="shared" ref="D286:D291" si="232">+SUM(F286:Z286)</f>
        <v>67748080</v>
      </c>
      <c r="E286" s="26"/>
      <c r="F286" s="76">
        <f>+IF(AND(F$284&gt;=Assumptions!$F$22,F$284&lt;Assumptions!$F$24),'S&amp;U'!$H8/ROUNDUP(Assumptions!$F$23/12,0),IF(AND(F$284&gt;=Assumptions!$F$24,F$284&lt;Assumptions!$F$26),'S&amp;U'!$H40/ROUNDUP(Assumptions!$F$25/12,0),0))</f>
        <v>67748080</v>
      </c>
      <c r="G286" s="76">
        <f>+IF(AND(G$284&gt;=Assumptions!$F$22,G$284&lt;Assumptions!$F$24),'S&amp;U'!$H8/ROUNDUP(Assumptions!$F$23/12,0),IF(AND(G$284&gt;=Assumptions!$F$24,G$284&lt;Assumptions!$F$26),'S&amp;U'!$H40/ROUNDUP(Assumptions!$F$25/12,0),0))</f>
        <v>0</v>
      </c>
      <c r="H286" s="76">
        <f>+IF(AND(H$284&gt;=Assumptions!$F$22,H$284&lt;Assumptions!$F$24),'S&amp;U'!$H8/ROUNDUP(Assumptions!$F$23/12,0),IF(AND(H$284&gt;=Assumptions!$F$24,H$284&lt;Assumptions!$F$26),'S&amp;U'!$H40/ROUNDUP(Assumptions!$F$25/12,0),0))</f>
        <v>0</v>
      </c>
      <c r="I286" s="76">
        <f>+IF(AND(I$284&gt;=Assumptions!$F$22,I$284&lt;Assumptions!$F$24),'S&amp;U'!$H8/ROUNDUP(Assumptions!$F$23/12,0),IF(AND(I$284&gt;=Assumptions!$F$24,I$284&lt;Assumptions!$F$26),'S&amp;U'!$H40/ROUNDUP(Assumptions!$F$25/12,0),0))</f>
        <v>0</v>
      </c>
      <c r="J286" s="76">
        <f>+IF(AND(J$284&gt;=Assumptions!$F$22,J$284&lt;Assumptions!$F$24),'S&amp;U'!$H8/ROUNDUP(Assumptions!$F$23/12,0),IF(AND(J$284&gt;=Assumptions!$F$24,J$284&lt;Assumptions!$F$26),'S&amp;U'!$H40/ROUNDUP(Assumptions!$F$25/12,0),0))</f>
        <v>0</v>
      </c>
      <c r="K286" s="76">
        <f>+IF(AND(K$284&gt;=Assumptions!$F$22,K$284&lt;Assumptions!$F$24),'S&amp;U'!$H8/ROUNDUP(Assumptions!$F$23/12,0),IF(AND(K$284&gt;=Assumptions!$F$24,K$284&lt;Assumptions!$F$26),'S&amp;U'!$H40/ROUNDUP(Assumptions!$F$25/12,0),0))</f>
        <v>0</v>
      </c>
      <c r="L286" s="76">
        <f>+IF(AND(L$284&gt;=Assumptions!$F$22,L$284&lt;Assumptions!$F$24),'S&amp;U'!$H8/ROUNDUP(Assumptions!$F$23/12,0),IF(AND(L$284&gt;=Assumptions!$F$24,L$284&lt;Assumptions!$F$26),'S&amp;U'!$H40/ROUNDUP(Assumptions!$F$25/12,0),0))</f>
        <v>0</v>
      </c>
      <c r="M286" s="76">
        <f>+IF(AND(M$284&gt;=Assumptions!$F$22,M$284&lt;Assumptions!$F$24),'S&amp;U'!$H8/ROUNDUP(Assumptions!$F$23/12,0),IF(AND(M$284&gt;=Assumptions!$F$24,M$284&lt;Assumptions!$F$26),'S&amp;U'!$H40/ROUNDUP(Assumptions!$F$25/12,0),0))</f>
        <v>0</v>
      </c>
      <c r="N286" s="76">
        <f>+IF(AND(N$284&gt;=Assumptions!$F$22,N$284&lt;Assumptions!$F$24),'S&amp;U'!$H8/ROUNDUP(Assumptions!$F$23/12,0),IF(AND(N$284&gt;=Assumptions!$F$24,N$284&lt;Assumptions!$F$26),'S&amp;U'!$H40/ROUNDUP(Assumptions!$F$25/12,0),0))</f>
        <v>0</v>
      </c>
      <c r="O286" s="76">
        <f>+IF(AND(O$284&gt;=Assumptions!$F$22,O$284&lt;Assumptions!$F$24),'S&amp;U'!$H8/ROUNDUP(Assumptions!$F$23/12,0),IF(AND(O$284&gt;=Assumptions!$F$24,O$284&lt;Assumptions!$F$26),'S&amp;U'!$H40/ROUNDUP(Assumptions!$F$25/12,0),0))</f>
        <v>0</v>
      </c>
      <c r="P286" s="76">
        <f>+IF(AND(P$284&gt;=Assumptions!$F$22,P$284&lt;Assumptions!$F$24),'S&amp;U'!$H8/ROUNDUP(Assumptions!$F$23/12,0),IF(AND(P$284&gt;=Assumptions!$F$24,P$284&lt;Assumptions!$F$26),'S&amp;U'!$H40/ROUNDUP(Assumptions!$F$25/12,0),0))</f>
        <v>0</v>
      </c>
      <c r="Q286" s="76">
        <f>+IF(AND(Q$284&gt;=Assumptions!$F$22,Q$284&lt;Assumptions!$F$24),'S&amp;U'!$H8/ROUNDUP(Assumptions!$F$23/12,0),IF(AND(Q$284&gt;=Assumptions!$F$24,Q$284&lt;Assumptions!$F$26),'S&amp;U'!$H40/ROUNDUP(Assumptions!$F$25/12,0),0))</f>
        <v>0</v>
      </c>
      <c r="R286" s="76">
        <f>+IF(AND(R$284&gt;=Assumptions!$F$22,R$284&lt;Assumptions!$F$24),'S&amp;U'!$H8/ROUNDUP(Assumptions!$F$23/12,0),IF(AND(R$284&gt;=Assumptions!$F$24,R$284&lt;Assumptions!$F$26),'S&amp;U'!$H40/ROUNDUP(Assumptions!$F$25/12,0),0))</f>
        <v>0</v>
      </c>
      <c r="S286" s="76">
        <f>+IF(AND(S$284&gt;=Assumptions!$F$22,S$284&lt;Assumptions!$F$24),'S&amp;U'!$H8/ROUNDUP(Assumptions!$F$23/12,0),IF(AND(S$284&gt;=Assumptions!$F$24,S$284&lt;Assumptions!$F$26),'S&amp;U'!$H40/ROUNDUP(Assumptions!$F$25/12,0),0))</f>
        <v>0</v>
      </c>
      <c r="T286" s="76">
        <f>+IF(AND(T$284&gt;=Assumptions!$F$22,T$284&lt;Assumptions!$F$24),'S&amp;U'!$H8/ROUNDUP(Assumptions!$F$23/12,0),IF(AND(T$284&gt;=Assumptions!$F$24,T$284&lt;Assumptions!$F$26),'S&amp;U'!$H40/ROUNDUP(Assumptions!$F$25/12,0),0))</f>
        <v>0</v>
      </c>
      <c r="U286" s="76">
        <f>+IF(AND(U$284&gt;=Assumptions!$F$22,U$284&lt;Assumptions!$F$24),'S&amp;U'!$H8/ROUNDUP(Assumptions!$F$23/12,0),IF(AND(U$284&gt;=Assumptions!$F$24,U$284&lt;Assumptions!$F$26),'S&amp;U'!$H40/ROUNDUP(Assumptions!$F$25/12,0),0))</f>
        <v>0</v>
      </c>
      <c r="V286" s="76">
        <f>+IF(AND(V$284&gt;=Assumptions!$F$22,V$284&lt;Assumptions!$F$24),'S&amp;U'!$H8/ROUNDUP(Assumptions!$F$23/12,0),IF(AND(V$284&gt;=Assumptions!$F$24,V$284&lt;Assumptions!$F$26),'S&amp;U'!$H40/ROUNDUP(Assumptions!$F$25/12,0),0))</f>
        <v>0</v>
      </c>
      <c r="W286" s="76">
        <f>+IF(AND(W$284&gt;=Assumptions!$F$22,W$284&lt;Assumptions!$F$24),'S&amp;U'!$H8/ROUNDUP(Assumptions!$F$23/12,0),IF(AND(W$284&gt;=Assumptions!$F$24,W$284&lt;Assumptions!$F$26),'S&amp;U'!$H40/ROUNDUP(Assumptions!$F$25/12,0),0))</f>
        <v>0</v>
      </c>
      <c r="X286" s="76">
        <f>+IF(AND(X$284&gt;=Assumptions!$F$22,X$284&lt;Assumptions!$F$24),'S&amp;U'!$H8/ROUNDUP(Assumptions!$F$23/12,0),IF(AND(X$284&gt;=Assumptions!$F$24,X$284&lt;Assumptions!$F$26),'S&amp;U'!$H40/ROUNDUP(Assumptions!$F$25/12,0),0))</f>
        <v>0</v>
      </c>
      <c r="Y286" s="76">
        <f>+IF(AND(Y$284&gt;=Assumptions!$F$22,Y$284&lt;Assumptions!$F$24),'S&amp;U'!$H8/ROUNDUP(Assumptions!$F$23/12,0),IF(AND(Y$284&gt;=Assumptions!$F$24,Y$284&lt;Assumptions!$F$26),'S&amp;U'!$H40/ROUNDUP(Assumptions!$F$25/12,0),0))</f>
        <v>0</v>
      </c>
      <c r="Z286" s="76">
        <f>+IF(AND(Z$284&gt;=Assumptions!$F$22,Z$284&lt;Assumptions!$F$24),'S&amp;U'!$H8/ROUNDUP(Assumptions!$F$23/12,0),IF(AND(Z$284&gt;=Assumptions!$F$24,Z$284&lt;Assumptions!$F$26),'S&amp;U'!$H40/ROUNDUP(Assumptions!$F$25/12,0),0))</f>
        <v>0</v>
      </c>
    </row>
    <row r="287" spans="2:26">
      <c r="B287" s="15" t="s">
        <v>276</v>
      </c>
      <c r="D287" s="26">
        <f t="shared" ca="1" si="232"/>
        <v>249062286.4725</v>
      </c>
      <c r="E287" s="26"/>
      <c r="F287" s="76">
        <f>+IF(AND(F$284&gt;=Assumptions!$F$22,F$284&lt;Assumptions!$F$24),'S&amp;U'!$H9/ROUNDUP(Assumptions!$F$23/12,0),IF(AND(F$284&gt;=Assumptions!$F$24,F$284&lt;Assumptions!$F$26),'S&amp;U'!$H41/ROUNDUP(Assumptions!$F$25/12,0),0))</f>
        <v>2687323.32</v>
      </c>
      <c r="G287" s="76">
        <f ca="1">+IF(AND(G$284&gt;=Assumptions!$F$22,G$284&lt;Assumptions!$F$24),'S&amp;U'!$H9/ROUNDUP(Assumptions!$F$23/12,0),IF(AND(G$284&gt;=Assumptions!$F$24,G$284&lt;Assumptions!$F$26),'S&amp;U'!$H41/ROUNDUP(Assumptions!$F$25/12,0),0))</f>
        <v>123187481.57625</v>
      </c>
      <c r="H287" s="76">
        <f ca="1">+IF(AND(H$284&gt;=Assumptions!$F$22,H$284&lt;Assumptions!$F$24),'S&amp;U'!$H9/ROUNDUP(Assumptions!$F$23/12,0),IF(AND(H$284&gt;=Assumptions!$F$24,H$284&lt;Assumptions!$F$26),'S&amp;U'!$H41/ROUNDUP(Assumptions!$F$25/12,0),0))</f>
        <v>123187481.57625</v>
      </c>
      <c r="I287" s="76">
        <f>+IF(AND(I$284&gt;=Assumptions!$F$22,I$284&lt;Assumptions!$F$24),'S&amp;U'!$H9/ROUNDUP(Assumptions!$F$23/12,0),IF(AND(I$284&gt;=Assumptions!$F$24,I$284&lt;Assumptions!$F$26),'S&amp;U'!$H41/ROUNDUP(Assumptions!$F$25/12,0),0))</f>
        <v>0</v>
      </c>
      <c r="J287" s="76">
        <f>+IF(AND(J$284&gt;=Assumptions!$F$22,J$284&lt;Assumptions!$F$24),'S&amp;U'!$H9/ROUNDUP(Assumptions!$F$23/12,0),IF(AND(J$284&gt;=Assumptions!$F$24,J$284&lt;Assumptions!$F$26),'S&amp;U'!$H41/ROUNDUP(Assumptions!$F$25/12,0),0))</f>
        <v>0</v>
      </c>
      <c r="K287" s="76">
        <f>+IF(AND(K$284&gt;=Assumptions!$F$22,K$284&lt;Assumptions!$F$24),'S&amp;U'!$H9/ROUNDUP(Assumptions!$F$23/12,0),IF(AND(K$284&gt;=Assumptions!$F$24,K$284&lt;Assumptions!$F$26),'S&amp;U'!$H41/ROUNDUP(Assumptions!$F$25/12,0),0))</f>
        <v>0</v>
      </c>
      <c r="L287" s="76">
        <f>+IF(AND(L$284&gt;=Assumptions!$F$22,L$284&lt;Assumptions!$F$24),'S&amp;U'!$H9/ROUNDUP(Assumptions!$F$23/12,0),IF(AND(L$284&gt;=Assumptions!$F$24,L$284&lt;Assumptions!$F$26),'S&amp;U'!$H41/ROUNDUP(Assumptions!$F$25/12,0),0))</f>
        <v>0</v>
      </c>
      <c r="M287" s="76">
        <f>+IF(AND(M$284&gt;=Assumptions!$F$22,M$284&lt;Assumptions!$F$24),'S&amp;U'!$H9/ROUNDUP(Assumptions!$F$23/12,0),IF(AND(M$284&gt;=Assumptions!$F$24,M$284&lt;Assumptions!$F$26),'S&amp;U'!$H41/ROUNDUP(Assumptions!$F$25/12,0),0))</f>
        <v>0</v>
      </c>
      <c r="N287" s="76">
        <f>+IF(AND(N$284&gt;=Assumptions!$F$22,N$284&lt;Assumptions!$F$24),'S&amp;U'!$H9/ROUNDUP(Assumptions!$F$23/12,0),IF(AND(N$284&gt;=Assumptions!$F$24,N$284&lt;Assumptions!$F$26),'S&amp;U'!$H41/ROUNDUP(Assumptions!$F$25/12,0),0))</f>
        <v>0</v>
      </c>
      <c r="O287" s="76">
        <f>+IF(AND(O$284&gt;=Assumptions!$F$22,O$284&lt;Assumptions!$F$24),'S&amp;U'!$H9/ROUNDUP(Assumptions!$F$23/12,0),IF(AND(O$284&gt;=Assumptions!$F$24,O$284&lt;Assumptions!$F$26),'S&amp;U'!$H41/ROUNDUP(Assumptions!$F$25/12,0),0))</f>
        <v>0</v>
      </c>
      <c r="P287" s="76">
        <f>+IF(AND(P$284&gt;=Assumptions!$F$22,P$284&lt;Assumptions!$F$24),'S&amp;U'!$H9/ROUNDUP(Assumptions!$F$23/12,0),IF(AND(P$284&gt;=Assumptions!$F$24,P$284&lt;Assumptions!$F$26),'S&amp;U'!$H41/ROUNDUP(Assumptions!$F$25/12,0),0))</f>
        <v>0</v>
      </c>
      <c r="Q287" s="76">
        <f>+IF(AND(Q$284&gt;=Assumptions!$F$22,Q$284&lt;Assumptions!$F$24),'S&amp;U'!$H9/ROUNDUP(Assumptions!$F$23/12,0),IF(AND(Q$284&gt;=Assumptions!$F$24,Q$284&lt;Assumptions!$F$26),'S&amp;U'!$H41/ROUNDUP(Assumptions!$F$25/12,0),0))</f>
        <v>0</v>
      </c>
      <c r="R287" s="76">
        <f>+IF(AND(R$284&gt;=Assumptions!$F$22,R$284&lt;Assumptions!$F$24),'S&amp;U'!$H9/ROUNDUP(Assumptions!$F$23/12,0),IF(AND(R$284&gt;=Assumptions!$F$24,R$284&lt;Assumptions!$F$26),'S&amp;U'!$H41/ROUNDUP(Assumptions!$F$25/12,0),0))</f>
        <v>0</v>
      </c>
      <c r="S287" s="76">
        <f>+IF(AND(S$284&gt;=Assumptions!$F$22,S$284&lt;Assumptions!$F$24),'S&amp;U'!$H9/ROUNDUP(Assumptions!$F$23/12,0),IF(AND(S$284&gt;=Assumptions!$F$24,S$284&lt;Assumptions!$F$26),'S&amp;U'!$H41/ROUNDUP(Assumptions!$F$25/12,0),0))</f>
        <v>0</v>
      </c>
      <c r="T287" s="76">
        <f>+IF(AND(T$284&gt;=Assumptions!$F$22,T$284&lt;Assumptions!$F$24),'S&amp;U'!$H9/ROUNDUP(Assumptions!$F$23/12,0),IF(AND(T$284&gt;=Assumptions!$F$24,T$284&lt;Assumptions!$F$26),'S&amp;U'!$H41/ROUNDUP(Assumptions!$F$25/12,0),0))</f>
        <v>0</v>
      </c>
      <c r="U287" s="76">
        <f>+IF(AND(U$284&gt;=Assumptions!$F$22,U$284&lt;Assumptions!$F$24),'S&amp;U'!$H9/ROUNDUP(Assumptions!$F$23/12,0),IF(AND(U$284&gt;=Assumptions!$F$24,U$284&lt;Assumptions!$F$26),'S&amp;U'!$H41/ROUNDUP(Assumptions!$F$25/12,0),0))</f>
        <v>0</v>
      </c>
      <c r="V287" s="76">
        <f>+IF(AND(V$284&gt;=Assumptions!$F$22,V$284&lt;Assumptions!$F$24),'S&amp;U'!$H9/ROUNDUP(Assumptions!$F$23/12,0),IF(AND(V$284&gt;=Assumptions!$F$24,V$284&lt;Assumptions!$F$26),'S&amp;U'!$H41/ROUNDUP(Assumptions!$F$25/12,0),0))</f>
        <v>0</v>
      </c>
      <c r="W287" s="76">
        <f>+IF(AND(W$284&gt;=Assumptions!$F$22,W$284&lt;Assumptions!$F$24),'S&amp;U'!$H9/ROUNDUP(Assumptions!$F$23/12,0),IF(AND(W$284&gt;=Assumptions!$F$24,W$284&lt;Assumptions!$F$26),'S&amp;U'!$H41/ROUNDUP(Assumptions!$F$25/12,0),0))</f>
        <v>0</v>
      </c>
      <c r="X287" s="76">
        <f>+IF(AND(X$284&gt;=Assumptions!$F$22,X$284&lt;Assumptions!$F$24),'S&amp;U'!$H9/ROUNDUP(Assumptions!$F$23/12,0),IF(AND(X$284&gt;=Assumptions!$F$24,X$284&lt;Assumptions!$F$26),'S&amp;U'!$H41/ROUNDUP(Assumptions!$F$25/12,0),0))</f>
        <v>0</v>
      </c>
      <c r="Y287" s="76">
        <f>+IF(AND(Y$284&gt;=Assumptions!$F$22,Y$284&lt;Assumptions!$F$24),'S&amp;U'!$H9/ROUNDUP(Assumptions!$F$23/12,0),IF(AND(Y$284&gt;=Assumptions!$F$24,Y$284&lt;Assumptions!$F$26),'S&amp;U'!$H41/ROUNDUP(Assumptions!$F$25/12,0),0))</f>
        <v>0</v>
      </c>
      <c r="Z287" s="76">
        <f>+IF(AND(Z$284&gt;=Assumptions!$F$22,Z$284&lt;Assumptions!$F$24),'S&amp;U'!$H9/ROUNDUP(Assumptions!$F$23/12,0),IF(AND(Z$284&gt;=Assumptions!$F$24,Z$284&lt;Assumptions!$F$26),'S&amp;U'!$H41/ROUNDUP(Assumptions!$F$25/12,0),0))</f>
        <v>0</v>
      </c>
    </row>
    <row r="288" spans="2:26">
      <c r="B288" s="15" t="s">
        <v>262</v>
      </c>
      <c r="D288" s="26">
        <f t="shared" ca="1" si="232"/>
        <v>29750887.562973395</v>
      </c>
      <c r="E288" s="26"/>
      <c r="F288" s="76">
        <f ca="1">+IF(AND(F$284&gt;=Assumptions!$F$22,F$284&lt;Assumptions!$F$24),'S&amp;U'!$H10/ROUNDUP(Assumptions!$F$23/12,0),IF(AND(F$284&gt;=Assumptions!$F$24,F$284&lt;Assumptions!$F$26),'S&amp;U'!$H42/ROUNDUP(Assumptions!$F$25/12,0),0))</f>
        <v>16041062.186010391</v>
      </c>
      <c r="G288" s="76">
        <f ca="1">+IF(AND(G$284&gt;=Assumptions!$F$22,G$284&lt;Assumptions!$F$24),'S&amp;U'!$H10/ROUNDUP(Assumptions!$F$23/12,0),IF(AND(G$284&gt;=Assumptions!$F$24,G$284&lt;Assumptions!$F$26),'S&amp;U'!$H42/ROUNDUP(Assumptions!$F$25/12,0),0))</f>
        <v>6854912.6884815004</v>
      </c>
      <c r="H288" s="76">
        <f ca="1">+IF(AND(H$284&gt;=Assumptions!$F$22,H$284&lt;Assumptions!$F$24),'S&amp;U'!$H10/ROUNDUP(Assumptions!$F$23/12,0),IF(AND(H$284&gt;=Assumptions!$F$24,H$284&lt;Assumptions!$F$26),'S&amp;U'!$H42/ROUNDUP(Assumptions!$F$25/12,0),0))</f>
        <v>6854912.6884815004</v>
      </c>
      <c r="I288" s="76">
        <f>+IF(AND(I$284&gt;=Assumptions!$F$22,I$284&lt;Assumptions!$F$24),'S&amp;U'!$H10/ROUNDUP(Assumptions!$F$23/12,0),IF(AND(I$284&gt;=Assumptions!$F$24,I$284&lt;Assumptions!$F$26),'S&amp;U'!$H42/ROUNDUP(Assumptions!$F$25/12,0),0))</f>
        <v>0</v>
      </c>
      <c r="J288" s="76">
        <f>+IF(AND(J$284&gt;=Assumptions!$F$22,J$284&lt;Assumptions!$F$24),'S&amp;U'!$H10/ROUNDUP(Assumptions!$F$23/12,0),IF(AND(J$284&gt;=Assumptions!$F$24,J$284&lt;Assumptions!$F$26),'S&amp;U'!$H42/ROUNDUP(Assumptions!$F$25/12,0),0))</f>
        <v>0</v>
      </c>
      <c r="K288" s="76">
        <f>+IF(AND(K$284&gt;=Assumptions!$F$22,K$284&lt;Assumptions!$F$24),'S&amp;U'!$H10/ROUNDUP(Assumptions!$F$23/12,0),IF(AND(K$284&gt;=Assumptions!$F$24,K$284&lt;Assumptions!$F$26),'S&amp;U'!$H42/ROUNDUP(Assumptions!$F$25/12,0),0))</f>
        <v>0</v>
      </c>
      <c r="L288" s="76">
        <f>+IF(AND(L$284&gt;=Assumptions!$F$22,L$284&lt;Assumptions!$F$24),'S&amp;U'!$H10/ROUNDUP(Assumptions!$F$23/12,0),IF(AND(L$284&gt;=Assumptions!$F$24,L$284&lt;Assumptions!$F$26),'S&amp;U'!$H42/ROUNDUP(Assumptions!$F$25/12,0),0))</f>
        <v>0</v>
      </c>
      <c r="M288" s="76">
        <f>+IF(AND(M$284&gt;=Assumptions!$F$22,M$284&lt;Assumptions!$F$24),'S&amp;U'!$H10/ROUNDUP(Assumptions!$F$23/12,0),IF(AND(M$284&gt;=Assumptions!$F$24,M$284&lt;Assumptions!$F$26),'S&amp;U'!$H42/ROUNDUP(Assumptions!$F$25/12,0),0))</f>
        <v>0</v>
      </c>
      <c r="N288" s="76">
        <f>+IF(AND(N$284&gt;=Assumptions!$F$22,N$284&lt;Assumptions!$F$24),'S&amp;U'!$H10/ROUNDUP(Assumptions!$F$23/12,0),IF(AND(N$284&gt;=Assumptions!$F$24,N$284&lt;Assumptions!$F$26),'S&amp;U'!$H42/ROUNDUP(Assumptions!$F$25/12,0),0))</f>
        <v>0</v>
      </c>
      <c r="O288" s="76">
        <f>+IF(AND(O$284&gt;=Assumptions!$F$22,O$284&lt;Assumptions!$F$24),'S&amp;U'!$H10/ROUNDUP(Assumptions!$F$23/12,0),IF(AND(O$284&gt;=Assumptions!$F$24,O$284&lt;Assumptions!$F$26),'S&amp;U'!$H42/ROUNDUP(Assumptions!$F$25/12,0),0))</f>
        <v>0</v>
      </c>
      <c r="P288" s="76">
        <f>+IF(AND(P$284&gt;=Assumptions!$F$22,P$284&lt;Assumptions!$F$24),'S&amp;U'!$H10/ROUNDUP(Assumptions!$F$23/12,0),IF(AND(P$284&gt;=Assumptions!$F$24,P$284&lt;Assumptions!$F$26),'S&amp;U'!$H42/ROUNDUP(Assumptions!$F$25/12,0),0))</f>
        <v>0</v>
      </c>
      <c r="Q288" s="76">
        <f>+IF(AND(Q$284&gt;=Assumptions!$F$22,Q$284&lt;Assumptions!$F$24),'S&amp;U'!$H10/ROUNDUP(Assumptions!$F$23/12,0),IF(AND(Q$284&gt;=Assumptions!$F$24,Q$284&lt;Assumptions!$F$26),'S&amp;U'!$H42/ROUNDUP(Assumptions!$F$25/12,0),0))</f>
        <v>0</v>
      </c>
      <c r="R288" s="76">
        <f>+IF(AND(R$284&gt;=Assumptions!$F$22,R$284&lt;Assumptions!$F$24),'S&amp;U'!$H10/ROUNDUP(Assumptions!$F$23/12,0),IF(AND(R$284&gt;=Assumptions!$F$24,R$284&lt;Assumptions!$F$26),'S&amp;U'!$H42/ROUNDUP(Assumptions!$F$25/12,0),0))</f>
        <v>0</v>
      </c>
      <c r="S288" s="76">
        <f>+IF(AND(S$284&gt;=Assumptions!$F$22,S$284&lt;Assumptions!$F$24),'S&amp;U'!$H10/ROUNDUP(Assumptions!$F$23/12,0),IF(AND(S$284&gt;=Assumptions!$F$24,S$284&lt;Assumptions!$F$26),'S&amp;U'!$H42/ROUNDUP(Assumptions!$F$25/12,0),0))</f>
        <v>0</v>
      </c>
      <c r="T288" s="76">
        <f>+IF(AND(T$284&gt;=Assumptions!$F$22,T$284&lt;Assumptions!$F$24),'S&amp;U'!$H10/ROUNDUP(Assumptions!$F$23/12,0),IF(AND(T$284&gt;=Assumptions!$F$24,T$284&lt;Assumptions!$F$26),'S&amp;U'!$H42/ROUNDUP(Assumptions!$F$25/12,0),0))</f>
        <v>0</v>
      </c>
      <c r="U288" s="76">
        <f>+IF(AND(U$284&gt;=Assumptions!$F$22,U$284&lt;Assumptions!$F$24),'S&amp;U'!$H10/ROUNDUP(Assumptions!$F$23/12,0),IF(AND(U$284&gt;=Assumptions!$F$24,U$284&lt;Assumptions!$F$26),'S&amp;U'!$H42/ROUNDUP(Assumptions!$F$25/12,0),0))</f>
        <v>0</v>
      </c>
      <c r="V288" s="76">
        <f>+IF(AND(V$284&gt;=Assumptions!$F$22,V$284&lt;Assumptions!$F$24),'S&amp;U'!$H10/ROUNDUP(Assumptions!$F$23/12,0),IF(AND(V$284&gt;=Assumptions!$F$24,V$284&lt;Assumptions!$F$26),'S&amp;U'!$H42/ROUNDUP(Assumptions!$F$25/12,0),0))</f>
        <v>0</v>
      </c>
      <c r="W288" s="76">
        <f>+IF(AND(W$284&gt;=Assumptions!$F$22,W$284&lt;Assumptions!$F$24),'S&amp;U'!$H10/ROUNDUP(Assumptions!$F$23/12,0),IF(AND(W$284&gt;=Assumptions!$F$24,W$284&lt;Assumptions!$F$26),'S&amp;U'!$H42/ROUNDUP(Assumptions!$F$25/12,0),0))</f>
        <v>0</v>
      </c>
      <c r="X288" s="76">
        <f>+IF(AND(X$284&gt;=Assumptions!$F$22,X$284&lt;Assumptions!$F$24),'S&amp;U'!$H10/ROUNDUP(Assumptions!$F$23/12,0),IF(AND(X$284&gt;=Assumptions!$F$24,X$284&lt;Assumptions!$F$26),'S&amp;U'!$H42/ROUNDUP(Assumptions!$F$25/12,0),0))</f>
        <v>0</v>
      </c>
      <c r="Y288" s="76">
        <f>+IF(AND(Y$284&gt;=Assumptions!$F$22,Y$284&lt;Assumptions!$F$24),'S&amp;U'!$H10/ROUNDUP(Assumptions!$F$23/12,0),IF(AND(Y$284&gt;=Assumptions!$F$24,Y$284&lt;Assumptions!$F$26),'S&amp;U'!$H42/ROUNDUP(Assumptions!$F$25/12,0),0))</f>
        <v>0</v>
      </c>
      <c r="Z288" s="76">
        <f>+IF(AND(Z$284&gt;=Assumptions!$F$22,Z$284&lt;Assumptions!$F$24),'S&amp;U'!$H10/ROUNDUP(Assumptions!$F$23/12,0),IF(AND(Z$284&gt;=Assumptions!$F$24,Z$284&lt;Assumptions!$F$26),'S&amp;U'!$H42/ROUNDUP(Assumptions!$F$25/12,0),0))</f>
        <v>0</v>
      </c>
    </row>
    <row r="289" spans="1:26">
      <c r="B289" s="15" t="s">
        <v>263</v>
      </c>
      <c r="D289" s="26">
        <f t="shared" si="232"/>
        <v>10602597.694999998</v>
      </c>
      <c r="E289" s="26"/>
      <c r="F289" s="76">
        <f>+IF(AND(F$284&gt;=Assumptions!$F$22,F$284&lt;Assumptions!$F$24),'S&amp;U'!$H11/ROUNDUP(Assumptions!$F$23/12,0),IF(AND(F$284&gt;=Assumptions!$F$24,F$284&lt;Assumptions!$F$26),'S&amp;U'!$H43/ROUNDUP(Assumptions!$F$25/12,0),0))</f>
        <v>0</v>
      </c>
      <c r="G289" s="76">
        <f>+IF(AND(G$284&gt;=Assumptions!$F$22,G$284&lt;Assumptions!$F$24),'S&amp;U'!$H11/ROUNDUP(Assumptions!$F$23/12,0),IF(AND(G$284&gt;=Assumptions!$F$24,G$284&lt;Assumptions!$F$26),'S&amp;U'!$H43/ROUNDUP(Assumptions!$F$25/12,0),0))</f>
        <v>5301298.8474999992</v>
      </c>
      <c r="H289" s="76">
        <f>+IF(AND(H$284&gt;=Assumptions!$F$22,H$284&lt;Assumptions!$F$24),'S&amp;U'!$H11/ROUNDUP(Assumptions!$F$23/12,0),IF(AND(H$284&gt;=Assumptions!$F$24,H$284&lt;Assumptions!$F$26),'S&amp;U'!$H43/ROUNDUP(Assumptions!$F$25/12,0),0))</f>
        <v>5301298.8474999992</v>
      </c>
      <c r="I289" s="76">
        <f>+IF(AND(I$284&gt;=Assumptions!$F$22,I$284&lt;Assumptions!$F$24),'S&amp;U'!$H11/ROUNDUP(Assumptions!$F$23/12,0),IF(AND(I$284&gt;=Assumptions!$F$24,I$284&lt;Assumptions!$F$26),'S&amp;U'!$H43/ROUNDUP(Assumptions!$F$25/12,0),0))</f>
        <v>0</v>
      </c>
      <c r="J289" s="76">
        <f>+IF(AND(J$284&gt;=Assumptions!$F$22,J$284&lt;Assumptions!$F$24),'S&amp;U'!$H11/ROUNDUP(Assumptions!$F$23/12,0),IF(AND(J$284&gt;=Assumptions!$F$24,J$284&lt;Assumptions!$F$26),'S&amp;U'!$H43/ROUNDUP(Assumptions!$F$25/12,0),0))</f>
        <v>0</v>
      </c>
      <c r="K289" s="76">
        <f>+IF(AND(K$284&gt;=Assumptions!$F$22,K$284&lt;Assumptions!$F$24),'S&amp;U'!$H11/ROUNDUP(Assumptions!$F$23/12,0),IF(AND(K$284&gt;=Assumptions!$F$24,K$284&lt;Assumptions!$F$26),'S&amp;U'!$H43/ROUNDUP(Assumptions!$F$25/12,0),0))</f>
        <v>0</v>
      </c>
      <c r="L289" s="76">
        <f>+IF(AND(L$284&gt;=Assumptions!$F$22,L$284&lt;Assumptions!$F$24),'S&amp;U'!$H11/ROUNDUP(Assumptions!$F$23/12,0),IF(AND(L$284&gt;=Assumptions!$F$24,L$284&lt;Assumptions!$F$26),'S&amp;U'!$H43/ROUNDUP(Assumptions!$F$25/12,0),0))</f>
        <v>0</v>
      </c>
      <c r="M289" s="76">
        <f>+IF(AND(M$284&gt;=Assumptions!$F$22,M$284&lt;Assumptions!$F$24),'S&amp;U'!$H11/ROUNDUP(Assumptions!$F$23/12,0),IF(AND(M$284&gt;=Assumptions!$F$24,M$284&lt;Assumptions!$F$26),'S&amp;U'!$H43/ROUNDUP(Assumptions!$F$25/12,0),0))</f>
        <v>0</v>
      </c>
      <c r="N289" s="76">
        <f>+IF(AND(N$284&gt;=Assumptions!$F$22,N$284&lt;Assumptions!$F$24),'S&amp;U'!$H11/ROUNDUP(Assumptions!$F$23/12,0),IF(AND(N$284&gt;=Assumptions!$F$24,N$284&lt;Assumptions!$F$26),'S&amp;U'!$H43/ROUNDUP(Assumptions!$F$25/12,0),0))</f>
        <v>0</v>
      </c>
      <c r="O289" s="76">
        <f>+IF(AND(O$284&gt;=Assumptions!$F$22,O$284&lt;Assumptions!$F$24),'S&amp;U'!$H11/ROUNDUP(Assumptions!$F$23/12,0),IF(AND(O$284&gt;=Assumptions!$F$24,O$284&lt;Assumptions!$F$26),'S&amp;U'!$H43/ROUNDUP(Assumptions!$F$25/12,0),0))</f>
        <v>0</v>
      </c>
      <c r="P289" s="76">
        <f>+IF(AND(P$284&gt;=Assumptions!$F$22,P$284&lt;Assumptions!$F$24),'S&amp;U'!$H11/ROUNDUP(Assumptions!$F$23/12,0),IF(AND(P$284&gt;=Assumptions!$F$24,P$284&lt;Assumptions!$F$26),'S&amp;U'!$H43/ROUNDUP(Assumptions!$F$25/12,0),0))</f>
        <v>0</v>
      </c>
      <c r="Q289" s="76">
        <f>+IF(AND(Q$284&gt;=Assumptions!$F$22,Q$284&lt;Assumptions!$F$24),'S&amp;U'!$H11/ROUNDUP(Assumptions!$F$23/12,0),IF(AND(Q$284&gt;=Assumptions!$F$24,Q$284&lt;Assumptions!$F$26),'S&amp;U'!$H43/ROUNDUP(Assumptions!$F$25/12,0),0))</f>
        <v>0</v>
      </c>
      <c r="R289" s="76">
        <f>+IF(AND(R$284&gt;=Assumptions!$F$22,R$284&lt;Assumptions!$F$24),'S&amp;U'!$H11/ROUNDUP(Assumptions!$F$23/12,0),IF(AND(R$284&gt;=Assumptions!$F$24,R$284&lt;Assumptions!$F$26),'S&amp;U'!$H43/ROUNDUP(Assumptions!$F$25/12,0),0))</f>
        <v>0</v>
      </c>
      <c r="S289" s="76">
        <f>+IF(AND(S$284&gt;=Assumptions!$F$22,S$284&lt;Assumptions!$F$24),'S&amp;U'!$H11/ROUNDUP(Assumptions!$F$23/12,0),IF(AND(S$284&gt;=Assumptions!$F$24,S$284&lt;Assumptions!$F$26),'S&amp;U'!$H43/ROUNDUP(Assumptions!$F$25/12,0),0))</f>
        <v>0</v>
      </c>
      <c r="T289" s="76">
        <f>+IF(AND(T$284&gt;=Assumptions!$F$22,T$284&lt;Assumptions!$F$24),'S&amp;U'!$H11/ROUNDUP(Assumptions!$F$23/12,0),IF(AND(T$284&gt;=Assumptions!$F$24,T$284&lt;Assumptions!$F$26),'S&amp;U'!$H43/ROUNDUP(Assumptions!$F$25/12,0),0))</f>
        <v>0</v>
      </c>
      <c r="U289" s="76">
        <f>+IF(AND(U$284&gt;=Assumptions!$F$22,U$284&lt;Assumptions!$F$24),'S&amp;U'!$H11/ROUNDUP(Assumptions!$F$23/12,0),IF(AND(U$284&gt;=Assumptions!$F$24,U$284&lt;Assumptions!$F$26),'S&amp;U'!$H43/ROUNDUP(Assumptions!$F$25/12,0),0))</f>
        <v>0</v>
      </c>
      <c r="V289" s="76">
        <f>+IF(AND(V$284&gt;=Assumptions!$F$22,V$284&lt;Assumptions!$F$24),'S&amp;U'!$H11/ROUNDUP(Assumptions!$F$23/12,0),IF(AND(V$284&gt;=Assumptions!$F$24,V$284&lt;Assumptions!$F$26),'S&amp;U'!$H43/ROUNDUP(Assumptions!$F$25/12,0),0))</f>
        <v>0</v>
      </c>
      <c r="W289" s="76">
        <f>+IF(AND(W$284&gt;=Assumptions!$F$22,W$284&lt;Assumptions!$F$24),'S&amp;U'!$H11/ROUNDUP(Assumptions!$F$23/12,0),IF(AND(W$284&gt;=Assumptions!$F$24,W$284&lt;Assumptions!$F$26),'S&amp;U'!$H43/ROUNDUP(Assumptions!$F$25/12,0),0))</f>
        <v>0</v>
      </c>
      <c r="X289" s="76">
        <f>+IF(AND(X$284&gt;=Assumptions!$F$22,X$284&lt;Assumptions!$F$24),'S&amp;U'!$H11/ROUNDUP(Assumptions!$F$23/12,0),IF(AND(X$284&gt;=Assumptions!$F$24,X$284&lt;Assumptions!$F$26),'S&amp;U'!$H43/ROUNDUP(Assumptions!$F$25/12,0),0))</f>
        <v>0</v>
      </c>
      <c r="Y289" s="76">
        <f>+IF(AND(Y$284&gt;=Assumptions!$F$22,Y$284&lt;Assumptions!$F$24),'S&amp;U'!$H11/ROUNDUP(Assumptions!$F$23/12,0),IF(AND(Y$284&gt;=Assumptions!$F$24,Y$284&lt;Assumptions!$F$26),'S&amp;U'!$H43/ROUNDUP(Assumptions!$F$25/12,0),0))</f>
        <v>0</v>
      </c>
      <c r="Z289" s="76">
        <f>+IF(AND(Z$284&gt;=Assumptions!$F$22,Z$284&lt;Assumptions!$F$24),'S&amp;U'!$H11/ROUNDUP(Assumptions!$F$23/12,0),IF(AND(Z$284&gt;=Assumptions!$F$24,Z$284&lt;Assumptions!$F$26),'S&amp;U'!$H43/ROUNDUP(Assumptions!$F$25/12,0),0))</f>
        <v>0</v>
      </c>
    </row>
    <row r="290" spans="1:26">
      <c r="B290" s="15" t="s">
        <v>264</v>
      </c>
      <c r="D290" s="26">
        <f t="shared" ca="1" si="232"/>
        <v>921573.63690485631</v>
      </c>
      <c r="E290" s="26"/>
      <c r="F290" s="76">
        <f>+IF(AND(F$284&gt;=Assumptions!$F$22,F$284&lt;Assumptions!$F$24),'S&amp;U'!$H12/ROUNDUP(Assumptions!$F$23/12,0),IF(AND(F$284&gt;=Assumptions!$F$24,F$284&lt;Assumptions!$F$26),'S&amp;U'!$H44/ROUNDUP(Assumptions!$F$25/12,0),0))</f>
        <v>0</v>
      </c>
      <c r="G290" s="76">
        <f ca="1">+IF(AND(G$284&gt;=Assumptions!$F$22,G$284&lt;Assumptions!$F$24),'S&amp;U'!$H12/ROUNDUP(Assumptions!$F$23/12,0),IF(AND(G$284&gt;=Assumptions!$F$24,G$284&lt;Assumptions!$F$26),'S&amp;U'!$H44/ROUNDUP(Assumptions!$F$25/12,0),0))</f>
        <v>460786.81845242815</v>
      </c>
      <c r="H290" s="76">
        <f ca="1">+IF(AND(H$284&gt;=Assumptions!$F$22,H$284&lt;Assumptions!$F$24),'S&amp;U'!$H12/ROUNDUP(Assumptions!$F$23/12,0),IF(AND(H$284&gt;=Assumptions!$F$24,H$284&lt;Assumptions!$F$26),'S&amp;U'!$H44/ROUNDUP(Assumptions!$F$25/12,0),0))</f>
        <v>460786.81845242815</v>
      </c>
      <c r="I290" s="76">
        <f>+IF(AND(I$284&gt;=Assumptions!$F$22,I$284&lt;Assumptions!$F$24),'S&amp;U'!$H12/ROUNDUP(Assumptions!$F$23/12,0),IF(AND(I$284&gt;=Assumptions!$F$24,I$284&lt;Assumptions!$F$26),'S&amp;U'!$H44/ROUNDUP(Assumptions!$F$25/12,0),0))</f>
        <v>0</v>
      </c>
      <c r="J290" s="76">
        <f>+IF(AND(J$284&gt;=Assumptions!$F$22,J$284&lt;Assumptions!$F$24),'S&amp;U'!$H12/ROUNDUP(Assumptions!$F$23/12,0),IF(AND(J$284&gt;=Assumptions!$F$24,J$284&lt;Assumptions!$F$26),'S&amp;U'!$H44/ROUNDUP(Assumptions!$F$25/12,0),0))</f>
        <v>0</v>
      </c>
      <c r="K290" s="76">
        <f>+IF(AND(K$284&gt;=Assumptions!$F$22,K$284&lt;Assumptions!$F$24),'S&amp;U'!$H12/ROUNDUP(Assumptions!$F$23/12,0),IF(AND(K$284&gt;=Assumptions!$F$24,K$284&lt;Assumptions!$F$26),'S&amp;U'!$H44/ROUNDUP(Assumptions!$F$25/12,0),0))</f>
        <v>0</v>
      </c>
      <c r="L290" s="76">
        <f>+IF(AND(L$284&gt;=Assumptions!$F$22,L$284&lt;Assumptions!$F$24),'S&amp;U'!$H12/ROUNDUP(Assumptions!$F$23/12,0),IF(AND(L$284&gt;=Assumptions!$F$24,L$284&lt;Assumptions!$F$26),'S&amp;U'!$H44/ROUNDUP(Assumptions!$F$25/12,0),0))</f>
        <v>0</v>
      </c>
      <c r="M290" s="76">
        <f>+IF(AND(M$284&gt;=Assumptions!$F$22,M$284&lt;Assumptions!$F$24),'S&amp;U'!$H12/ROUNDUP(Assumptions!$F$23/12,0),IF(AND(M$284&gt;=Assumptions!$F$24,M$284&lt;Assumptions!$F$26),'S&amp;U'!$H44/ROUNDUP(Assumptions!$F$25/12,0),0))</f>
        <v>0</v>
      </c>
      <c r="N290" s="76">
        <f>+IF(AND(N$284&gt;=Assumptions!$F$22,N$284&lt;Assumptions!$F$24),'S&amp;U'!$H12/ROUNDUP(Assumptions!$F$23/12,0),IF(AND(N$284&gt;=Assumptions!$F$24,N$284&lt;Assumptions!$F$26),'S&amp;U'!$H44/ROUNDUP(Assumptions!$F$25/12,0),0))</f>
        <v>0</v>
      </c>
      <c r="O290" s="76">
        <f>+IF(AND(O$284&gt;=Assumptions!$F$22,O$284&lt;Assumptions!$F$24),'S&amp;U'!$H12/ROUNDUP(Assumptions!$F$23/12,0),IF(AND(O$284&gt;=Assumptions!$F$24,O$284&lt;Assumptions!$F$26),'S&amp;U'!$H44/ROUNDUP(Assumptions!$F$25/12,0),0))</f>
        <v>0</v>
      </c>
      <c r="P290" s="76">
        <f>+IF(AND(P$284&gt;=Assumptions!$F$22,P$284&lt;Assumptions!$F$24),'S&amp;U'!$H12/ROUNDUP(Assumptions!$F$23/12,0),IF(AND(P$284&gt;=Assumptions!$F$24,P$284&lt;Assumptions!$F$26),'S&amp;U'!$H44/ROUNDUP(Assumptions!$F$25/12,0),0))</f>
        <v>0</v>
      </c>
      <c r="Q290" s="76">
        <f>+IF(AND(Q$284&gt;=Assumptions!$F$22,Q$284&lt;Assumptions!$F$24),'S&amp;U'!$H12/ROUNDUP(Assumptions!$F$23/12,0),IF(AND(Q$284&gt;=Assumptions!$F$24,Q$284&lt;Assumptions!$F$26),'S&amp;U'!$H44/ROUNDUP(Assumptions!$F$25/12,0),0))</f>
        <v>0</v>
      </c>
      <c r="R290" s="76">
        <f>+IF(AND(R$284&gt;=Assumptions!$F$22,R$284&lt;Assumptions!$F$24),'S&amp;U'!$H12/ROUNDUP(Assumptions!$F$23/12,0),IF(AND(R$284&gt;=Assumptions!$F$24,R$284&lt;Assumptions!$F$26),'S&amp;U'!$H44/ROUNDUP(Assumptions!$F$25/12,0),0))</f>
        <v>0</v>
      </c>
      <c r="S290" s="76">
        <f>+IF(AND(S$284&gt;=Assumptions!$F$22,S$284&lt;Assumptions!$F$24),'S&amp;U'!$H12/ROUNDUP(Assumptions!$F$23/12,0),IF(AND(S$284&gt;=Assumptions!$F$24,S$284&lt;Assumptions!$F$26),'S&amp;U'!$H44/ROUNDUP(Assumptions!$F$25/12,0),0))</f>
        <v>0</v>
      </c>
      <c r="T290" s="76">
        <f>+IF(AND(T$284&gt;=Assumptions!$F$22,T$284&lt;Assumptions!$F$24),'S&amp;U'!$H12/ROUNDUP(Assumptions!$F$23/12,0),IF(AND(T$284&gt;=Assumptions!$F$24,T$284&lt;Assumptions!$F$26),'S&amp;U'!$H44/ROUNDUP(Assumptions!$F$25/12,0),0))</f>
        <v>0</v>
      </c>
      <c r="U290" s="76">
        <f>+IF(AND(U$284&gt;=Assumptions!$F$22,U$284&lt;Assumptions!$F$24),'S&amp;U'!$H12/ROUNDUP(Assumptions!$F$23/12,0),IF(AND(U$284&gt;=Assumptions!$F$24,U$284&lt;Assumptions!$F$26),'S&amp;U'!$H44/ROUNDUP(Assumptions!$F$25/12,0),0))</f>
        <v>0</v>
      </c>
      <c r="V290" s="76">
        <f>+IF(AND(V$284&gt;=Assumptions!$F$22,V$284&lt;Assumptions!$F$24),'S&amp;U'!$H12/ROUNDUP(Assumptions!$F$23/12,0),IF(AND(V$284&gt;=Assumptions!$F$24,V$284&lt;Assumptions!$F$26),'S&amp;U'!$H44/ROUNDUP(Assumptions!$F$25/12,0),0))</f>
        <v>0</v>
      </c>
      <c r="W290" s="76">
        <f>+IF(AND(W$284&gt;=Assumptions!$F$22,W$284&lt;Assumptions!$F$24),'S&amp;U'!$H12/ROUNDUP(Assumptions!$F$23/12,0),IF(AND(W$284&gt;=Assumptions!$F$24,W$284&lt;Assumptions!$F$26),'S&amp;U'!$H44/ROUNDUP(Assumptions!$F$25/12,0),0))</f>
        <v>0</v>
      </c>
      <c r="X290" s="76">
        <f>+IF(AND(X$284&gt;=Assumptions!$F$22,X$284&lt;Assumptions!$F$24),'S&amp;U'!$H12/ROUNDUP(Assumptions!$F$23/12,0),IF(AND(X$284&gt;=Assumptions!$F$24,X$284&lt;Assumptions!$F$26),'S&amp;U'!$H44/ROUNDUP(Assumptions!$F$25/12,0),0))</f>
        <v>0</v>
      </c>
      <c r="Y290" s="76">
        <f>+IF(AND(Y$284&gt;=Assumptions!$F$22,Y$284&lt;Assumptions!$F$24),'S&amp;U'!$H12/ROUNDUP(Assumptions!$F$23/12,0),IF(AND(Y$284&gt;=Assumptions!$F$24,Y$284&lt;Assumptions!$F$26),'S&amp;U'!$H44/ROUNDUP(Assumptions!$F$25/12,0),0))</f>
        <v>0</v>
      </c>
      <c r="Z290" s="76">
        <f>+IF(AND(Z$284&gt;=Assumptions!$F$22,Z$284&lt;Assumptions!$F$24),'S&amp;U'!$H12/ROUNDUP(Assumptions!$F$23/12,0),IF(AND(Z$284&gt;=Assumptions!$F$24,Z$284&lt;Assumptions!$F$26),'S&amp;U'!$H44/ROUNDUP(Assumptions!$F$25/12,0),0))</f>
        <v>0</v>
      </c>
    </row>
    <row r="291" spans="1:26">
      <c r="B291" s="15" t="s">
        <v>265</v>
      </c>
      <c r="D291" s="26">
        <f t="shared" ca="1" si="232"/>
        <v>10742562.761021346</v>
      </c>
      <c r="E291" s="26"/>
      <c r="F291" s="76">
        <f ca="1">+IF(AND(F$284&gt;=Assumptions!$F$22,F$284&lt;Assumptions!$F$24),'S&amp;U'!$H13/ROUNDUP(Assumptions!$F$23/12,0),IF(AND(F$284&gt;=Assumptions!$F$24,F$284&lt;Assumptions!$F$28),'S&amp;U'!$H45/ROUNDUP((Assumptions!$F$25+Assumptions!$F$27)/12,0),0))</f>
        <v>0</v>
      </c>
      <c r="G291" s="76">
        <f ca="1">+IF(AND(G$284&gt;=Assumptions!$F$22,G$284&lt;Assumptions!$F$24),'S&amp;U'!$H13/ROUNDUP(Assumptions!$F$23/12,0),IF(AND(G$284&gt;=Assumptions!$F$24,G$284&lt;Assumptions!$F$28),'S&amp;U'!$H45/ROUNDUP((Assumptions!$F$25+Assumptions!$F$27)/12,0),0))</f>
        <v>2685640.6902553365</v>
      </c>
      <c r="H291" s="76">
        <f ca="1">+IF(AND(H$284&gt;=Assumptions!$F$22,H$284&lt;Assumptions!$F$24),'S&amp;U'!$H13/ROUNDUP(Assumptions!$F$23/12,0),IF(AND(H$284&gt;=Assumptions!$F$24,H$284&lt;Assumptions!$F$28),'S&amp;U'!$H45/ROUNDUP((Assumptions!$F$25+Assumptions!$F$27)/12,0),0))</f>
        <v>2685640.6902553365</v>
      </c>
      <c r="I291" s="76">
        <f ca="1">+IF(AND(I$284&gt;=Assumptions!$F$22,I$284&lt;Assumptions!$F$24),'S&amp;U'!$H13/ROUNDUP(Assumptions!$F$23/12,0),IF(AND(I$284&gt;=Assumptions!$F$24,I$284&lt;Assumptions!$F$28),'S&amp;U'!$H45/ROUNDUP((Assumptions!$F$25+Assumptions!$F$27)/12,0),0))</f>
        <v>2685640.6902553365</v>
      </c>
      <c r="J291" s="76">
        <f ca="1">+IF(AND(J$284&gt;=Assumptions!$F$22,J$284&lt;Assumptions!$F$24),'S&amp;U'!$H13/ROUNDUP(Assumptions!$F$23/12,0),IF(AND(J$284&gt;=Assumptions!$F$24,J$284&lt;Assumptions!$F$28),'S&amp;U'!$H45/ROUNDUP((Assumptions!$F$25+Assumptions!$F$27)/12,0),0))</f>
        <v>2685640.6902553365</v>
      </c>
      <c r="K291" s="76">
        <f>+IF(AND(K$284&gt;=Assumptions!$F$22,K$284&lt;Assumptions!$F$24),'S&amp;U'!$H13/ROUNDUP(Assumptions!$F$23/12,0),IF(AND(K$284&gt;=Assumptions!$F$24,K$284&lt;Assumptions!$F$28),'S&amp;U'!$H45/ROUNDUP((Assumptions!$F$25+Assumptions!$F$27)/12,0),0))</f>
        <v>0</v>
      </c>
      <c r="L291" s="76">
        <f>+IF(AND(L$284&gt;=Assumptions!$F$22,L$284&lt;Assumptions!$F$24),'S&amp;U'!$H13/ROUNDUP(Assumptions!$F$23/12,0),IF(AND(L$284&gt;=Assumptions!$F$24,L$284&lt;Assumptions!$F$28),'S&amp;U'!$H45/ROUNDUP((Assumptions!$F$25+Assumptions!$F$27)/12,0),0))</f>
        <v>0</v>
      </c>
      <c r="M291" s="76">
        <f>+IF(AND(M$284&gt;=Assumptions!$F$22,M$284&lt;Assumptions!$F$24),'S&amp;U'!$H13/ROUNDUP(Assumptions!$F$23/12,0),IF(AND(M$284&gt;=Assumptions!$F$24,M$284&lt;Assumptions!$F$28),'S&amp;U'!$H45/ROUNDUP((Assumptions!$F$25+Assumptions!$F$27)/12,0),0))</f>
        <v>0</v>
      </c>
      <c r="N291" s="76">
        <f>+IF(AND(N$284&gt;=Assumptions!$F$22,N$284&lt;Assumptions!$F$24),'S&amp;U'!$H13/ROUNDUP(Assumptions!$F$23/12,0),IF(AND(N$284&gt;=Assumptions!$F$24,N$284&lt;Assumptions!$F$28),'S&amp;U'!$H45/ROUNDUP((Assumptions!$F$25+Assumptions!$F$27)/12,0),0))</f>
        <v>0</v>
      </c>
      <c r="O291" s="76">
        <f>+IF(AND(O$284&gt;=Assumptions!$F$22,O$284&lt;Assumptions!$F$24),'S&amp;U'!$H13/ROUNDUP(Assumptions!$F$23/12,0),IF(AND(O$284&gt;=Assumptions!$F$24,O$284&lt;Assumptions!$F$28),'S&amp;U'!$H45/ROUNDUP((Assumptions!$F$25+Assumptions!$F$27)/12,0),0))</f>
        <v>0</v>
      </c>
      <c r="P291" s="76">
        <f>+IF(AND(P$284&gt;=Assumptions!$F$22,P$284&lt;Assumptions!$F$24),'S&amp;U'!$H13/ROUNDUP(Assumptions!$F$23/12,0),IF(AND(P$284&gt;=Assumptions!$F$24,P$284&lt;Assumptions!$F$28),'S&amp;U'!$H45/ROUNDUP((Assumptions!$F$25+Assumptions!$F$27)/12,0),0))</f>
        <v>0</v>
      </c>
      <c r="Q291" s="76">
        <f>+IF(AND(Q$284&gt;=Assumptions!$F$22,Q$284&lt;Assumptions!$F$24),'S&amp;U'!$H13/ROUNDUP(Assumptions!$F$23/12,0),IF(AND(Q$284&gt;=Assumptions!$F$24,Q$284&lt;Assumptions!$F$28),'S&amp;U'!$H45/ROUNDUP((Assumptions!$F$25+Assumptions!$F$27)/12,0),0))</f>
        <v>0</v>
      </c>
      <c r="R291" s="76">
        <f>+IF(AND(R$284&gt;=Assumptions!$F$22,R$284&lt;Assumptions!$F$24),'S&amp;U'!$H13/ROUNDUP(Assumptions!$F$23/12,0),IF(AND(R$284&gt;=Assumptions!$F$24,R$284&lt;Assumptions!$F$28),'S&amp;U'!$H45/ROUNDUP((Assumptions!$F$25+Assumptions!$F$27)/12,0),0))</f>
        <v>0</v>
      </c>
      <c r="S291" s="76">
        <f>+IF(AND(S$284&gt;=Assumptions!$F$22,S$284&lt;Assumptions!$F$24),'S&amp;U'!$H13/ROUNDUP(Assumptions!$F$23/12,0),IF(AND(S$284&gt;=Assumptions!$F$24,S$284&lt;Assumptions!$F$28),'S&amp;U'!$H45/ROUNDUP((Assumptions!$F$25+Assumptions!$F$27)/12,0),0))</f>
        <v>0</v>
      </c>
      <c r="T291" s="76">
        <f>+IF(AND(T$284&gt;=Assumptions!$F$22,T$284&lt;Assumptions!$F$24),'S&amp;U'!$H13/ROUNDUP(Assumptions!$F$23/12,0),IF(AND(T$284&gt;=Assumptions!$F$24,T$284&lt;Assumptions!$F$28),'S&amp;U'!$H45/ROUNDUP((Assumptions!$F$25+Assumptions!$F$27)/12,0),0))</f>
        <v>0</v>
      </c>
      <c r="U291" s="76">
        <f>+IF(AND(U$284&gt;=Assumptions!$F$22,U$284&lt;Assumptions!$F$24),'S&amp;U'!$H13/ROUNDUP(Assumptions!$F$23/12,0),IF(AND(U$284&gt;=Assumptions!$F$24,U$284&lt;Assumptions!$F$28),'S&amp;U'!$H45/ROUNDUP((Assumptions!$F$25+Assumptions!$F$27)/12,0),0))</f>
        <v>0</v>
      </c>
      <c r="V291" s="76">
        <f>+IF(AND(V$284&gt;=Assumptions!$F$22,V$284&lt;Assumptions!$F$24),'S&amp;U'!$H13/ROUNDUP(Assumptions!$F$23/12,0),IF(AND(V$284&gt;=Assumptions!$F$24,V$284&lt;Assumptions!$F$28),'S&amp;U'!$H45/ROUNDUP((Assumptions!$F$25+Assumptions!$F$27)/12,0),0))</f>
        <v>0</v>
      </c>
      <c r="W291" s="76">
        <f>+IF(AND(W$284&gt;=Assumptions!$F$22,W$284&lt;Assumptions!$F$24),'S&amp;U'!$H13/ROUNDUP(Assumptions!$F$23/12,0),IF(AND(W$284&gt;=Assumptions!$F$24,W$284&lt;Assumptions!$F$28),'S&amp;U'!$H45/ROUNDUP((Assumptions!$F$25+Assumptions!$F$27)/12,0),0))</f>
        <v>0</v>
      </c>
      <c r="X291" s="76">
        <f>+IF(AND(X$284&gt;=Assumptions!$F$22,X$284&lt;Assumptions!$F$24),'S&amp;U'!$H13/ROUNDUP(Assumptions!$F$23/12,0),IF(AND(X$284&gt;=Assumptions!$F$24,X$284&lt;Assumptions!$F$28),'S&amp;U'!$H45/ROUNDUP((Assumptions!$F$25+Assumptions!$F$27)/12,0),0))</f>
        <v>0</v>
      </c>
      <c r="Y291" s="76">
        <f>+IF(AND(Y$284&gt;=Assumptions!$F$22,Y$284&lt;Assumptions!$F$24),'S&amp;U'!$H13/ROUNDUP(Assumptions!$F$23/12,0),IF(AND(Y$284&gt;=Assumptions!$F$24,Y$284&lt;Assumptions!$F$28),'S&amp;U'!$H45/ROUNDUP((Assumptions!$F$25+Assumptions!$F$27)/12,0),0))</f>
        <v>0</v>
      </c>
      <c r="Z291" s="76">
        <f>+IF(AND(Z$284&gt;=Assumptions!$F$22,Z$284&lt;Assumptions!$F$24),'S&amp;U'!$H13/ROUNDUP(Assumptions!$F$23/12,0),IF(AND(Z$284&gt;=Assumptions!$F$24,Z$284&lt;Assumptions!$F$28),'S&amp;U'!$H45/ROUNDUP((Assumptions!$F$25+Assumptions!$F$27)/12,0),0))</f>
        <v>0</v>
      </c>
    </row>
    <row r="292" spans="1:26">
      <c r="B292" s="653" t="s">
        <v>636</v>
      </c>
      <c r="C292" s="653"/>
      <c r="D292" s="544">
        <f ca="1">+SUM(F292:Z292)</f>
        <v>448826190.12839961</v>
      </c>
      <c r="E292" s="544"/>
      <c r="F292" s="544">
        <f ca="1">+SUM(F285:F291)</f>
        <v>166474667.50601038</v>
      </c>
      <c r="G292" s="544">
        <f ca="1">+SUM(G285:G291)</f>
        <v>138490120.62093925</v>
      </c>
      <c r="H292" s="544">
        <f ca="1">+SUM(H285:H291)</f>
        <v>138490120.62093925</v>
      </c>
      <c r="I292" s="544">
        <f t="shared" ref="I292:Z292" ca="1" si="233">+SUM(I285:I291)</f>
        <v>2685640.6902553365</v>
      </c>
      <c r="J292" s="544">
        <f t="shared" ca="1" si="233"/>
        <v>2685640.6902553365</v>
      </c>
      <c r="K292" s="544">
        <f t="shared" si="233"/>
        <v>0</v>
      </c>
      <c r="L292" s="544">
        <f t="shared" si="233"/>
        <v>0</v>
      </c>
      <c r="M292" s="544">
        <f t="shared" si="233"/>
        <v>0</v>
      </c>
      <c r="N292" s="544">
        <f t="shared" si="233"/>
        <v>0</v>
      </c>
      <c r="O292" s="544">
        <f t="shared" si="233"/>
        <v>0</v>
      </c>
      <c r="P292" s="544">
        <f t="shared" si="233"/>
        <v>0</v>
      </c>
      <c r="Q292" s="544">
        <f t="shared" si="233"/>
        <v>0</v>
      </c>
      <c r="R292" s="544">
        <f t="shared" si="233"/>
        <v>0</v>
      </c>
      <c r="S292" s="544">
        <f t="shared" si="233"/>
        <v>0</v>
      </c>
      <c r="T292" s="544">
        <f t="shared" si="233"/>
        <v>0</v>
      </c>
      <c r="U292" s="544">
        <f t="shared" si="233"/>
        <v>0</v>
      </c>
      <c r="V292" s="544">
        <f t="shared" si="233"/>
        <v>0</v>
      </c>
      <c r="W292" s="544">
        <f t="shared" si="233"/>
        <v>0</v>
      </c>
      <c r="X292" s="544">
        <f t="shared" si="233"/>
        <v>0</v>
      </c>
      <c r="Y292" s="544">
        <f t="shared" si="233"/>
        <v>0</v>
      </c>
      <c r="Z292" s="544">
        <f t="shared" si="233"/>
        <v>0</v>
      </c>
    </row>
    <row r="294" spans="1:26">
      <c r="B294" s="73" t="s">
        <v>637</v>
      </c>
      <c r="F294" s="75">
        <f>+Assumptions!$F$22</f>
        <v>44561</v>
      </c>
      <c r="G294" s="75">
        <f>+EOMONTH(F294,12)</f>
        <v>44926</v>
      </c>
      <c r="H294" s="75">
        <f t="shared" ref="H294" si="234">+EOMONTH(G294,12)</f>
        <v>45291</v>
      </c>
      <c r="I294" s="75">
        <f>+EOMONTH(H294,12)</f>
        <v>45657</v>
      </c>
      <c r="J294" s="75">
        <f>+EOMONTH(I294,12)</f>
        <v>46022</v>
      </c>
      <c r="K294" s="75">
        <f t="shared" ref="K294" si="235">+EOMONTH(J294,12)</f>
        <v>46387</v>
      </c>
      <c r="L294" s="75">
        <f t="shared" ref="L294" si="236">+EOMONTH(K294,12)</f>
        <v>46752</v>
      </c>
      <c r="M294" s="75">
        <f t="shared" ref="M294" si="237">+EOMONTH(L294,12)</f>
        <v>47118</v>
      </c>
      <c r="N294" s="75">
        <f t="shared" ref="N294" si="238">+EOMONTH(M294,12)</f>
        <v>47483</v>
      </c>
      <c r="O294" s="75">
        <f t="shared" ref="O294" si="239">+EOMONTH(N294,12)</f>
        <v>47848</v>
      </c>
      <c r="P294" s="75">
        <f t="shared" ref="P294" si="240">+EOMONTH(O294,12)</f>
        <v>48213</v>
      </c>
      <c r="Q294" s="75">
        <f t="shared" ref="Q294" si="241">+EOMONTH(P294,12)</f>
        <v>48579</v>
      </c>
      <c r="R294" s="75">
        <f t="shared" ref="R294" si="242">+EOMONTH(Q294,12)</f>
        <v>48944</v>
      </c>
      <c r="S294" s="75">
        <f t="shared" ref="S294" si="243">+EOMONTH(R294,12)</f>
        <v>49309</v>
      </c>
      <c r="T294" s="75">
        <f t="shared" ref="T294" si="244">+EOMONTH(S294,12)</f>
        <v>49674</v>
      </c>
      <c r="U294" s="75">
        <f t="shared" ref="U294" si="245">+EOMONTH(T294,12)</f>
        <v>50040</v>
      </c>
      <c r="V294" s="75">
        <f t="shared" ref="V294" si="246">+EOMONTH(U294,12)</f>
        <v>50405</v>
      </c>
      <c r="W294" s="75">
        <f t="shared" ref="W294" si="247">+EOMONTH(V294,12)</f>
        <v>50770</v>
      </c>
      <c r="X294" s="75">
        <f t="shared" ref="X294" si="248">+EOMONTH(W294,12)</f>
        <v>51135</v>
      </c>
      <c r="Y294" s="75">
        <f t="shared" ref="Y294" si="249">+EOMONTH(X294,12)</f>
        <v>51501</v>
      </c>
      <c r="Z294" s="75">
        <f t="shared" ref="Z294" si="250">+EOMONTH(Y294,12)</f>
        <v>51866</v>
      </c>
    </row>
    <row r="295" spans="1:26" s="538" customFormat="1">
      <c r="B295" s="659" t="s">
        <v>176</v>
      </c>
      <c r="D295" s="703">
        <v>40000000</v>
      </c>
      <c r="E295" s="703"/>
      <c r="F295" s="612">
        <v>40000000</v>
      </c>
      <c r="G295" s="612">
        <v>0</v>
      </c>
      <c r="H295" s="612">
        <v>0</v>
      </c>
      <c r="I295" s="612">
        <v>0</v>
      </c>
      <c r="J295" s="612">
        <v>0</v>
      </c>
      <c r="K295" s="612">
        <v>0</v>
      </c>
      <c r="L295" s="612">
        <v>0</v>
      </c>
      <c r="M295" s="612">
        <v>0</v>
      </c>
      <c r="N295" s="612">
        <v>0</v>
      </c>
      <c r="O295" s="612">
        <v>0</v>
      </c>
      <c r="P295" s="612">
        <v>0</v>
      </c>
      <c r="Q295" s="612">
        <v>0</v>
      </c>
      <c r="R295" s="612">
        <v>0</v>
      </c>
      <c r="S295" s="612">
        <v>0</v>
      </c>
      <c r="T295" s="612">
        <v>0</v>
      </c>
      <c r="U295" s="612">
        <v>0</v>
      </c>
      <c r="V295" s="612">
        <v>0</v>
      </c>
      <c r="W295" s="612">
        <v>0</v>
      </c>
      <c r="X295" s="612">
        <v>0</v>
      </c>
      <c r="Y295" s="612">
        <v>0</v>
      </c>
      <c r="Z295" s="612">
        <v>0</v>
      </c>
    </row>
    <row r="296" spans="1:26" s="538" customFormat="1">
      <c r="B296" s="659" t="s">
        <v>638</v>
      </c>
      <c r="D296" s="703">
        <f>SUM(F296)</f>
        <v>4058107</v>
      </c>
      <c r="E296" s="703"/>
      <c r="F296" s="612">
        <f>'S&amp;U'!R19</f>
        <v>4058107</v>
      </c>
      <c r="G296" s="612">
        <v>0</v>
      </c>
      <c r="H296" s="612">
        <v>0</v>
      </c>
      <c r="I296" s="612">
        <v>0</v>
      </c>
      <c r="J296" s="612">
        <v>0</v>
      </c>
      <c r="K296" s="612">
        <v>0</v>
      </c>
      <c r="L296" s="612">
        <v>0</v>
      </c>
      <c r="M296" s="612">
        <v>0</v>
      </c>
      <c r="N296" s="612">
        <v>0</v>
      </c>
      <c r="O296" s="612">
        <v>0</v>
      </c>
      <c r="P296" s="612">
        <v>0</v>
      </c>
      <c r="Q296" s="612">
        <v>0</v>
      </c>
      <c r="R296" s="612">
        <v>0</v>
      </c>
      <c r="S296" s="612">
        <v>0</v>
      </c>
      <c r="T296" s="612">
        <v>0</v>
      </c>
      <c r="U296" s="612">
        <v>0</v>
      </c>
      <c r="V296" s="612">
        <v>0</v>
      </c>
      <c r="W296" s="612">
        <v>0</v>
      </c>
      <c r="X296" s="612">
        <v>0</v>
      </c>
      <c r="Y296" s="612">
        <v>0</v>
      </c>
      <c r="Z296" s="612">
        <v>0</v>
      </c>
    </row>
    <row r="297" spans="1:26">
      <c r="B297" s="15" t="s">
        <v>312</v>
      </c>
      <c r="D297" s="26">
        <f t="shared" ref="D297:D301" si="251">+SUM(F297:Z297)</f>
        <v>5803911.2099087201</v>
      </c>
      <c r="E297" s="26"/>
      <c r="F297" s="76">
        <v>0</v>
      </c>
      <c r="G297" s="76">
        <v>0</v>
      </c>
      <c r="H297" s="76">
        <f>'S&amp;U'!H20</f>
        <v>5803911.2099087201</v>
      </c>
      <c r="I297" s="76">
        <v>0</v>
      </c>
      <c r="J297" s="76">
        <v>0</v>
      </c>
      <c r="K297" s="76">
        <v>0</v>
      </c>
      <c r="L297" s="76">
        <v>0</v>
      </c>
      <c r="M297" s="76">
        <v>0</v>
      </c>
      <c r="N297" s="76">
        <v>0</v>
      </c>
      <c r="O297" s="76">
        <v>0</v>
      </c>
      <c r="P297" s="76">
        <v>0</v>
      </c>
      <c r="Q297" s="76">
        <v>0</v>
      </c>
      <c r="R297" s="76">
        <v>0</v>
      </c>
      <c r="S297" s="76">
        <v>0</v>
      </c>
      <c r="T297" s="76">
        <v>0</v>
      </c>
      <c r="U297" s="76">
        <v>0</v>
      </c>
      <c r="V297" s="76">
        <v>0</v>
      </c>
      <c r="W297" s="76">
        <v>0</v>
      </c>
      <c r="X297" s="76">
        <v>0</v>
      </c>
      <c r="Y297" s="76">
        <v>0</v>
      </c>
      <c r="Z297" s="76">
        <v>0</v>
      </c>
    </row>
    <row r="298" spans="1:26">
      <c r="B298" s="15" t="s">
        <v>313</v>
      </c>
      <c r="D298" s="26">
        <f t="shared" si="251"/>
        <v>5538000</v>
      </c>
      <c r="E298" s="26"/>
      <c r="F298" s="76">
        <v>0</v>
      </c>
      <c r="G298" s="76">
        <v>0</v>
      </c>
      <c r="H298" s="76">
        <f>'S&amp;U'!H21</f>
        <v>5538000</v>
      </c>
      <c r="I298" s="76">
        <v>0</v>
      </c>
      <c r="J298" s="76">
        <v>0</v>
      </c>
      <c r="K298" s="76">
        <v>0</v>
      </c>
      <c r="L298" s="76">
        <v>0</v>
      </c>
      <c r="M298" s="76">
        <v>0</v>
      </c>
      <c r="N298" s="76">
        <v>0</v>
      </c>
      <c r="O298" s="76">
        <v>0</v>
      </c>
      <c r="P298" s="76">
        <v>0</v>
      </c>
      <c r="Q298" s="76">
        <v>0</v>
      </c>
      <c r="R298" s="76">
        <v>0</v>
      </c>
      <c r="S298" s="76">
        <v>0</v>
      </c>
      <c r="T298" s="76">
        <v>0</v>
      </c>
      <c r="U298" s="76">
        <v>0</v>
      </c>
      <c r="V298" s="76">
        <v>0</v>
      </c>
      <c r="W298" s="76">
        <v>0</v>
      </c>
      <c r="X298" s="76">
        <v>0</v>
      </c>
      <c r="Y298" s="76">
        <v>0</v>
      </c>
      <c r="Z298" s="76">
        <v>0</v>
      </c>
    </row>
    <row r="299" spans="1:26">
      <c r="B299" s="15" t="s">
        <v>314</v>
      </c>
      <c r="D299" s="26">
        <f t="shared" si="251"/>
        <v>0</v>
      </c>
      <c r="E299" s="26"/>
      <c r="F299" s="76">
        <v>0</v>
      </c>
      <c r="G299" s="76">
        <v>0</v>
      </c>
      <c r="H299" s="76">
        <v>0</v>
      </c>
      <c r="I299" s="76">
        <v>0</v>
      </c>
      <c r="J299" s="76">
        <v>0</v>
      </c>
      <c r="K299" s="76">
        <v>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6">
        <v>0</v>
      </c>
      <c r="R299" s="76">
        <v>0</v>
      </c>
      <c r="S299" s="76">
        <v>0</v>
      </c>
      <c r="T299" s="76">
        <v>0</v>
      </c>
      <c r="U299" s="76">
        <v>0</v>
      </c>
      <c r="V299" s="76">
        <v>0</v>
      </c>
      <c r="W299" s="76">
        <v>0</v>
      </c>
      <c r="X299" s="76">
        <v>0</v>
      </c>
      <c r="Y299" s="76">
        <v>0</v>
      </c>
      <c r="Z299" s="76">
        <v>0</v>
      </c>
    </row>
    <row r="300" spans="1:26">
      <c r="A300" s="49"/>
      <c r="B300" s="15" t="s">
        <v>639</v>
      </c>
      <c r="D300" s="26">
        <f>+SUM(F300:Z300)</f>
        <v>67748080</v>
      </c>
      <c r="E300" s="26"/>
      <c r="F300" s="76">
        <f>'S&amp;U'!H18</f>
        <v>67748080</v>
      </c>
      <c r="G300" s="76">
        <v>0</v>
      </c>
      <c r="H300" s="612">
        <v>0</v>
      </c>
      <c r="I300" s="612">
        <v>0</v>
      </c>
      <c r="J300" s="612">
        <v>0</v>
      </c>
      <c r="K300" s="612">
        <v>0</v>
      </c>
      <c r="L300" s="612">
        <v>0</v>
      </c>
      <c r="M300" s="612">
        <v>0</v>
      </c>
      <c r="N300" s="612">
        <v>0</v>
      </c>
      <c r="O300" s="612">
        <v>0</v>
      </c>
      <c r="P300" s="612">
        <v>0</v>
      </c>
      <c r="Q300" s="612">
        <v>0</v>
      </c>
      <c r="R300" s="612">
        <v>0</v>
      </c>
      <c r="S300" s="612">
        <v>0</v>
      </c>
      <c r="T300" s="612">
        <v>0</v>
      </c>
      <c r="U300" s="612">
        <v>0</v>
      </c>
      <c r="V300" s="612">
        <v>0</v>
      </c>
      <c r="W300" s="612">
        <v>0</v>
      </c>
      <c r="X300" s="612">
        <v>0</v>
      </c>
      <c r="Y300" s="612">
        <v>0</v>
      </c>
      <c r="Z300" s="612">
        <v>0</v>
      </c>
    </row>
    <row r="301" spans="1:26">
      <c r="A301" s="49"/>
      <c r="B301" s="15" t="s">
        <v>270</v>
      </c>
      <c r="D301" s="26">
        <f t="shared" si="251"/>
        <v>61171525</v>
      </c>
      <c r="E301" s="26"/>
      <c r="F301" s="76">
        <f>'S&amp;U'!H17</f>
        <v>61171525</v>
      </c>
      <c r="G301" s="76">
        <v>0</v>
      </c>
      <c r="H301" s="76">
        <v>0</v>
      </c>
      <c r="I301" s="76">
        <v>0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0</v>
      </c>
      <c r="S301" s="76">
        <v>0</v>
      </c>
      <c r="T301" s="76">
        <v>0</v>
      </c>
      <c r="U301" s="76">
        <v>0</v>
      </c>
      <c r="V301" s="76">
        <v>0</v>
      </c>
      <c r="W301" s="76">
        <v>0</v>
      </c>
      <c r="X301" s="76">
        <v>0</v>
      </c>
      <c r="Y301" s="76">
        <v>0</v>
      </c>
      <c r="Z301" s="76">
        <v>0</v>
      </c>
    </row>
    <row r="302" spans="1:26">
      <c r="A302" s="49"/>
      <c r="B302" s="15" t="s">
        <v>640</v>
      </c>
      <c r="D302" s="26"/>
      <c r="E302" s="26"/>
      <c r="F302" s="76">
        <f ca="1">F292-SUM(F295:F301)</f>
        <v>-6503044.4939896166</v>
      </c>
      <c r="G302" s="76">
        <f ca="1">G292-SUM(G295:G301)</f>
        <v>138490120.62093925</v>
      </c>
      <c r="H302" s="76">
        <f t="shared" ref="H302:J302" ca="1" si="252">H292-SUM(H295:H301)</f>
        <v>127148209.41103053</v>
      </c>
      <c r="I302" s="76">
        <f t="shared" ca="1" si="252"/>
        <v>2685640.6902553365</v>
      </c>
      <c r="J302" s="76">
        <f t="shared" ca="1" si="252"/>
        <v>2685640.6902553365</v>
      </c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>
      <c r="B303" s="653" t="s">
        <v>641</v>
      </c>
      <c r="C303" s="653"/>
      <c r="D303" s="544">
        <f ca="1">+SUM(F303:Z303)</f>
        <v>448826190.12839961</v>
      </c>
      <c r="E303" s="544"/>
      <c r="F303" s="544">
        <f ca="1">SUM(F295:F302)</f>
        <v>166474667.50601038</v>
      </c>
      <c r="G303" s="544">
        <f t="shared" ref="G303:Z303" ca="1" si="253">SUM(G295:G302)</f>
        <v>138490120.62093925</v>
      </c>
      <c r="H303" s="544">
        <f t="shared" ca="1" si="253"/>
        <v>138490120.62093925</v>
      </c>
      <c r="I303" s="544">
        <f t="shared" ca="1" si="253"/>
        <v>2685640.6902553365</v>
      </c>
      <c r="J303" s="544">
        <f t="shared" ca="1" si="253"/>
        <v>2685640.6902553365</v>
      </c>
      <c r="K303" s="544">
        <f t="shared" si="253"/>
        <v>0</v>
      </c>
      <c r="L303" s="544">
        <f t="shared" si="253"/>
        <v>0</v>
      </c>
      <c r="M303" s="544">
        <f t="shared" si="253"/>
        <v>0</v>
      </c>
      <c r="N303" s="544">
        <f t="shared" si="253"/>
        <v>0</v>
      </c>
      <c r="O303" s="544">
        <f t="shared" si="253"/>
        <v>0</v>
      </c>
      <c r="P303" s="544">
        <f t="shared" si="253"/>
        <v>0</v>
      </c>
      <c r="Q303" s="544">
        <f t="shared" si="253"/>
        <v>0</v>
      </c>
      <c r="R303" s="544">
        <f t="shared" si="253"/>
        <v>0</v>
      </c>
      <c r="S303" s="544">
        <f t="shared" si="253"/>
        <v>0</v>
      </c>
      <c r="T303" s="544">
        <f t="shared" si="253"/>
        <v>0</v>
      </c>
      <c r="U303" s="544">
        <f t="shared" si="253"/>
        <v>0</v>
      </c>
      <c r="V303" s="544">
        <f t="shared" si="253"/>
        <v>0</v>
      </c>
      <c r="W303" s="544">
        <f t="shared" si="253"/>
        <v>0</v>
      </c>
      <c r="X303" s="544">
        <f t="shared" si="253"/>
        <v>0</v>
      </c>
      <c r="Y303" s="544">
        <f t="shared" si="253"/>
        <v>0</v>
      </c>
      <c r="Z303" s="544">
        <f t="shared" si="253"/>
        <v>0</v>
      </c>
    </row>
    <row r="305" spans="2:26">
      <c r="B305" s="15" t="s">
        <v>642</v>
      </c>
      <c r="D305" s="26">
        <f>+SUM(F305:Z305)</f>
        <v>123148098.20990872</v>
      </c>
      <c r="F305" s="22">
        <f t="shared" ref="F305:Z305" si="254">+SUM(F295:F299,F300)</f>
        <v>111806187</v>
      </c>
      <c r="G305" s="22">
        <f t="shared" si="254"/>
        <v>0</v>
      </c>
      <c r="H305" s="22">
        <f t="shared" si="254"/>
        <v>11341911.20990872</v>
      </c>
      <c r="I305" s="22">
        <f t="shared" si="254"/>
        <v>0</v>
      </c>
      <c r="J305" s="22">
        <f t="shared" si="254"/>
        <v>0</v>
      </c>
      <c r="K305" s="22">
        <f t="shared" si="254"/>
        <v>0</v>
      </c>
      <c r="L305" s="22">
        <f t="shared" si="254"/>
        <v>0</v>
      </c>
      <c r="M305" s="22">
        <f t="shared" si="254"/>
        <v>0</v>
      </c>
      <c r="N305" s="22">
        <f t="shared" si="254"/>
        <v>0</v>
      </c>
      <c r="O305" s="22">
        <f t="shared" si="254"/>
        <v>0</v>
      </c>
      <c r="P305" s="22">
        <f t="shared" si="254"/>
        <v>0</v>
      </c>
      <c r="Q305" s="22">
        <f t="shared" si="254"/>
        <v>0</v>
      </c>
      <c r="R305" s="22">
        <f t="shared" si="254"/>
        <v>0</v>
      </c>
      <c r="S305" s="22">
        <f t="shared" si="254"/>
        <v>0</v>
      </c>
      <c r="T305" s="22">
        <f t="shared" si="254"/>
        <v>0</v>
      </c>
      <c r="U305" s="22">
        <f t="shared" si="254"/>
        <v>0</v>
      </c>
      <c r="V305" s="22">
        <f t="shared" si="254"/>
        <v>0</v>
      </c>
      <c r="W305" s="22">
        <f t="shared" si="254"/>
        <v>0</v>
      </c>
      <c r="X305" s="22">
        <f t="shared" si="254"/>
        <v>0</v>
      </c>
      <c r="Y305" s="22">
        <f t="shared" si="254"/>
        <v>0</v>
      </c>
      <c r="Z305" s="22">
        <f t="shared" si="254"/>
        <v>0</v>
      </c>
    </row>
    <row r="307" spans="2:26">
      <c r="B307" s="73" t="s">
        <v>643</v>
      </c>
    </row>
    <row r="308" spans="2:26">
      <c r="B308" s="15" t="s">
        <v>644</v>
      </c>
      <c r="D308" s="26">
        <f ca="1">+SUM(F308:Z308)</f>
        <v>-264506566.91849086</v>
      </c>
      <c r="E308" s="26"/>
      <c r="F308" s="16">
        <f ca="1">-F302</f>
        <v>6503044.4939896166</v>
      </c>
      <c r="G308" s="16">
        <f t="shared" ref="G308:Z308" ca="1" si="255">-G302</f>
        <v>-138490120.62093925</v>
      </c>
      <c r="H308" s="16">
        <f t="shared" ca="1" si="255"/>
        <v>-127148209.41103053</v>
      </c>
      <c r="I308" s="16">
        <f t="shared" ca="1" si="255"/>
        <v>-2685640.6902553365</v>
      </c>
      <c r="J308" s="16">
        <f t="shared" ca="1" si="255"/>
        <v>-2685640.6902553365</v>
      </c>
      <c r="K308" s="16">
        <f t="shared" si="255"/>
        <v>0</v>
      </c>
      <c r="L308" s="16">
        <f t="shared" si="255"/>
        <v>0</v>
      </c>
      <c r="M308" s="16">
        <f t="shared" si="255"/>
        <v>0</v>
      </c>
      <c r="N308" s="16">
        <f t="shared" si="255"/>
        <v>0</v>
      </c>
      <c r="O308" s="16">
        <f t="shared" si="255"/>
        <v>0</v>
      </c>
      <c r="P308" s="16">
        <f t="shared" si="255"/>
        <v>0</v>
      </c>
      <c r="Q308" s="16">
        <f t="shared" si="255"/>
        <v>0</v>
      </c>
      <c r="R308" s="16">
        <f t="shared" si="255"/>
        <v>0</v>
      </c>
      <c r="S308" s="16">
        <f t="shared" si="255"/>
        <v>0</v>
      </c>
      <c r="T308" s="16">
        <f t="shared" si="255"/>
        <v>0</v>
      </c>
      <c r="U308" s="16">
        <f t="shared" si="255"/>
        <v>0</v>
      </c>
      <c r="V308" s="16">
        <f t="shared" si="255"/>
        <v>0</v>
      </c>
      <c r="W308" s="16">
        <f t="shared" si="255"/>
        <v>0</v>
      </c>
      <c r="X308" s="16">
        <f t="shared" si="255"/>
        <v>0</v>
      </c>
      <c r="Y308" s="16">
        <f t="shared" si="255"/>
        <v>0</v>
      </c>
      <c r="Z308" s="16">
        <f t="shared" si="255"/>
        <v>0</v>
      </c>
    </row>
    <row r="309" spans="2:26">
      <c r="B309" s="15" t="s">
        <v>645</v>
      </c>
      <c r="D309" s="26">
        <f ca="1">+SUM(F309:Z309)</f>
        <v>471026212.6101414</v>
      </c>
      <c r="E309" s="26"/>
      <c r="F309" s="76">
        <f t="shared" ref="F309:Z309" si="256">+F277</f>
        <v>0</v>
      </c>
      <c r="G309" s="76">
        <f t="shared" si="256"/>
        <v>0</v>
      </c>
      <c r="H309" s="76">
        <f t="shared" si="256"/>
        <v>0</v>
      </c>
      <c r="I309" s="76">
        <f t="shared" ca="1" si="256"/>
        <v>172676049.55257836</v>
      </c>
      <c r="J309" s="76">
        <f t="shared" ca="1" si="256"/>
        <v>2961425.9525415883</v>
      </c>
      <c r="K309" s="76">
        <f t="shared" ca="1" si="256"/>
        <v>3187886.3420144175</v>
      </c>
      <c r="L309" s="76">
        <f t="shared" ca="1" si="256"/>
        <v>10717207.721793357</v>
      </c>
      <c r="M309" s="76">
        <f t="shared" ca="1" si="256"/>
        <v>10934583.583898494</v>
      </c>
      <c r="N309" s="76">
        <f t="shared" ca="1" si="256"/>
        <v>11130743.696651906</v>
      </c>
      <c r="O309" s="76">
        <f t="shared" ca="1" si="256"/>
        <v>11346709.331483688</v>
      </c>
      <c r="P309" s="76">
        <f t="shared" ca="1" si="256"/>
        <v>248071606.42917961</v>
      </c>
      <c r="Q309" s="76">
        <f t="shared" si="256"/>
        <v>0</v>
      </c>
      <c r="R309" s="76">
        <f t="shared" si="256"/>
        <v>0</v>
      </c>
      <c r="S309" s="76">
        <f t="shared" si="256"/>
        <v>0</v>
      </c>
      <c r="T309" s="76">
        <f t="shared" si="256"/>
        <v>0</v>
      </c>
      <c r="U309" s="76">
        <f t="shared" si="256"/>
        <v>0</v>
      </c>
      <c r="V309" s="76">
        <f t="shared" si="256"/>
        <v>0</v>
      </c>
      <c r="W309" s="76">
        <f t="shared" si="256"/>
        <v>0</v>
      </c>
      <c r="X309" s="76">
        <f t="shared" si="256"/>
        <v>0</v>
      </c>
      <c r="Y309" s="76">
        <f t="shared" si="256"/>
        <v>0</v>
      </c>
      <c r="Z309" s="76">
        <f t="shared" si="256"/>
        <v>0</v>
      </c>
    </row>
    <row r="310" spans="2:26">
      <c r="B310" s="653" t="s">
        <v>646</v>
      </c>
      <c r="C310" s="653"/>
      <c r="D310" s="544">
        <f ca="1">+SUM(F310:Z310)</f>
        <v>206519645.69165057</v>
      </c>
      <c r="E310" s="544"/>
      <c r="F310" s="544">
        <f ca="1">+SUM(F308:F309)</f>
        <v>6503044.4939896166</v>
      </c>
      <c r="G310" s="544">
        <f t="shared" ref="G310:Z310" ca="1" si="257">+SUM(G308:G309)</f>
        <v>-138490120.62093925</v>
      </c>
      <c r="H310" s="544">
        <f t="shared" ca="1" si="257"/>
        <v>-127148209.41103053</v>
      </c>
      <c r="I310" s="544">
        <f t="shared" ca="1" si="257"/>
        <v>169990408.86232302</v>
      </c>
      <c r="J310" s="544">
        <f t="shared" ca="1" si="257"/>
        <v>275785.26228625188</v>
      </c>
      <c r="K310" s="544">
        <f t="shared" ca="1" si="257"/>
        <v>3187886.3420144175</v>
      </c>
      <c r="L310" s="544">
        <f t="shared" ca="1" si="257"/>
        <v>10717207.721793357</v>
      </c>
      <c r="M310" s="544">
        <f t="shared" ca="1" si="257"/>
        <v>10934583.583898494</v>
      </c>
      <c r="N310" s="544">
        <f t="shared" ca="1" si="257"/>
        <v>11130743.696651906</v>
      </c>
      <c r="O310" s="544">
        <f t="shared" ca="1" si="257"/>
        <v>11346709.331483688</v>
      </c>
      <c r="P310" s="544">
        <f t="shared" ca="1" si="257"/>
        <v>248071606.42917961</v>
      </c>
      <c r="Q310" s="544">
        <f t="shared" si="257"/>
        <v>0</v>
      </c>
      <c r="R310" s="544">
        <f t="shared" si="257"/>
        <v>0</v>
      </c>
      <c r="S310" s="544">
        <f t="shared" si="257"/>
        <v>0</v>
      </c>
      <c r="T310" s="544">
        <f t="shared" si="257"/>
        <v>0</v>
      </c>
      <c r="U310" s="544">
        <f t="shared" si="257"/>
        <v>0</v>
      </c>
      <c r="V310" s="544">
        <f t="shared" si="257"/>
        <v>0</v>
      </c>
      <c r="W310" s="544">
        <f t="shared" si="257"/>
        <v>0</v>
      </c>
      <c r="X310" s="544">
        <f t="shared" si="257"/>
        <v>0</v>
      </c>
      <c r="Y310" s="544">
        <f t="shared" si="257"/>
        <v>0</v>
      </c>
      <c r="Z310" s="544">
        <f t="shared" si="257"/>
        <v>0</v>
      </c>
    </row>
    <row r="312" spans="2:26">
      <c r="B312" s="672" t="s">
        <v>1</v>
      </c>
      <c r="C312" s="672"/>
      <c r="D312" s="673">
        <f ca="1">+IRR(F310:Z310)</f>
        <v>0.12382733811432844</v>
      </c>
      <c r="I312" s="22"/>
    </row>
    <row r="313" spans="2:26">
      <c r="B313" s="655" t="s">
        <v>647</v>
      </c>
      <c r="C313" s="528"/>
      <c r="D313" s="658">
        <f ca="1">+SUM(F310:Z310)</f>
        <v>206519645.69165057</v>
      </c>
    </row>
    <row r="314" spans="2:26">
      <c r="B314" s="674" t="s">
        <v>14</v>
      </c>
      <c r="C314" s="531"/>
      <c r="D314" s="675">
        <f ca="1">+D309/-D308</f>
        <v>1.7807732265312366</v>
      </c>
    </row>
    <row r="316" spans="2:26">
      <c r="B316" s="440" t="s">
        <v>648</v>
      </c>
      <c r="C316" s="441"/>
      <c r="D316" s="441"/>
      <c r="E316" s="441"/>
      <c r="F316" s="611"/>
      <c r="G316" s="611"/>
      <c r="H316" s="611"/>
      <c r="I316" s="611"/>
      <c r="J316" s="611"/>
      <c r="K316" s="611"/>
      <c r="L316" s="611"/>
      <c r="M316" s="611"/>
      <c r="N316" s="611"/>
      <c r="O316" s="611"/>
      <c r="P316" s="611"/>
      <c r="Q316" s="611"/>
      <c r="R316" s="611"/>
      <c r="S316" s="611"/>
      <c r="T316" s="611"/>
      <c r="U316" s="611"/>
      <c r="V316" s="611"/>
      <c r="W316" s="611"/>
      <c r="X316" s="611"/>
      <c r="Y316" s="611"/>
      <c r="Z316" s="611"/>
    </row>
    <row r="318" spans="2:26">
      <c r="B318" s="73" t="s">
        <v>587</v>
      </c>
      <c r="F318" s="75">
        <f>+F$294</f>
        <v>44561</v>
      </c>
      <c r="G318" s="75">
        <f t="shared" ref="G318:Z318" si="258">+G$294</f>
        <v>44926</v>
      </c>
      <c r="H318" s="75">
        <f t="shared" si="258"/>
        <v>45291</v>
      </c>
      <c r="I318" s="75">
        <f>+I$294</f>
        <v>45657</v>
      </c>
      <c r="J318" s="75">
        <f t="shared" si="258"/>
        <v>46022</v>
      </c>
      <c r="K318" s="75">
        <f t="shared" si="258"/>
        <v>46387</v>
      </c>
      <c r="L318" s="75">
        <f t="shared" si="258"/>
        <v>46752</v>
      </c>
      <c r="M318" s="75">
        <f t="shared" si="258"/>
        <v>47118</v>
      </c>
      <c r="N318" s="75">
        <f t="shared" si="258"/>
        <v>47483</v>
      </c>
      <c r="O318" s="75">
        <f t="shared" si="258"/>
        <v>47848</v>
      </c>
      <c r="P318" s="75">
        <f t="shared" si="258"/>
        <v>48213</v>
      </c>
      <c r="Q318" s="75">
        <f t="shared" si="258"/>
        <v>48579</v>
      </c>
      <c r="R318" s="75">
        <f t="shared" si="258"/>
        <v>48944</v>
      </c>
      <c r="S318" s="75">
        <f t="shared" si="258"/>
        <v>49309</v>
      </c>
      <c r="T318" s="75">
        <f t="shared" si="258"/>
        <v>49674</v>
      </c>
      <c r="U318" s="75">
        <f t="shared" si="258"/>
        <v>50040</v>
      </c>
      <c r="V318" s="75">
        <f t="shared" si="258"/>
        <v>50405</v>
      </c>
      <c r="W318" s="75">
        <f t="shared" si="258"/>
        <v>50770</v>
      </c>
      <c r="X318" s="75">
        <f t="shared" si="258"/>
        <v>51135</v>
      </c>
      <c r="Y318" s="75">
        <f t="shared" si="258"/>
        <v>51501</v>
      </c>
      <c r="Z318" s="75">
        <f t="shared" si="258"/>
        <v>51866</v>
      </c>
    </row>
    <row r="319" spans="2:26">
      <c r="B319" s="15" t="s">
        <v>574</v>
      </c>
      <c r="C319"/>
      <c r="D319"/>
      <c r="E319"/>
      <c r="F319" s="16">
        <f>+F$138</f>
        <v>0</v>
      </c>
      <c r="G319" s="16">
        <f t="shared" ref="G319:Z319" si="259">+G$138</f>
        <v>0</v>
      </c>
      <c r="H319" s="16">
        <f t="shared" si="259"/>
        <v>0</v>
      </c>
      <c r="I319" s="16">
        <f>+I$138</f>
        <v>11355656.772778463</v>
      </c>
      <c r="J319" s="16">
        <f t="shared" si="259"/>
        <v>21889411.121050809</v>
      </c>
      <c r="K319" s="16">
        <f t="shared" si="259"/>
        <v>21996862.727504998</v>
      </c>
      <c r="L319" s="16">
        <f t="shared" si="259"/>
        <v>23759471.05925731</v>
      </c>
      <c r="M319" s="16">
        <f t="shared" si="259"/>
        <v>23904466.824945353</v>
      </c>
      <c r="N319" s="16">
        <f t="shared" si="259"/>
        <v>24026799.239353329</v>
      </c>
      <c r="O319" s="16">
        <f t="shared" si="259"/>
        <v>24167460.621872768</v>
      </c>
      <c r="P319" s="16">
        <f t="shared" si="259"/>
        <v>24314688.638343289</v>
      </c>
      <c r="Q319" s="16">
        <f t="shared" si="259"/>
        <v>26224871.127549402</v>
      </c>
      <c r="R319" s="16">
        <f t="shared" si="259"/>
        <v>26393965.979815327</v>
      </c>
      <c r="S319" s="16">
        <f t="shared" si="259"/>
        <v>26543668.630735829</v>
      </c>
      <c r="T319" s="16">
        <f t="shared" si="259"/>
        <v>26700924.611974239</v>
      </c>
      <c r="U319" s="16">
        <f t="shared" si="259"/>
        <v>26881475.004147954</v>
      </c>
      <c r="V319" s="16">
        <f t="shared" si="259"/>
        <v>28977649.889622606</v>
      </c>
      <c r="W319" s="16">
        <f t="shared" si="259"/>
        <v>29150515.974748202</v>
      </c>
      <c r="X319" s="16">
        <f t="shared" si="259"/>
        <v>29324232.172555096</v>
      </c>
      <c r="Y319" s="16">
        <f t="shared" si="259"/>
        <v>29523973.727296911</v>
      </c>
      <c r="Z319" s="16">
        <f t="shared" si="259"/>
        <v>29712749.171588536</v>
      </c>
    </row>
    <row r="320" spans="2:26">
      <c r="B320" s="15" t="s">
        <v>612</v>
      </c>
      <c r="C320"/>
      <c r="D320"/>
      <c r="E320"/>
      <c r="F320" s="76">
        <f t="shared" ref="F320:O320" si="260">F206</f>
        <v>0</v>
      </c>
      <c r="G320" s="76">
        <f t="shared" si="260"/>
        <v>0</v>
      </c>
      <c r="H320" s="76">
        <f t="shared" si="260"/>
        <v>0</v>
      </c>
      <c r="I320" s="76">
        <f t="shared" ca="1" si="260"/>
        <v>1535732.2462926258</v>
      </c>
      <c r="J320" s="76">
        <f t="shared" ca="1" si="260"/>
        <v>3423371.4403864285</v>
      </c>
      <c r="K320" s="76">
        <f t="shared" ca="1" si="260"/>
        <v>3651867.5876161545</v>
      </c>
      <c r="L320" s="76">
        <f t="shared" ca="1" si="260"/>
        <v>3724904.9393684757</v>
      </c>
      <c r="M320" s="76">
        <f t="shared" ca="1" si="260"/>
        <v>3799403.0381558458</v>
      </c>
      <c r="N320" s="76">
        <f t="shared" ca="1" si="260"/>
        <v>3875391.0989189618</v>
      </c>
      <c r="O320" s="76">
        <f t="shared" ca="1" si="260"/>
        <v>3952898.9208973399</v>
      </c>
      <c r="P320" s="76">
        <f ca="1">P206</f>
        <v>4031956.8993152878</v>
      </c>
      <c r="Q320" s="76">
        <f t="shared" ref="Q320:Z320" si="261">Q230</f>
        <v>0</v>
      </c>
      <c r="R320" s="76">
        <f t="shared" si="261"/>
        <v>0</v>
      </c>
      <c r="S320" s="76">
        <f t="shared" si="261"/>
        <v>0</v>
      </c>
      <c r="T320" s="76">
        <f t="shared" si="261"/>
        <v>0</v>
      </c>
      <c r="U320" s="76">
        <f t="shared" si="261"/>
        <v>0</v>
      </c>
      <c r="V320" s="76">
        <f t="shared" si="261"/>
        <v>0</v>
      </c>
      <c r="W320" s="76">
        <f t="shared" si="261"/>
        <v>0</v>
      </c>
      <c r="X320" s="76">
        <f t="shared" si="261"/>
        <v>0</v>
      </c>
      <c r="Y320" s="76">
        <f t="shared" si="261"/>
        <v>0</v>
      </c>
      <c r="Z320" s="76">
        <f t="shared" si="261"/>
        <v>0</v>
      </c>
    </row>
    <row r="321" spans="1:26">
      <c r="B321" s="15" t="s">
        <v>649</v>
      </c>
      <c r="C321"/>
      <c r="D321"/>
      <c r="E321"/>
      <c r="F321" s="76">
        <f>+F$251</f>
        <v>0</v>
      </c>
      <c r="G321" s="76">
        <f t="shared" ref="G321:Z321" si="262">+G$251</f>
        <v>0</v>
      </c>
      <c r="H321" s="76">
        <f t="shared" si="262"/>
        <v>0</v>
      </c>
      <c r="I321" s="76">
        <f>+I$251</f>
        <v>122001.34853749</v>
      </c>
      <c r="J321" s="76">
        <f t="shared" si="262"/>
        <v>186054.51215516002</v>
      </c>
      <c r="K321" s="76">
        <f t="shared" si="262"/>
        <v>184018.75439826321</v>
      </c>
      <c r="L321" s="76">
        <f t="shared" si="262"/>
        <v>210726.52148622851</v>
      </c>
      <c r="M321" s="76">
        <f t="shared" si="262"/>
        <v>208608.51911595304</v>
      </c>
      <c r="N321" s="76">
        <f t="shared" si="262"/>
        <v>206448.15669827213</v>
      </c>
      <c r="O321" s="76">
        <f t="shared" si="262"/>
        <v>204244.58703223756</v>
      </c>
      <c r="P321" s="76">
        <f t="shared" si="262"/>
        <v>201996.9459728823</v>
      </c>
      <c r="Q321" s="76">
        <f t="shared" si="262"/>
        <v>231367.01609234</v>
      </c>
      <c r="R321" s="76">
        <f t="shared" si="262"/>
        <v>229028.57033418681</v>
      </c>
      <c r="S321" s="76">
        <f t="shared" si="262"/>
        <v>226643.35566087055</v>
      </c>
      <c r="T321" s="76">
        <f t="shared" si="262"/>
        <v>224210.43669408793</v>
      </c>
      <c r="U321" s="76">
        <f t="shared" si="262"/>
        <v>221728.8593479697</v>
      </c>
      <c r="V321" s="76">
        <f t="shared" si="262"/>
        <v>254026.58085492917</v>
      </c>
      <c r="W321" s="76">
        <f t="shared" si="262"/>
        <v>251444.74778402771</v>
      </c>
      <c r="X321" s="76">
        <f t="shared" si="262"/>
        <v>248811.27805170824</v>
      </c>
      <c r="Y321" s="76">
        <f t="shared" si="262"/>
        <v>246125.13892474244</v>
      </c>
      <c r="Z321" s="76">
        <f t="shared" si="262"/>
        <v>243385.27701523725</v>
      </c>
    </row>
    <row r="322" spans="1:26">
      <c r="B322" s="653" t="s">
        <v>587</v>
      </c>
      <c r="C322" s="653"/>
      <c r="D322" s="544"/>
      <c r="E322" s="544"/>
      <c r="F322" s="544">
        <f t="shared" ref="F322:Z322" si="263">+SUM(F319:F321)</f>
        <v>0</v>
      </c>
      <c r="G322" s="544">
        <f t="shared" si="263"/>
        <v>0</v>
      </c>
      <c r="H322" s="544">
        <f t="shared" si="263"/>
        <v>0</v>
      </c>
      <c r="I322" s="544">
        <f t="shared" ca="1" si="263"/>
        <v>13013390.367608579</v>
      </c>
      <c r="J322" s="544">
        <f t="shared" ca="1" si="263"/>
        <v>25498837.073592398</v>
      </c>
      <c r="K322" s="544">
        <f t="shared" ca="1" si="263"/>
        <v>25832749.069519415</v>
      </c>
      <c r="L322" s="544">
        <f t="shared" ca="1" si="263"/>
        <v>27695102.520112015</v>
      </c>
      <c r="M322" s="544">
        <f t="shared" ca="1" si="263"/>
        <v>27912478.382217154</v>
      </c>
      <c r="N322" s="544">
        <f t="shared" ca="1" si="263"/>
        <v>28108638.494970564</v>
      </c>
      <c r="O322" s="544">
        <f t="shared" ca="1" si="263"/>
        <v>28324604.129802343</v>
      </c>
      <c r="P322" s="544">
        <f t="shared" ca="1" si="263"/>
        <v>28548642.483631458</v>
      </c>
      <c r="Q322" s="544">
        <f t="shared" si="263"/>
        <v>26456238.143641744</v>
      </c>
      <c r="R322" s="544">
        <f t="shared" si="263"/>
        <v>26622994.550149515</v>
      </c>
      <c r="S322" s="544">
        <f t="shared" si="263"/>
        <v>26770311.9863967</v>
      </c>
      <c r="T322" s="544">
        <f t="shared" si="263"/>
        <v>26925135.048668329</v>
      </c>
      <c r="U322" s="544">
        <f t="shared" si="263"/>
        <v>27103203.863495924</v>
      </c>
      <c r="V322" s="544">
        <f t="shared" si="263"/>
        <v>29231676.470477536</v>
      </c>
      <c r="W322" s="544">
        <f t="shared" si="263"/>
        <v>29401960.722532228</v>
      </c>
      <c r="X322" s="544">
        <f t="shared" si="263"/>
        <v>29573043.450606804</v>
      </c>
      <c r="Y322" s="544">
        <f t="shared" si="263"/>
        <v>29770098.866221655</v>
      </c>
      <c r="Z322" s="544">
        <f t="shared" si="263"/>
        <v>29956134.448603775</v>
      </c>
    </row>
    <row r="323" spans="1:26">
      <c r="A323" s="21" t="s">
        <v>246</v>
      </c>
    </row>
    <row r="324" spans="1:26">
      <c r="B324" s="73" t="s">
        <v>152</v>
      </c>
      <c r="F324" s="75">
        <f>+F$294</f>
        <v>44561</v>
      </c>
      <c r="G324" s="75">
        <f t="shared" ref="G324:Z324" si="264">+G$294</f>
        <v>44926</v>
      </c>
      <c r="H324" s="75">
        <f t="shared" si="264"/>
        <v>45291</v>
      </c>
      <c r="I324" s="75">
        <f>+I$294</f>
        <v>45657</v>
      </c>
      <c r="J324" s="75">
        <f t="shared" si="264"/>
        <v>46022</v>
      </c>
      <c r="K324" s="75">
        <f t="shared" si="264"/>
        <v>46387</v>
      </c>
      <c r="L324" s="75">
        <f t="shared" si="264"/>
        <v>46752</v>
      </c>
      <c r="M324" s="75">
        <f t="shared" si="264"/>
        <v>47118</v>
      </c>
      <c r="N324" s="75">
        <f t="shared" si="264"/>
        <v>47483</v>
      </c>
      <c r="O324" s="75">
        <f t="shared" si="264"/>
        <v>47848</v>
      </c>
      <c r="P324" s="75">
        <f t="shared" si="264"/>
        <v>48213</v>
      </c>
      <c r="Q324" s="75">
        <f t="shared" si="264"/>
        <v>48579</v>
      </c>
      <c r="R324" s="75">
        <f t="shared" si="264"/>
        <v>48944</v>
      </c>
      <c r="S324" s="75">
        <f t="shared" si="264"/>
        <v>49309</v>
      </c>
      <c r="T324" s="75">
        <f t="shared" si="264"/>
        <v>49674</v>
      </c>
      <c r="U324" s="75">
        <f t="shared" si="264"/>
        <v>50040</v>
      </c>
      <c r="V324" s="75">
        <f t="shared" si="264"/>
        <v>50405</v>
      </c>
      <c r="W324" s="75">
        <f t="shared" si="264"/>
        <v>50770</v>
      </c>
      <c r="X324" s="75">
        <f t="shared" si="264"/>
        <v>51135</v>
      </c>
      <c r="Y324" s="75">
        <f t="shared" si="264"/>
        <v>51501</v>
      </c>
      <c r="Z324" s="75">
        <f t="shared" si="264"/>
        <v>51866</v>
      </c>
    </row>
    <row r="325" spans="1:26">
      <c r="B325" s="15" t="s">
        <v>605</v>
      </c>
      <c r="C325"/>
      <c r="D325"/>
      <c r="E325"/>
      <c r="F325" s="16">
        <f t="shared" ref="F325:Z325" si="265">+F270+F225+F155</f>
        <v>0</v>
      </c>
      <c r="G325" s="16">
        <f t="shared" si="265"/>
        <v>0</v>
      </c>
      <c r="H325" s="16">
        <f t="shared" si="265"/>
        <v>0</v>
      </c>
      <c r="I325" s="16">
        <f t="shared" si="265"/>
        <v>0</v>
      </c>
      <c r="J325" s="16">
        <f t="shared" si="265"/>
        <v>0</v>
      </c>
      <c r="K325" s="16">
        <f t="shared" si="265"/>
        <v>0</v>
      </c>
      <c r="L325" s="16">
        <f t="shared" si="265"/>
        <v>0</v>
      </c>
      <c r="M325" s="16">
        <f t="shared" si="265"/>
        <v>0</v>
      </c>
      <c r="N325" s="16">
        <f t="shared" si="265"/>
        <v>0</v>
      </c>
      <c r="O325" s="16">
        <f t="shared" si="265"/>
        <v>0</v>
      </c>
      <c r="P325" s="16">
        <f t="shared" ca="1" si="265"/>
        <v>452998593.27282459</v>
      </c>
      <c r="Q325" s="16">
        <f t="shared" si="265"/>
        <v>0</v>
      </c>
      <c r="R325" s="16">
        <f t="shared" si="265"/>
        <v>0</v>
      </c>
      <c r="S325" s="16">
        <f t="shared" si="265"/>
        <v>0</v>
      </c>
      <c r="T325" s="16">
        <f t="shared" si="265"/>
        <v>0</v>
      </c>
      <c r="U325" s="16">
        <f t="shared" si="265"/>
        <v>0</v>
      </c>
      <c r="V325" s="16">
        <f t="shared" si="265"/>
        <v>0</v>
      </c>
      <c r="W325" s="16">
        <f t="shared" si="265"/>
        <v>0</v>
      </c>
      <c r="X325" s="16">
        <f t="shared" si="265"/>
        <v>0</v>
      </c>
      <c r="Y325" s="16">
        <f t="shared" si="265"/>
        <v>0</v>
      </c>
      <c r="Z325" s="16">
        <f t="shared" si="265"/>
        <v>0</v>
      </c>
    </row>
    <row r="326" spans="1:26">
      <c r="B326" s="15" t="s">
        <v>607</v>
      </c>
      <c r="F326" s="76">
        <f t="shared" ref="F326:Z326" si="266">+F271+F226+F157</f>
        <v>0</v>
      </c>
      <c r="G326" s="76">
        <f t="shared" si="266"/>
        <v>0</v>
      </c>
      <c r="H326" s="76">
        <f t="shared" si="266"/>
        <v>0</v>
      </c>
      <c r="I326" s="76">
        <f t="shared" si="266"/>
        <v>0</v>
      </c>
      <c r="J326" s="76">
        <f t="shared" si="266"/>
        <v>0</v>
      </c>
      <c r="K326" s="76">
        <f t="shared" si="266"/>
        <v>0</v>
      </c>
      <c r="L326" s="76">
        <f t="shared" si="266"/>
        <v>0</v>
      </c>
      <c r="M326" s="76">
        <f t="shared" si="266"/>
        <v>0</v>
      </c>
      <c r="N326" s="76">
        <f t="shared" si="266"/>
        <v>0</v>
      </c>
      <c r="O326" s="76">
        <f t="shared" si="266"/>
        <v>0</v>
      </c>
      <c r="P326" s="76">
        <f t="shared" ca="1" si="266"/>
        <v>-9059971.8654564917</v>
      </c>
      <c r="Q326" s="76">
        <f t="shared" si="266"/>
        <v>0</v>
      </c>
      <c r="R326" s="76">
        <f t="shared" si="266"/>
        <v>0</v>
      </c>
      <c r="S326" s="76">
        <f t="shared" si="266"/>
        <v>0</v>
      </c>
      <c r="T326" s="76">
        <f t="shared" si="266"/>
        <v>0</v>
      </c>
      <c r="U326" s="76">
        <f t="shared" si="266"/>
        <v>0</v>
      </c>
      <c r="V326" s="76">
        <f t="shared" si="266"/>
        <v>0</v>
      </c>
      <c r="W326" s="76">
        <f t="shared" si="266"/>
        <v>0</v>
      </c>
      <c r="X326" s="76">
        <f t="shared" si="266"/>
        <v>0</v>
      </c>
      <c r="Y326" s="76">
        <f t="shared" si="266"/>
        <v>0</v>
      </c>
      <c r="Z326" s="76">
        <f t="shared" si="266"/>
        <v>0</v>
      </c>
    </row>
    <row r="327" spans="1:26">
      <c r="B327" s="653" t="s">
        <v>609</v>
      </c>
      <c r="C327" s="653"/>
      <c r="D327" s="544"/>
      <c r="E327" s="544"/>
      <c r="F327" s="544">
        <f>+SUM(F325:F326)</f>
        <v>0</v>
      </c>
      <c r="G327" s="544">
        <f t="shared" ref="G327:M327" si="267">+SUM(G325:G326)</f>
        <v>0</v>
      </c>
      <c r="H327" s="544">
        <f t="shared" si="267"/>
        <v>0</v>
      </c>
      <c r="I327" s="544">
        <f t="shared" si="267"/>
        <v>0</v>
      </c>
      <c r="J327" s="544">
        <f t="shared" si="267"/>
        <v>0</v>
      </c>
      <c r="K327" s="544">
        <f t="shared" si="267"/>
        <v>0</v>
      </c>
      <c r="L327" s="544">
        <f t="shared" si="267"/>
        <v>0</v>
      </c>
      <c r="M327" s="544">
        <f t="shared" si="267"/>
        <v>0</v>
      </c>
      <c r="N327" s="544">
        <f t="shared" ref="N327:Z327" si="268">+SUM(N325:N326)</f>
        <v>0</v>
      </c>
      <c r="O327" s="544">
        <f t="shared" si="268"/>
        <v>0</v>
      </c>
      <c r="P327" s="544">
        <f t="shared" ca="1" si="268"/>
        <v>443938621.40736806</v>
      </c>
      <c r="Q327" s="544">
        <f t="shared" si="268"/>
        <v>0</v>
      </c>
      <c r="R327" s="544">
        <f t="shared" si="268"/>
        <v>0</v>
      </c>
      <c r="S327" s="544">
        <f t="shared" si="268"/>
        <v>0</v>
      </c>
      <c r="T327" s="544">
        <f t="shared" si="268"/>
        <v>0</v>
      </c>
      <c r="U327" s="544">
        <f t="shared" si="268"/>
        <v>0</v>
      </c>
      <c r="V327" s="544">
        <f t="shared" si="268"/>
        <v>0</v>
      </c>
      <c r="W327" s="544">
        <f t="shared" si="268"/>
        <v>0</v>
      </c>
      <c r="X327" s="544">
        <f t="shared" si="268"/>
        <v>0</v>
      </c>
      <c r="Y327" s="544">
        <f t="shared" si="268"/>
        <v>0</v>
      </c>
      <c r="Z327" s="544">
        <f t="shared" si="268"/>
        <v>0</v>
      </c>
    </row>
    <row r="329" spans="1:26">
      <c r="B329" s="73" t="s">
        <v>650</v>
      </c>
      <c r="F329" s="75">
        <f t="shared" ref="F329:Z329" si="269">+F$294</f>
        <v>44561</v>
      </c>
      <c r="G329" s="75">
        <f t="shared" si="269"/>
        <v>44926</v>
      </c>
      <c r="H329" s="75">
        <f t="shared" si="269"/>
        <v>45291</v>
      </c>
      <c r="I329" s="75">
        <f>+I$294</f>
        <v>45657</v>
      </c>
      <c r="J329" s="75">
        <f t="shared" si="269"/>
        <v>46022</v>
      </c>
      <c r="K329" s="75">
        <f t="shared" si="269"/>
        <v>46387</v>
      </c>
      <c r="L329" s="75">
        <f t="shared" si="269"/>
        <v>46752</v>
      </c>
      <c r="M329" s="75">
        <f t="shared" si="269"/>
        <v>47118</v>
      </c>
      <c r="N329" s="75">
        <f t="shared" si="269"/>
        <v>47483</v>
      </c>
      <c r="O329" s="75">
        <f t="shared" si="269"/>
        <v>47848</v>
      </c>
      <c r="P329" s="75">
        <f t="shared" si="269"/>
        <v>48213</v>
      </c>
      <c r="Q329" s="75">
        <f t="shared" si="269"/>
        <v>48579</v>
      </c>
      <c r="R329" s="75">
        <f t="shared" si="269"/>
        <v>48944</v>
      </c>
      <c r="S329" s="75">
        <f t="shared" si="269"/>
        <v>49309</v>
      </c>
      <c r="T329" s="75">
        <f t="shared" si="269"/>
        <v>49674</v>
      </c>
      <c r="U329" s="75">
        <f t="shared" si="269"/>
        <v>50040</v>
      </c>
      <c r="V329" s="75">
        <f t="shared" si="269"/>
        <v>50405</v>
      </c>
      <c r="W329" s="75">
        <f t="shared" si="269"/>
        <v>50770</v>
      </c>
      <c r="X329" s="75">
        <f t="shared" si="269"/>
        <v>51135</v>
      </c>
      <c r="Y329" s="75">
        <f t="shared" si="269"/>
        <v>51501</v>
      </c>
      <c r="Z329" s="75">
        <f t="shared" si="269"/>
        <v>51866</v>
      </c>
    </row>
    <row r="330" spans="1:26">
      <c r="B330" s="15" t="s">
        <v>254</v>
      </c>
      <c r="D330" s="26">
        <f>+SUM(F330:Z330)</f>
        <v>79998202</v>
      </c>
      <c r="E330" s="26"/>
      <c r="F330" s="16">
        <f t="shared" ref="F330:Z330" si="270">+F285</f>
        <v>79998202</v>
      </c>
      <c r="G330" s="16">
        <f t="shared" si="270"/>
        <v>0</v>
      </c>
      <c r="H330" s="16">
        <f t="shared" si="270"/>
        <v>0</v>
      </c>
      <c r="I330" s="16">
        <f t="shared" si="270"/>
        <v>0</v>
      </c>
      <c r="J330" s="16">
        <f t="shared" si="270"/>
        <v>0</v>
      </c>
      <c r="K330" s="16">
        <f t="shared" si="270"/>
        <v>0</v>
      </c>
      <c r="L330" s="16">
        <f t="shared" si="270"/>
        <v>0</v>
      </c>
      <c r="M330" s="16">
        <f t="shared" si="270"/>
        <v>0</v>
      </c>
      <c r="N330" s="16">
        <f t="shared" si="270"/>
        <v>0</v>
      </c>
      <c r="O330" s="16">
        <f t="shared" si="270"/>
        <v>0</v>
      </c>
      <c r="P330" s="16">
        <f t="shared" si="270"/>
        <v>0</v>
      </c>
      <c r="Q330" s="16">
        <f t="shared" si="270"/>
        <v>0</v>
      </c>
      <c r="R330" s="16">
        <f t="shared" si="270"/>
        <v>0</v>
      </c>
      <c r="S330" s="16">
        <f t="shared" si="270"/>
        <v>0</v>
      </c>
      <c r="T330" s="16">
        <f t="shared" si="270"/>
        <v>0</v>
      </c>
      <c r="U330" s="16">
        <f t="shared" si="270"/>
        <v>0</v>
      </c>
      <c r="V330" s="16">
        <f t="shared" si="270"/>
        <v>0</v>
      </c>
      <c r="W330" s="16">
        <f t="shared" si="270"/>
        <v>0</v>
      </c>
      <c r="X330" s="16">
        <f t="shared" si="270"/>
        <v>0</v>
      </c>
      <c r="Y330" s="16">
        <f t="shared" si="270"/>
        <v>0</v>
      </c>
      <c r="Z330" s="16">
        <f t="shared" si="270"/>
        <v>0</v>
      </c>
    </row>
    <row r="331" spans="1:26">
      <c r="B331" s="15" t="s">
        <v>255</v>
      </c>
      <c r="D331" s="26">
        <f t="shared" ref="D331:D336" si="271">+SUM(F331:Z331)</f>
        <v>67748080</v>
      </c>
      <c r="E331" s="26"/>
      <c r="F331" s="76">
        <f t="shared" ref="F331:Z331" si="272">+F286</f>
        <v>67748080</v>
      </c>
      <c r="G331" s="76">
        <f t="shared" si="272"/>
        <v>0</v>
      </c>
      <c r="H331" s="76">
        <f t="shared" si="272"/>
        <v>0</v>
      </c>
      <c r="I331" s="76">
        <f t="shared" si="272"/>
        <v>0</v>
      </c>
      <c r="J331" s="76">
        <f t="shared" si="272"/>
        <v>0</v>
      </c>
      <c r="K331" s="76">
        <f t="shared" si="272"/>
        <v>0</v>
      </c>
      <c r="L331" s="76">
        <f t="shared" si="272"/>
        <v>0</v>
      </c>
      <c r="M331" s="76">
        <f t="shared" si="272"/>
        <v>0</v>
      </c>
      <c r="N331" s="76">
        <f t="shared" si="272"/>
        <v>0</v>
      </c>
      <c r="O331" s="76">
        <f t="shared" si="272"/>
        <v>0</v>
      </c>
      <c r="P331" s="76">
        <f t="shared" si="272"/>
        <v>0</v>
      </c>
      <c r="Q331" s="76">
        <f t="shared" si="272"/>
        <v>0</v>
      </c>
      <c r="R331" s="76">
        <f t="shared" si="272"/>
        <v>0</v>
      </c>
      <c r="S331" s="76">
        <f t="shared" si="272"/>
        <v>0</v>
      </c>
      <c r="T331" s="76">
        <f t="shared" si="272"/>
        <v>0</v>
      </c>
      <c r="U331" s="76">
        <f t="shared" si="272"/>
        <v>0</v>
      </c>
      <c r="V331" s="76">
        <f t="shared" si="272"/>
        <v>0</v>
      </c>
      <c r="W331" s="76">
        <f t="shared" si="272"/>
        <v>0</v>
      </c>
      <c r="X331" s="76">
        <f t="shared" si="272"/>
        <v>0</v>
      </c>
      <c r="Y331" s="76">
        <f t="shared" si="272"/>
        <v>0</v>
      </c>
      <c r="Z331" s="76">
        <f t="shared" si="272"/>
        <v>0</v>
      </c>
    </row>
    <row r="332" spans="1:26">
      <c r="B332" s="15" t="s">
        <v>276</v>
      </c>
      <c r="D332" s="26">
        <f t="shared" ca="1" si="271"/>
        <v>249062286.4725</v>
      </c>
      <c r="E332" s="26"/>
      <c r="F332" s="76">
        <f t="shared" ref="F332:Z332" si="273">+F287</f>
        <v>2687323.32</v>
      </c>
      <c r="G332" s="76">
        <f t="shared" ca="1" si="273"/>
        <v>123187481.57625</v>
      </c>
      <c r="H332" s="76">
        <f t="shared" ca="1" si="273"/>
        <v>123187481.57625</v>
      </c>
      <c r="I332" s="76">
        <f t="shared" si="273"/>
        <v>0</v>
      </c>
      <c r="J332" s="76">
        <f t="shared" si="273"/>
        <v>0</v>
      </c>
      <c r="K332" s="76">
        <f t="shared" si="273"/>
        <v>0</v>
      </c>
      <c r="L332" s="76">
        <f t="shared" si="273"/>
        <v>0</v>
      </c>
      <c r="M332" s="76">
        <f t="shared" si="273"/>
        <v>0</v>
      </c>
      <c r="N332" s="76">
        <f t="shared" si="273"/>
        <v>0</v>
      </c>
      <c r="O332" s="76">
        <f t="shared" si="273"/>
        <v>0</v>
      </c>
      <c r="P332" s="76">
        <f t="shared" si="273"/>
        <v>0</v>
      </c>
      <c r="Q332" s="76">
        <f t="shared" si="273"/>
        <v>0</v>
      </c>
      <c r="R332" s="76">
        <f t="shared" si="273"/>
        <v>0</v>
      </c>
      <c r="S332" s="76">
        <f t="shared" si="273"/>
        <v>0</v>
      </c>
      <c r="T332" s="76">
        <f t="shared" si="273"/>
        <v>0</v>
      </c>
      <c r="U332" s="76">
        <f t="shared" si="273"/>
        <v>0</v>
      </c>
      <c r="V332" s="76">
        <f t="shared" si="273"/>
        <v>0</v>
      </c>
      <c r="W332" s="76">
        <f t="shared" si="273"/>
        <v>0</v>
      </c>
      <c r="X332" s="76">
        <f t="shared" si="273"/>
        <v>0</v>
      </c>
      <c r="Y332" s="76">
        <f t="shared" si="273"/>
        <v>0</v>
      </c>
      <c r="Z332" s="76">
        <f t="shared" si="273"/>
        <v>0</v>
      </c>
    </row>
    <row r="333" spans="1:26">
      <c r="B333" s="15" t="s">
        <v>262</v>
      </c>
      <c r="D333" s="26">
        <f t="shared" ca="1" si="271"/>
        <v>29750887.562973395</v>
      </c>
      <c r="E333" s="26"/>
      <c r="F333" s="76">
        <f t="shared" ref="F333:Z333" ca="1" si="274">+F288</f>
        <v>16041062.186010391</v>
      </c>
      <c r="G333" s="76">
        <f t="shared" ca="1" si="274"/>
        <v>6854912.6884815004</v>
      </c>
      <c r="H333" s="76">
        <f t="shared" ca="1" si="274"/>
        <v>6854912.6884815004</v>
      </c>
      <c r="I333" s="76">
        <f t="shared" si="274"/>
        <v>0</v>
      </c>
      <c r="J333" s="76">
        <f t="shared" si="274"/>
        <v>0</v>
      </c>
      <c r="K333" s="76">
        <f t="shared" si="274"/>
        <v>0</v>
      </c>
      <c r="L333" s="76">
        <f t="shared" si="274"/>
        <v>0</v>
      </c>
      <c r="M333" s="76">
        <f t="shared" si="274"/>
        <v>0</v>
      </c>
      <c r="N333" s="76">
        <f t="shared" si="274"/>
        <v>0</v>
      </c>
      <c r="O333" s="76">
        <f t="shared" si="274"/>
        <v>0</v>
      </c>
      <c r="P333" s="76">
        <f t="shared" si="274"/>
        <v>0</v>
      </c>
      <c r="Q333" s="76">
        <f t="shared" si="274"/>
        <v>0</v>
      </c>
      <c r="R333" s="76">
        <f t="shared" si="274"/>
        <v>0</v>
      </c>
      <c r="S333" s="76">
        <f t="shared" si="274"/>
        <v>0</v>
      </c>
      <c r="T333" s="76">
        <f t="shared" si="274"/>
        <v>0</v>
      </c>
      <c r="U333" s="76">
        <f t="shared" si="274"/>
        <v>0</v>
      </c>
      <c r="V333" s="76">
        <f t="shared" si="274"/>
        <v>0</v>
      </c>
      <c r="W333" s="76">
        <f t="shared" si="274"/>
        <v>0</v>
      </c>
      <c r="X333" s="76">
        <f t="shared" si="274"/>
        <v>0</v>
      </c>
      <c r="Y333" s="76">
        <f t="shared" si="274"/>
        <v>0</v>
      </c>
      <c r="Z333" s="76">
        <f t="shared" si="274"/>
        <v>0</v>
      </c>
    </row>
    <row r="334" spans="1:26">
      <c r="B334" s="15" t="s">
        <v>263</v>
      </c>
      <c r="D334" s="26">
        <f t="shared" si="271"/>
        <v>0</v>
      </c>
      <c r="E334" s="26"/>
      <c r="F334" s="76">
        <v>0</v>
      </c>
      <c r="G334" s="76">
        <v>0</v>
      </c>
      <c r="H334" s="76">
        <v>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76">
        <v>0</v>
      </c>
      <c r="W334" s="76">
        <v>0</v>
      </c>
      <c r="X334" s="76">
        <v>0</v>
      </c>
      <c r="Y334" s="76">
        <v>0</v>
      </c>
      <c r="Z334" s="76">
        <v>0</v>
      </c>
    </row>
    <row r="335" spans="1:26">
      <c r="B335" s="15" t="s">
        <v>264</v>
      </c>
      <c r="D335" s="26">
        <f t="shared" ca="1" si="271"/>
        <v>921573.63690485631</v>
      </c>
      <c r="E335" s="26"/>
      <c r="F335" s="76">
        <f t="shared" ref="F335:Z335" si="275">+F290</f>
        <v>0</v>
      </c>
      <c r="G335" s="76">
        <f t="shared" ca="1" si="275"/>
        <v>460786.81845242815</v>
      </c>
      <c r="H335" s="76">
        <f t="shared" ca="1" si="275"/>
        <v>460786.81845242815</v>
      </c>
      <c r="I335" s="76">
        <f t="shared" si="275"/>
        <v>0</v>
      </c>
      <c r="J335" s="76">
        <f t="shared" si="275"/>
        <v>0</v>
      </c>
      <c r="K335" s="76">
        <f t="shared" si="275"/>
        <v>0</v>
      </c>
      <c r="L335" s="76">
        <f t="shared" si="275"/>
        <v>0</v>
      </c>
      <c r="M335" s="76">
        <f t="shared" si="275"/>
        <v>0</v>
      </c>
      <c r="N335" s="76">
        <f t="shared" si="275"/>
        <v>0</v>
      </c>
      <c r="O335" s="76">
        <f t="shared" si="275"/>
        <v>0</v>
      </c>
      <c r="P335" s="76">
        <f t="shared" si="275"/>
        <v>0</v>
      </c>
      <c r="Q335" s="76">
        <f t="shared" si="275"/>
        <v>0</v>
      </c>
      <c r="R335" s="76">
        <f t="shared" si="275"/>
        <v>0</v>
      </c>
      <c r="S335" s="76">
        <f t="shared" si="275"/>
        <v>0</v>
      </c>
      <c r="T335" s="76">
        <f t="shared" si="275"/>
        <v>0</v>
      </c>
      <c r="U335" s="76">
        <f t="shared" si="275"/>
        <v>0</v>
      </c>
      <c r="V335" s="76">
        <f t="shared" si="275"/>
        <v>0</v>
      </c>
      <c r="W335" s="76">
        <f t="shared" si="275"/>
        <v>0</v>
      </c>
      <c r="X335" s="76">
        <f t="shared" si="275"/>
        <v>0</v>
      </c>
      <c r="Y335" s="76">
        <f t="shared" si="275"/>
        <v>0</v>
      </c>
      <c r="Z335" s="76">
        <f t="shared" si="275"/>
        <v>0</v>
      </c>
    </row>
    <row r="336" spans="1:26">
      <c r="B336" s="15" t="s">
        <v>265</v>
      </c>
      <c r="D336" s="26">
        <f t="shared" ca="1" si="271"/>
        <v>10742562.761021346</v>
      </c>
      <c r="E336" s="26"/>
      <c r="F336" s="76">
        <f t="shared" ref="F336:Z336" ca="1" si="276">+F291</f>
        <v>0</v>
      </c>
      <c r="G336" s="76">
        <f t="shared" ca="1" si="276"/>
        <v>2685640.6902553365</v>
      </c>
      <c r="H336" s="76">
        <f t="shared" ca="1" si="276"/>
        <v>2685640.6902553365</v>
      </c>
      <c r="I336" s="76">
        <f t="shared" ca="1" si="276"/>
        <v>2685640.6902553365</v>
      </c>
      <c r="J336" s="76">
        <f t="shared" ca="1" si="276"/>
        <v>2685640.6902553365</v>
      </c>
      <c r="K336" s="76">
        <f t="shared" si="276"/>
        <v>0</v>
      </c>
      <c r="L336" s="76">
        <f t="shared" si="276"/>
        <v>0</v>
      </c>
      <c r="M336" s="76">
        <f t="shared" si="276"/>
        <v>0</v>
      </c>
      <c r="N336" s="76">
        <f t="shared" si="276"/>
        <v>0</v>
      </c>
      <c r="O336" s="76">
        <f t="shared" si="276"/>
        <v>0</v>
      </c>
      <c r="P336" s="76">
        <f t="shared" si="276"/>
        <v>0</v>
      </c>
      <c r="Q336" s="76">
        <f t="shared" si="276"/>
        <v>0</v>
      </c>
      <c r="R336" s="76">
        <f t="shared" si="276"/>
        <v>0</v>
      </c>
      <c r="S336" s="76">
        <f t="shared" si="276"/>
        <v>0</v>
      </c>
      <c r="T336" s="76">
        <f t="shared" si="276"/>
        <v>0</v>
      </c>
      <c r="U336" s="76">
        <f t="shared" si="276"/>
        <v>0</v>
      </c>
      <c r="V336" s="76">
        <f t="shared" si="276"/>
        <v>0</v>
      </c>
      <c r="W336" s="76">
        <f t="shared" si="276"/>
        <v>0</v>
      </c>
      <c r="X336" s="76">
        <f t="shared" si="276"/>
        <v>0</v>
      </c>
      <c r="Y336" s="76">
        <f t="shared" si="276"/>
        <v>0</v>
      </c>
      <c r="Z336" s="76">
        <f t="shared" si="276"/>
        <v>0</v>
      </c>
    </row>
    <row r="337" spans="2:26">
      <c r="B337" s="653" t="s">
        <v>636</v>
      </c>
      <c r="C337" s="653"/>
      <c r="D337" s="544">
        <f ca="1">+SUM(F337:Z337)</f>
        <v>438223592.43339956</v>
      </c>
      <c r="E337" s="544"/>
      <c r="F337" s="544">
        <f ca="1">+SUM(F330:F336)</f>
        <v>166474667.50601038</v>
      </c>
      <c r="G337" s="544">
        <f ca="1">+SUM(G330:G336)</f>
        <v>133188821.77343926</v>
      </c>
      <c r="H337" s="544">
        <f ca="1">+SUM(H330:H336)</f>
        <v>133188821.77343926</v>
      </c>
      <c r="I337" s="544">
        <f t="shared" ref="I337:Z337" ca="1" si="277">+SUM(I330:I336)</f>
        <v>2685640.6902553365</v>
      </c>
      <c r="J337" s="544">
        <f t="shared" ca="1" si="277"/>
        <v>2685640.6902553365</v>
      </c>
      <c r="K337" s="544">
        <f t="shared" si="277"/>
        <v>0</v>
      </c>
      <c r="L337" s="544">
        <f t="shared" si="277"/>
        <v>0</v>
      </c>
      <c r="M337" s="544">
        <f t="shared" si="277"/>
        <v>0</v>
      </c>
      <c r="N337" s="544">
        <f t="shared" si="277"/>
        <v>0</v>
      </c>
      <c r="O337" s="544">
        <f t="shared" si="277"/>
        <v>0</v>
      </c>
      <c r="P337" s="544">
        <f t="shared" si="277"/>
        <v>0</v>
      </c>
      <c r="Q337" s="544">
        <f t="shared" si="277"/>
        <v>0</v>
      </c>
      <c r="R337" s="544">
        <f t="shared" si="277"/>
        <v>0</v>
      </c>
      <c r="S337" s="544">
        <f t="shared" si="277"/>
        <v>0</v>
      </c>
      <c r="T337" s="544">
        <f t="shared" si="277"/>
        <v>0</v>
      </c>
      <c r="U337" s="544">
        <f t="shared" si="277"/>
        <v>0</v>
      </c>
      <c r="V337" s="544">
        <f t="shared" si="277"/>
        <v>0</v>
      </c>
      <c r="W337" s="544">
        <f t="shared" si="277"/>
        <v>0</v>
      </c>
      <c r="X337" s="544">
        <f t="shared" si="277"/>
        <v>0</v>
      </c>
      <c r="Y337" s="544">
        <f t="shared" si="277"/>
        <v>0</v>
      </c>
      <c r="Z337" s="544">
        <f t="shared" si="277"/>
        <v>0</v>
      </c>
    </row>
    <row r="339" spans="2:26">
      <c r="B339" s="73" t="s">
        <v>637</v>
      </c>
      <c r="F339" s="75">
        <f>+Assumptions!$F$22</f>
        <v>44561</v>
      </c>
      <c r="G339" s="75">
        <f>+EOMONTH(F339,12)</f>
        <v>44926</v>
      </c>
      <c r="H339" s="75">
        <f t="shared" ref="H339" si="278">+EOMONTH(G339,12)</f>
        <v>45291</v>
      </c>
      <c r="I339" s="75">
        <f>+EOMONTH(H339,12)</f>
        <v>45657</v>
      </c>
      <c r="J339" s="75">
        <f>+EOMONTH(I339,12)</f>
        <v>46022</v>
      </c>
      <c r="K339" s="75">
        <f t="shared" ref="K339" si="279">+EOMONTH(J339,12)</f>
        <v>46387</v>
      </c>
      <c r="L339" s="75">
        <f t="shared" ref="L339" si="280">+EOMONTH(K339,12)</f>
        <v>46752</v>
      </c>
      <c r="M339" s="75">
        <f t="shared" ref="M339" si="281">+EOMONTH(L339,12)</f>
        <v>47118</v>
      </c>
      <c r="N339" s="75">
        <f t="shared" ref="N339" si="282">+EOMONTH(M339,12)</f>
        <v>47483</v>
      </c>
      <c r="O339" s="75">
        <f t="shared" ref="O339" si="283">+EOMONTH(N339,12)</f>
        <v>47848</v>
      </c>
      <c r="P339" s="75">
        <f t="shared" ref="P339" si="284">+EOMONTH(O339,12)</f>
        <v>48213</v>
      </c>
      <c r="Q339" s="75">
        <f t="shared" ref="Q339" si="285">+EOMONTH(P339,12)</f>
        <v>48579</v>
      </c>
      <c r="R339" s="75">
        <f t="shared" ref="R339" si="286">+EOMONTH(Q339,12)</f>
        <v>48944</v>
      </c>
      <c r="S339" s="75">
        <f t="shared" ref="S339" si="287">+EOMONTH(R339,12)</f>
        <v>49309</v>
      </c>
      <c r="T339" s="75">
        <f t="shared" ref="T339" si="288">+EOMONTH(S339,12)</f>
        <v>49674</v>
      </c>
      <c r="U339" s="75">
        <f t="shared" ref="U339" si="289">+EOMONTH(T339,12)</f>
        <v>50040</v>
      </c>
      <c r="V339" s="75">
        <f t="shared" ref="V339" si="290">+EOMONTH(U339,12)</f>
        <v>50405</v>
      </c>
      <c r="W339" s="75">
        <f t="shared" ref="W339" si="291">+EOMONTH(V339,12)</f>
        <v>50770</v>
      </c>
      <c r="X339" s="75">
        <f t="shared" ref="X339" si="292">+EOMONTH(W339,12)</f>
        <v>51135</v>
      </c>
      <c r="Y339" s="75">
        <f t="shared" ref="Y339" si="293">+EOMONTH(X339,12)</f>
        <v>51501</v>
      </c>
      <c r="Z339" s="75">
        <f t="shared" ref="Z339" si="294">+EOMONTH(Y339,12)</f>
        <v>51866</v>
      </c>
    </row>
    <row r="340" spans="2:26" s="538" customFormat="1">
      <c r="B340" s="659" t="s">
        <v>176</v>
      </c>
      <c r="D340" s="26">
        <f t="shared" ref="D340:D346" si="295">SUM(F340:Z340)</f>
        <v>40000000</v>
      </c>
      <c r="E340" s="703"/>
      <c r="F340" s="819">
        <f>F295</f>
        <v>40000000</v>
      </c>
      <c r="G340" s="819">
        <f t="shared" ref="G340:Z340" si="296">G295</f>
        <v>0</v>
      </c>
      <c r="H340" s="819">
        <f t="shared" si="296"/>
        <v>0</v>
      </c>
      <c r="I340" s="819">
        <f t="shared" si="296"/>
        <v>0</v>
      </c>
      <c r="J340" s="819">
        <f t="shared" si="296"/>
        <v>0</v>
      </c>
      <c r="K340" s="819">
        <f t="shared" si="296"/>
        <v>0</v>
      </c>
      <c r="L340" s="819">
        <f t="shared" si="296"/>
        <v>0</v>
      </c>
      <c r="M340" s="819">
        <f t="shared" si="296"/>
        <v>0</v>
      </c>
      <c r="N340" s="819">
        <f t="shared" si="296"/>
        <v>0</v>
      </c>
      <c r="O340" s="819">
        <f t="shared" si="296"/>
        <v>0</v>
      </c>
      <c r="P340" s="819">
        <f t="shared" si="296"/>
        <v>0</v>
      </c>
      <c r="Q340" s="819">
        <f t="shared" si="296"/>
        <v>0</v>
      </c>
      <c r="R340" s="819">
        <f t="shared" si="296"/>
        <v>0</v>
      </c>
      <c r="S340" s="819">
        <f t="shared" si="296"/>
        <v>0</v>
      </c>
      <c r="T340" s="819">
        <f t="shared" si="296"/>
        <v>0</v>
      </c>
      <c r="U340" s="819">
        <f t="shared" si="296"/>
        <v>0</v>
      </c>
      <c r="V340" s="819">
        <f t="shared" si="296"/>
        <v>0</v>
      </c>
      <c r="W340" s="819">
        <f t="shared" si="296"/>
        <v>0</v>
      </c>
      <c r="X340" s="819">
        <f t="shared" si="296"/>
        <v>0</v>
      </c>
      <c r="Y340" s="819">
        <f t="shared" si="296"/>
        <v>0</v>
      </c>
      <c r="Z340" s="819">
        <f t="shared" si="296"/>
        <v>0</v>
      </c>
    </row>
    <row r="341" spans="2:26" s="538" customFormat="1">
      <c r="B341" s="659" t="s">
        <v>638</v>
      </c>
      <c r="D341" s="26">
        <f t="shared" si="295"/>
        <v>4058107</v>
      </c>
      <c r="E341" s="703"/>
      <c r="F341" s="819">
        <f t="shared" ref="F341:Z341" si="297">F296</f>
        <v>4058107</v>
      </c>
      <c r="G341" s="819">
        <f t="shared" si="297"/>
        <v>0</v>
      </c>
      <c r="H341" s="819">
        <f t="shared" si="297"/>
        <v>0</v>
      </c>
      <c r="I341" s="819">
        <f t="shared" si="297"/>
        <v>0</v>
      </c>
      <c r="J341" s="819">
        <f t="shared" si="297"/>
        <v>0</v>
      </c>
      <c r="K341" s="819">
        <f t="shared" si="297"/>
        <v>0</v>
      </c>
      <c r="L341" s="819">
        <f t="shared" si="297"/>
        <v>0</v>
      </c>
      <c r="M341" s="819">
        <f t="shared" si="297"/>
        <v>0</v>
      </c>
      <c r="N341" s="819">
        <f t="shared" si="297"/>
        <v>0</v>
      </c>
      <c r="O341" s="819">
        <f t="shared" si="297"/>
        <v>0</v>
      </c>
      <c r="P341" s="819">
        <f t="shared" si="297"/>
        <v>0</v>
      </c>
      <c r="Q341" s="819">
        <f t="shared" si="297"/>
        <v>0</v>
      </c>
      <c r="R341" s="819">
        <f t="shared" si="297"/>
        <v>0</v>
      </c>
      <c r="S341" s="819">
        <f t="shared" si="297"/>
        <v>0</v>
      </c>
      <c r="T341" s="819">
        <f t="shared" si="297"/>
        <v>0</v>
      </c>
      <c r="U341" s="819">
        <f t="shared" si="297"/>
        <v>0</v>
      </c>
      <c r="V341" s="819">
        <f t="shared" si="297"/>
        <v>0</v>
      </c>
      <c r="W341" s="819">
        <f t="shared" si="297"/>
        <v>0</v>
      </c>
      <c r="X341" s="819">
        <f t="shared" si="297"/>
        <v>0</v>
      </c>
      <c r="Y341" s="819">
        <f t="shared" si="297"/>
        <v>0</v>
      </c>
      <c r="Z341" s="819">
        <f t="shared" si="297"/>
        <v>0</v>
      </c>
    </row>
    <row r="342" spans="2:26">
      <c r="B342" s="15" t="s">
        <v>312</v>
      </c>
      <c r="D342" s="26">
        <f t="shared" si="295"/>
        <v>5803911.2099087201</v>
      </c>
      <c r="E342" s="26"/>
      <c r="F342" s="819">
        <f t="shared" ref="F342:Z342" si="298">F297</f>
        <v>0</v>
      </c>
      <c r="G342" s="819">
        <f t="shared" si="298"/>
        <v>0</v>
      </c>
      <c r="H342" s="819">
        <f t="shared" si="298"/>
        <v>5803911.2099087201</v>
      </c>
      <c r="I342" s="819">
        <f t="shared" si="298"/>
        <v>0</v>
      </c>
      <c r="J342" s="819">
        <f t="shared" si="298"/>
        <v>0</v>
      </c>
      <c r="K342" s="819">
        <f t="shared" si="298"/>
        <v>0</v>
      </c>
      <c r="L342" s="819">
        <f t="shared" si="298"/>
        <v>0</v>
      </c>
      <c r="M342" s="819">
        <f t="shared" si="298"/>
        <v>0</v>
      </c>
      <c r="N342" s="819">
        <f t="shared" si="298"/>
        <v>0</v>
      </c>
      <c r="O342" s="819">
        <f t="shared" si="298"/>
        <v>0</v>
      </c>
      <c r="P342" s="819">
        <f t="shared" si="298"/>
        <v>0</v>
      </c>
      <c r="Q342" s="819">
        <f t="shared" si="298"/>
        <v>0</v>
      </c>
      <c r="R342" s="819">
        <f t="shared" si="298"/>
        <v>0</v>
      </c>
      <c r="S342" s="819">
        <f t="shared" si="298"/>
        <v>0</v>
      </c>
      <c r="T342" s="819">
        <f t="shared" si="298"/>
        <v>0</v>
      </c>
      <c r="U342" s="819">
        <f t="shared" si="298"/>
        <v>0</v>
      </c>
      <c r="V342" s="819">
        <f t="shared" si="298"/>
        <v>0</v>
      </c>
      <c r="W342" s="819">
        <f t="shared" si="298"/>
        <v>0</v>
      </c>
      <c r="X342" s="819">
        <f t="shared" si="298"/>
        <v>0</v>
      </c>
      <c r="Y342" s="819">
        <f t="shared" si="298"/>
        <v>0</v>
      </c>
      <c r="Z342" s="819">
        <f t="shared" si="298"/>
        <v>0</v>
      </c>
    </row>
    <row r="343" spans="2:26">
      <c r="B343" s="15" t="s">
        <v>313</v>
      </c>
      <c r="D343" s="26">
        <f t="shared" si="295"/>
        <v>5538000</v>
      </c>
      <c r="E343" s="26"/>
      <c r="F343" s="819">
        <f t="shared" ref="F343:Z343" si="299">F298</f>
        <v>0</v>
      </c>
      <c r="G343" s="819">
        <f t="shared" si="299"/>
        <v>0</v>
      </c>
      <c r="H343" s="819">
        <f t="shared" si="299"/>
        <v>5538000</v>
      </c>
      <c r="I343" s="819">
        <f t="shared" si="299"/>
        <v>0</v>
      </c>
      <c r="J343" s="819">
        <f t="shared" si="299"/>
        <v>0</v>
      </c>
      <c r="K343" s="819">
        <f t="shared" si="299"/>
        <v>0</v>
      </c>
      <c r="L343" s="819">
        <f t="shared" si="299"/>
        <v>0</v>
      </c>
      <c r="M343" s="819">
        <f t="shared" si="299"/>
        <v>0</v>
      </c>
      <c r="N343" s="819">
        <f t="shared" si="299"/>
        <v>0</v>
      </c>
      <c r="O343" s="819">
        <f t="shared" si="299"/>
        <v>0</v>
      </c>
      <c r="P343" s="819">
        <f t="shared" si="299"/>
        <v>0</v>
      </c>
      <c r="Q343" s="819">
        <f t="shared" si="299"/>
        <v>0</v>
      </c>
      <c r="R343" s="819">
        <f t="shared" si="299"/>
        <v>0</v>
      </c>
      <c r="S343" s="819">
        <f t="shared" si="299"/>
        <v>0</v>
      </c>
      <c r="T343" s="819">
        <f t="shared" si="299"/>
        <v>0</v>
      </c>
      <c r="U343" s="819">
        <f t="shared" si="299"/>
        <v>0</v>
      </c>
      <c r="V343" s="819">
        <f t="shared" si="299"/>
        <v>0</v>
      </c>
      <c r="W343" s="819">
        <f t="shared" si="299"/>
        <v>0</v>
      </c>
      <c r="X343" s="819">
        <f t="shared" si="299"/>
        <v>0</v>
      </c>
      <c r="Y343" s="819">
        <f t="shared" si="299"/>
        <v>0</v>
      </c>
      <c r="Z343" s="819">
        <f t="shared" si="299"/>
        <v>0</v>
      </c>
    </row>
    <row r="344" spans="2:26">
      <c r="B344" s="15" t="s">
        <v>314</v>
      </c>
      <c r="D344" s="26">
        <f t="shared" si="295"/>
        <v>0</v>
      </c>
      <c r="E344" s="26"/>
      <c r="F344" s="819">
        <f>F299</f>
        <v>0</v>
      </c>
      <c r="G344" s="16">
        <f t="shared" ref="G344:Z344" si="300">G299</f>
        <v>0</v>
      </c>
      <c r="H344" s="16">
        <f t="shared" si="300"/>
        <v>0</v>
      </c>
      <c r="I344" s="16">
        <f t="shared" si="300"/>
        <v>0</v>
      </c>
      <c r="J344" s="16">
        <f t="shared" si="300"/>
        <v>0</v>
      </c>
      <c r="K344" s="16">
        <f t="shared" si="300"/>
        <v>0</v>
      </c>
      <c r="L344" s="16">
        <f t="shared" si="300"/>
        <v>0</v>
      </c>
      <c r="M344" s="16">
        <f t="shared" si="300"/>
        <v>0</v>
      </c>
      <c r="N344" s="16">
        <f t="shared" si="300"/>
        <v>0</v>
      </c>
      <c r="O344" s="16">
        <f t="shared" si="300"/>
        <v>0</v>
      </c>
      <c r="P344" s="16">
        <f t="shared" si="300"/>
        <v>0</v>
      </c>
      <c r="Q344" s="16">
        <f t="shared" si="300"/>
        <v>0</v>
      </c>
      <c r="R344" s="16">
        <f t="shared" si="300"/>
        <v>0</v>
      </c>
      <c r="S344" s="16">
        <f t="shared" si="300"/>
        <v>0</v>
      </c>
      <c r="T344" s="16">
        <f t="shared" si="300"/>
        <v>0</v>
      </c>
      <c r="U344" s="16">
        <f t="shared" si="300"/>
        <v>0</v>
      </c>
      <c r="V344" s="16">
        <f t="shared" si="300"/>
        <v>0</v>
      </c>
      <c r="W344" s="16">
        <f t="shared" si="300"/>
        <v>0</v>
      </c>
      <c r="X344" s="16">
        <f t="shared" si="300"/>
        <v>0</v>
      </c>
      <c r="Y344" s="16">
        <f t="shared" si="300"/>
        <v>0</v>
      </c>
      <c r="Z344" s="16">
        <f t="shared" si="300"/>
        <v>0</v>
      </c>
    </row>
    <row r="345" spans="2:26">
      <c r="B345" s="21" t="s">
        <v>639</v>
      </c>
      <c r="D345" s="26">
        <f t="shared" si="295"/>
        <v>67748080</v>
      </c>
      <c r="E345" s="26"/>
      <c r="F345" s="819">
        <f>F300</f>
        <v>67748080</v>
      </c>
      <c r="G345" s="16">
        <f t="shared" ref="G345:Z345" si="301">G301</f>
        <v>0</v>
      </c>
      <c r="H345" s="819">
        <f t="shared" si="301"/>
        <v>0</v>
      </c>
      <c r="I345" s="16">
        <f t="shared" si="301"/>
        <v>0</v>
      </c>
      <c r="J345" s="16">
        <f t="shared" si="301"/>
        <v>0</v>
      </c>
      <c r="K345" s="16">
        <f t="shared" si="301"/>
        <v>0</v>
      </c>
      <c r="L345" s="16">
        <f t="shared" si="301"/>
        <v>0</v>
      </c>
      <c r="M345" s="16">
        <f t="shared" si="301"/>
        <v>0</v>
      </c>
      <c r="N345" s="16">
        <f t="shared" si="301"/>
        <v>0</v>
      </c>
      <c r="O345" s="16">
        <f t="shared" si="301"/>
        <v>0</v>
      </c>
      <c r="P345" s="16">
        <f t="shared" si="301"/>
        <v>0</v>
      </c>
      <c r="Q345" s="16">
        <f t="shared" si="301"/>
        <v>0</v>
      </c>
      <c r="R345" s="16">
        <f t="shared" si="301"/>
        <v>0</v>
      </c>
      <c r="S345" s="16">
        <f t="shared" si="301"/>
        <v>0</v>
      </c>
      <c r="T345" s="16">
        <f t="shared" si="301"/>
        <v>0</v>
      </c>
      <c r="U345" s="16">
        <f t="shared" si="301"/>
        <v>0</v>
      </c>
      <c r="V345" s="16">
        <f t="shared" si="301"/>
        <v>0</v>
      </c>
      <c r="W345" s="16">
        <f t="shared" si="301"/>
        <v>0</v>
      </c>
      <c r="X345" s="16">
        <f t="shared" si="301"/>
        <v>0</v>
      </c>
      <c r="Y345" s="16">
        <f t="shared" si="301"/>
        <v>0</v>
      </c>
      <c r="Z345" s="16">
        <f t="shared" si="301"/>
        <v>0</v>
      </c>
    </row>
    <row r="346" spans="2:26">
      <c r="B346" s="15" t="s">
        <v>270</v>
      </c>
      <c r="D346" s="26">
        <f t="shared" si="295"/>
        <v>0</v>
      </c>
      <c r="E346" s="26"/>
      <c r="F346" s="819">
        <v>0</v>
      </c>
      <c r="G346" s="16">
        <f t="shared" ref="G346:Z346" si="302">G300</f>
        <v>0</v>
      </c>
      <c r="H346" s="819">
        <f t="shared" si="302"/>
        <v>0</v>
      </c>
      <c r="I346" s="819">
        <f t="shared" si="302"/>
        <v>0</v>
      </c>
      <c r="J346" s="16">
        <f t="shared" si="302"/>
        <v>0</v>
      </c>
      <c r="K346" s="16">
        <f t="shared" si="302"/>
        <v>0</v>
      </c>
      <c r="L346" s="16">
        <f t="shared" si="302"/>
        <v>0</v>
      </c>
      <c r="M346" s="16">
        <f t="shared" si="302"/>
        <v>0</v>
      </c>
      <c r="N346" s="16">
        <f t="shared" si="302"/>
        <v>0</v>
      </c>
      <c r="O346" s="16">
        <f t="shared" si="302"/>
        <v>0</v>
      </c>
      <c r="P346" s="16">
        <f t="shared" si="302"/>
        <v>0</v>
      </c>
      <c r="Q346" s="16">
        <f t="shared" si="302"/>
        <v>0</v>
      </c>
      <c r="R346" s="16">
        <f t="shared" si="302"/>
        <v>0</v>
      </c>
      <c r="S346" s="16">
        <f t="shared" si="302"/>
        <v>0</v>
      </c>
      <c r="T346" s="16">
        <f t="shared" si="302"/>
        <v>0</v>
      </c>
      <c r="U346" s="16">
        <f t="shared" si="302"/>
        <v>0</v>
      </c>
      <c r="V346" s="16">
        <f t="shared" si="302"/>
        <v>0</v>
      </c>
      <c r="W346" s="16">
        <f t="shared" si="302"/>
        <v>0</v>
      </c>
      <c r="X346" s="16">
        <f t="shared" si="302"/>
        <v>0</v>
      </c>
      <c r="Y346" s="16">
        <f t="shared" si="302"/>
        <v>0</v>
      </c>
      <c r="Z346" s="16">
        <f t="shared" si="302"/>
        <v>0</v>
      </c>
    </row>
    <row r="347" spans="2:26">
      <c r="B347" s="15" t="s">
        <v>640</v>
      </c>
      <c r="D347" s="26"/>
      <c r="E347" s="26"/>
      <c r="F347" s="16">
        <f t="shared" ref="F347:Z347" ca="1" si="303">F337-SUM(F340:F346)</f>
        <v>54668480.506010383</v>
      </c>
      <c r="G347" s="16">
        <f t="shared" ca="1" si="303"/>
        <v>133188821.77343926</v>
      </c>
      <c r="H347" s="16">
        <f t="shared" ca="1" si="303"/>
        <v>121846910.56353053</v>
      </c>
      <c r="I347" s="16">
        <f t="shared" ca="1" si="303"/>
        <v>2685640.6902553365</v>
      </c>
      <c r="J347" s="16">
        <f t="shared" ca="1" si="303"/>
        <v>2685640.6902553365</v>
      </c>
      <c r="K347" s="16">
        <f t="shared" si="303"/>
        <v>0</v>
      </c>
      <c r="L347" s="16">
        <f t="shared" si="303"/>
        <v>0</v>
      </c>
      <c r="M347" s="16">
        <f t="shared" si="303"/>
        <v>0</v>
      </c>
      <c r="N347" s="16">
        <f t="shared" si="303"/>
        <v>0</v>
      </c>
      <c r="O347" s="16">
        <f t="shared" si="303"/>
        <v>0</v>
      </c>
      <c r="P347" s="16">
        <f t="shared" si="303"/>
        <v>0</v>
      </c>
      <c r="Q347" s="16">
        <f t="shared" si="303"/>
        <v>0</v>
      </c>
      <c r="R347" s="16">
        <f t="shared" si="303"/>
        <v>0</v>
      </c>
      <c r="S347" s="16">
        <f t="shared" si="303"/>
        <v>0</v>
      </c>
      <c r="T347" s="16">
        <f t="shared" si="303"/>
        <v>0</v>
      </c>
      <c r="U347" s="16">
        <f t="shared" si="303"/>
        <v>0</v>
      </c>
      <c r="V347" s="16">
        <f t="shared" si="303"/>
        <v>0</v>
      </c>
      <c r="W347" s="16">
        <f t="shared" si="303"/>
        <v>0</v>
      </c>
      <c r="X347" s="16">
        <f t="shared" si="303"/>
        <v>0</v>
      </c>
      <c r="Y347" s="16">
        <f t="shared" si="303"/>
        <v>0</v>
      </c>
      <c r="Z347" s="16">
        <f t="shared" si="303"/>
        <v>0</v>
      </c>
    </row>
    <row r="348" spans="2:26">
      <c r="B348" s="653" t="s">
        <v>641</v>
      </c>
      <c r="C348" s="653"/>
      <c r="D348" s="544">
        <f ca="1">+SUM(F348:Z348)</f>
        <v>438223592.43339956</v>
      </c>
      <c r="E348" s="544"/>
      <c r="F348" s="544">
        <f t="shared" ref="F348:Z348" ca="1" si="304">SUM(F340:F347)</f>
        <v>166474667.50601038</v>
      </c>
      <c r="G348" s="544">
        <f t="shared" ca="1" si="304"/>
        <v>133188821.77343926</v>
      </c>
      <c r="H348" s="544">
        <f t="shared" ca="1" si="304"/>
        <v>133188821.77343926</v>
      </c>
      <c r="I348" s="544">
        <f t="shared" ca="1" si="304"/>
        <v>2685640.6902553365</v>
      </c>
      <c r="J348" s="544">
        <f t="shared" ca="1" si="304"/>
        <v>2685640.6902553365</v>
      </c>
      <c r="K348" s="544">
        <f t="shared" si="304"/>
        <v>0</v>
      </c>
      <c r="L348" s="544">
        <f t="shared" si="304"/>
        <v>0</v>
      </c>
      <c r="M348" s="544">
        <f t="shared" si="304"/>
        <v>0</v>
      </c>
      <c r="N348" s="544">
        <f t="shared" si="304"/>
        <v>0</v>
      </c>
      <c r="O348" s="544">
        <f t="shared" si="304"/>
        <v>0</v>
      </c>
      <c r="P348" s="544">
        <f t="shared" si="304"/>
        <v>0</v>
      </c>
      <c r="Q348" s="544">
        <f t="shared" si="304"/>
        <v>0</v>
      </c>
      <c r="R348" s="544">
        <f t="shared" si="304"/>
        <v>0</v>
      </c>
      <c r="S348" s="544">
        <f t="shared" si="304"/>
        <v>0</v>
      </c>
      <c r="T348" s="544">
        <f t="shared" si="304"/>
        <v>0</v>
      </c>
      <c r="U348" s="544">
        <f t="shared" si="304"/>
        <v>0</v>
      </c>
      <c r="V348" s="544">
        <f t="shared" si="304"/>
        <v>0</v>
      </c>
      <c r="W348" s="544">
        <f t="shared" si="304"/>
        <v>0</v>
      </c>
      <c r="X348" s="544">
        <f t="shared" si="304"/>
        <v>0</v>
      </c>
      <c r="Y348" s="544">
        <f t="shared" si="304"/>
        <v>0</v>
      </c>
      <c r="Z348" s="544">
        <f t="shared" si="304"/>
        <v>0</v>
      </c>
    </row>
    <row r="350" spans="2:26">
      <c r="B350" s="73" t="s">
        <v>643</v>
      </c>
    </row>
    <row r="351" spans="2:26">
      <c r="B351" s="15" t="s">
        <v>644</v>
      </c>
      <c r="D351" s="26">
        <f ca="1">+SUM(F351:Z351)</f>
        <v>-315075494.22349083</v>
      </c>
      <c r="E351" s="26"/>
      <c r="F351" s="16">
        <f ca="1">-F347</f>
        <v>-54668480.506010383</v>
      </c>
      <c r="G351" s="16">
        <f t="shared" ref="G351:Z351" ca="1" si="305">-G347</f>
        <v>-133188821.77343926</v>
      </c>
      <c r="H351" s="16">
        <f t="shared" ca="1" si="305"/>
        <v>-121846910.56353053</v>
      </c>
      <c r="I351" s="16">
        <f t="shared" ca="1" si="305"/>
        <v>-2685640.6902553365</v>
      </c>
      <c r="J351" s="16">
        <f t="shared" ca="1" si="305"/>
        <v>-2685640.6902553365</v>
      </c>
      <c r="K351" s="16">
        <f t="shared" si="305"/>
        <v>0</v>
      </c>
      <c r="L351" s="16">
        <f t="shared" si="305"/>
        <v>0</v>
      </c>
      <c r="M351" s="16">
        <f t="shared" si="305"/>
        <v>0</v>
      </c>
      <c r="N351" s="16">
        <f t="shared" si="305"/>
        <v>0</v>
      </c>
      <c r="O351" s="16">
        <f t="shared" si="305"/>
        <v>0</v>
      </c>
      <c r="P351" s="16">
        <f t="shared" si="305"/>
        <v>0</v>
      </c>
      <c r="Q351" s="16">
        <f t="shared" si="305"/>
        <v>0</v>
      </c>
      <c r="R351" s="16">
        <f t="shared" si="305"/>
        <v>0</v>
      </c>
      <c r="S351" s="16">
        <f t="shared" si="305"/>
        <v>0</v>
      </c>
      <c r="T351" s="16">
        <f t="shared" si="305"/>
        <v>0</v>
      </c>
      <c r="U351" s="16">
        <f t="shared" si="305"/>
        <v>0</v>
      </c>
      <c r="V351" s="16">
        <f t="shared" si="305"/>
        <v>0</v>
      </c>
      <c r="W351" s="16">
        <f t="shared" si="305"/>
        <v>0</v>
      </c>
      <c r="X351" s="16">
        <f t="shared" si="305"/>
        <v>0</v>
      </c>
      <c r="Y351" s="16">
        <f t="shared" si="305"/>
        <v>0</v>
      </c>
      <c r="Z351" s="16">
        <f t="shared" si="305"/>
        <v>0</v>
      </c>
    </row>
    <row r="352" spans="2:26">
      <c r="B352" s="15" t="s">
        <v>645</v>
      </c>
      <c r="D352" s="703">
        <f ca="1">+SUM(F352:Z352)</f>
        <v>648873063.92882204</v>
      </c>
      <c r="E352" s="26"/>
      <c r="F352" s="76">
        <f>+IF(YEAR(F$140)&lt;=YEAR(Assumptions!$F$30),F322+F327,0)</f>
        <v>0</v>
      </c>
      <c r="G352" s="76">
        <f>+IF(YEAR(G$140)&lt;=YEAR(Assumptions!$F$30),G322+G327,0)</f>
        <v>0</v>
      </c>
      <c r="H352" s="76">
        <f>+IF(YEAR(H$140)&lt;=YEAR(Assumptions!$F$30),H322+H327,0)</f>
        <v>0</v>
      </c>
      <c r="I352" s="76">
        <f ca="1">+IF(YEAR(I$140)&lt;=YEAR(Assumptions!$F$30),I322+I327,0)</f>
        <v>13013390.367608579</v>
      </c>
      <c r="J352" s="76">
        <f ca="1">+IF(YEAR(J$140)&lt;=YEAR(Assumptions!$F$30),J322+J327,0)</f>
        <v>25498837.073592398</v>
      </c>
      <c r="K352" s="76">
        <f ca="1">+IF(YEAR(K$140)&lt;=YEAR(Assumptions!$F$30),K322+K327,0)</f>
        <v>25832749.069519415</v>
      </c>
      <c r="L352" s="76">
        <f ca="1">+IF(YEAR(L$140)&lt;=YEAR(Assumptions!$F$30),L322+L327,0)</f>
        <v>27695102.520112015</v>
      </c>
      <c r="M352" s="76">
        <f ca="1">+IF(YEAR(M$140)&lt;=YEAR(Assumptions!$F$30),M322+M327,0)</f>
        <v>27912478.382217154</v>
      </c>
      <c r="N352" s="76">
        <f ca="1">+IF(YEAR(N$140)&lt;=YEAR(Assumptions!$F$30),N322+N327,0)</f>
        <v>28108638.494970564</v>
      </c>
      <c r="O352" s="76">
        <f ca="1">+IF(YEAR(O$140)&lt;=YEAR(Assumptions!$F$30),O322+O327,0)</f>
        <v>28324604.129802343</v>
      </c>
      <c r="P352" s="76">
        <f ca="1">+IF(YEAR(P$140)&lt;=YEAR(Assumptions!$F$30),P322+P327,0)</f>
        <v>472487263.8909995</v>
      </c>
      <c r="Q352" s="76">
        <f>+IF(YEAR(Q$140)&lt;=YEAR(Assumptions!$F$30),Q322+Q327,0)</f>
        <v>0</v>
      </c>
      <c r="R352" s="76">
        <f>+IF(YEAR(R$140)&lt;=YEAR(Assumptions!$F$30),R322+R327,0)</f>
        <v>0</v>
      </c>
      <c r="S352" s="76">
        <f>+IF(YEAR(S$140)&lt;=YEAR(Assumptions!$F$30),S322+S327,0)</f>
        <v>0</v>
      </c>
      <c r="T352" s="76">
        <f>+IF(YEAR(T$140)&lt;=YEAR(Assumptions!$F$30),T322+T327,0)</f>
        <v>0</v>
      </c>
      <c r="U352" s="76">
        <f>+IF(YEAR(U$140)&lt;=YEAR(Assumptions!$F$30),U322+U327,0)</f>
        <v>0</v>
      </c>
      <c r="V352" s="76">
        <f>+IF(YEAR(V$140)&lt;=YEAR(Assumptions!$F$30),V322+V327,0)</f>
        <v>0</v>
      </c>
      <c r="W352" s="76">
        <f>+IF(YEAR(W$140)&lt;=YEAR(Assumptions!$F$30),W322+W327,0)</f>
        <v>0</v>
      </c>
      <c r="X352" s="76">
        <f>+IF(YEAR(X$140)&lt;=YEAR(Assumptions!$F$30),X322+X327,0)</f>
        <v>0</v>
      </c>
      <c r="Y352" s="76">
        <f>+IF(YEAR(Y$140)&lt;=YEAR(Assumptions!$F$30),Y322+Y327,0)</f>
        <v>0</v>
      </c>
      <c r="Z352" s="76">
        <f>+IF(YEAR(Z$140)&lt;=YEAR(Assumptions!$F$30),Z322+Z327,0)</f>
        <v>0</v>
      </c>
    </row>
    <row r="353" spans="2:26">
      <c r="B353" s="653" t="s">
        <v>646</v>
      </c>
      <c r="C353" s="653"/>
      <c r="D353" s="544">
        <f ca="1">+SUM(F353:Z353)</f>
        <v>333797569.70533115</v>
      </c>
      <c r="E353" s="544"/>
      <c r="F353" s="544">
        <f ca="1">+SUM(F351:F352)</f>
        <v>-54668480.506010383</v>
      </c>
      <c r="G353" s="544">
        <f t="shared" ref="G353:Z353" ca="1" si="306">+SUM(G351:G352)</f>
        <v>-133188821.77343926</v>
      </c>
      <c r="H353" s="544">
        <f t="shared" ca="1" si="306"/>
        <v>-121846910.56353053</v>
      </c>
      <c r="I353" s="544">
        <f t="shared" ca="1" si="306"/>
        <v>10327749.677353242</v>
      </c>
      <c r="J353" s="544">
        <f t="shared" ca="1" si="306"/>
        <v>22813196.383337062</v>
      </c>
      <c r="K353" s="544">
        <f t="shared" ca="1" si="306"/>
        <v>25832749.069519415</v>
      </c>
      <c r="L353" s="544">
        <f t="shared" ca="1" si="306"/>
        <v>27695102.520112015</v>
      </c>
      <c r="M353" s="544">
        <f t="shared" ca="1" si="306"/>
        <v>27912478.382217154</v>
      </c>
      <c r="N353" s="544">
        <f t="shared" ca="1" si="306"/>
        <v>28108638.494970564</v>
      </c>
      <c r="O353" s="544">
        <f t="shared" ca="1" si="306"/>
        <v>28324604.129802343</v>
      </c>
      <c r="P353" s="544">
        <f ca="1">+SUM(P351:P352)</f>
        <v>472487263.8909995</v>
      </c>
      <c r="Q353" s="544">
        <f t="shared" si="306"/>
        <v>0</v>
      </c>
      <c r="R353" s="544">
        <f t="shared" si="306"/>
        <v>0</v>
      </c>
      <c r="S353" s="544">
        <f t="shared" si="306"/>
        <v>0</v>
      </c>
      <c r="T353" s="544">
        <f t="shared" si="306"/>
        <v>0</v>
      </c>
      <c r="U353" s="544">
        <f t="shared" si="306"/>
        <v>0</v>
      </c>
      <c r="V353" s="544">
        <f t="shared" si="306"/>
        <v>0</v>
      </c>
      <c r="W353" s="544">
        <f t="shared" si="306"/>
        <v>0</v>
      </c>
      <c r="X353" s="544">
        <f t="shared" si="306"/>
        <v>0</v>
      </c>
      <c r="Y353" s="544">
        <f t="shared" si="306"/>
        <v>0</v>
      </c>
      <c r="Z353" s="544">
        <f t="shared" si="306"/>
        <v>0</v>
      </c>
    </row>
    <row r="355" spans="2:26">
      <c r="B355" s="672" t="s">
        <v>2</v>
      </c>
      <c r="C355" s="672"/>
      <c r="D355" s="673">
        <f ca="1">+IRR(F353:Z353)</f>
        <v>0.10009471165793427</v>
      </c>
      <c r="E355" s="538"/>
    </row>
    <row r="356" spans="2:26">
      <c r="B356" s="655" t="s">
        <v>647</v>
      </c>
      <c r="C356" s="528"/>
      <c r="D356" s="658">
        <f ca="1">+SUM(F353:Z353)</f>
        <v>333797569.70533115</v>
      </c>
      <c r="E356" s="538"/>
    </row>
    <row r="357" spans="2:26">
      <c r="B357" s="674" t="s">
        <v>14</v>
      </c>
      <c r="C357" s="531"/>
      <c r="D357" s="675">
        <f ca="1">+D352/-D351</f>
        <v>2.0594209191926565</v>
      </c>
      <c r="E357" s="538"/>
    </row>
  </sheetData>
  <pageMargins left="0.7" right="0.7" top="0.75" bottom="0.75" header="0.3" footer="0.3"/>
  <ignoredErrors>
    <ignoredError sqref="F196:Z196" formula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I289"/>
  <sheetViews>
    <sheetView showGridLines="0" topLeftCell="B248" zoomScale="70" zoomScaleNormal="70" workbookViewId="0">
      <selection activeCell="D233" sqref="D233"/>
    </sheetView>
  </sheetViews>
  <sheetFormatPr defaultColWidth="14.453125" defaultRowHeight="15.5"/>
  <cols>
    <col min="1" max="1" width="9.54296875" style="21" bestFit="1" customWidth="1"/>
    <col min="2" max="2" width="79.453125" style="21" bestFit="1" customWidth="1"/>
    <col min="3" max="3" width="23.26953125" style="21" customWidth="1"/>
    <col min="4" max="4" width="21.26953125" style="21" customWidth="1"/>
    <col min="5" max="5" width="5.81640625" style="21" bestFit="1" customWidth="1"/>
    <col min="6" max="6" width="15.54296875" style="21" bestFit="1" customWidth="1"/>
    <col min="7" max="7" width="17" style="21" bestFit="1" customWidth="1"/>
    <col min="8" max="8" width="17.81640625" style="21" customWidth="1"/>
    <col min="9" max="9" width="16.26953125" style="21" bestFit="1" customWidth="1"/>
    <col min="10" max="10" width="17.453125" style="21" bestFit="1" customWidth="1"/>
    <col min="11" max="26" width="16.26953125" style="21" bestFit="1" customWidth="1"/>
    <col min="27" max="35" width="1.81640625" style="21" bestFit="1" customWidth="1"/>
    <col min="36" max="16384" width="14.453125" style="21"/>
  </cols>
  <sheetData>
    <row r="1" spans="1:26">
      <c r="B1" s="71" t="s">
        <v>572</v>
      </c>
      <c r="E1" s="71">
        <v>0</v>
      </c>
      <c r="F1" s="72">
        <f>+IF(F6&gt;=Assumptions!$G$26,'Phase II Pro Forma'!E1+1,'Phase II Pro Forma'!E1)</f>
        <v>0</v>
      </c>
      <c r="G1" s="72">
        <f>+IF(G6&gt;=Assumptions!$G$26,'Phase II Pro Forma'!F1+1,'Phase II Pro Forma'!F1)</f>
        <v>0</v>
      </c>
      <c r="H1" s="72">
        <f>+IF(H6&gt;=Assumptions!$G$26,'Phase II Pro Forma'!G1+1,'Phase II Pro Forma'!G1)</f>
        <v>0</v>
      </c>
      <c r="I1" s="72">
        <f>+IF(I6&gt;=Assumptions!$G$26,'Phase II Pro Forma'!H1+1,'Phase II Pro Forma'!H1)</f>
        <v>1</v>
      </c>
      <c r="J1" s="72">
        <f>+IF(J6&gt;=Assumptions!$G$26,'Phase II Pro Forma'!I1+1,'Phase II Pro Forma'!I1)</f>
        <v>2</v>
      </c>
      <c r="K1" s="72">
        <f>+IF(K6&gt;=Assumptions!$G$26,'Phase II Pro Forma'!J1+1,'Phase II Pro Forma'!J1)</f>
        <v>3</v>
      </c>
      <c r="L1" s="72">
        <f>+IF(L6&gt;=Assumptions!$G$26,'Phase II Pro Forma'!K1+1,'Phase II Pro Forma'!K1)</f>
        <v>4</v>
      </c>
      <c r="M1" s="72">
        <f>+IF(M6&gt;=Assumptions!$G$26,'Phase II Pro Forma'!L1+1,'Phase II Pro Forma'!L1)</f>
        <v>5</v>
      </c>
      <c r="N1" s="72">
        <f>+IF(N6&gt;=Assumptions!$G$26,'Phase II Pro Forma'!M1+1,'Phase II Pro Forma'!M1)</f>
        <v>6</v>
      </c>
      <c r="O1" s="72">
        <f>+IF(O6&gt;=Assumptions!$G$26,'Phase II Pro Forma'!N1+1,'Phase II Pro Forma'!N1)</f>
        <v>7</v>
      </c>
      <c r="P1" s="72">
        <f>+IF(P6&gt;=Assumptions!$G$26,'Phase II Pro Forma'!O1+1,'Phase II Pro Forma'!O1)</f>
        <v>8</v>
      </c>
      <c r="Q1" s="72">
        <f>+IF(Q6&gt;=Assumptions!$G$26,'Phase II Pro Forma'!P1+1,'Phase II Pro Forma'!P1)</f>
        <v>9</v>
      </c>
      <c r="R1" s="72">
        <f>+IF(R6&gt;=Assumptions!$G$26,'Phase II Pro Forma'!Q1+1,'Phase II Pro Forma'!Q1)</f>
        <v>10</v>
      </c>
      <c r="S1" s="72">
        <f>+IF(S6&gt;=Assumptions!$G$26,'Phase II Pro Forma'!R1+1,'Phase II Pro Forma'!R1)</f>
        <v>11</v>
      </c>
      <c r="T1" s="72">
        <f>+IF(T6&gt;=Assumptions!$G$26,'Phase II Pro Forma'!S1+1,'Phase II Pro Forma'!S1)</f>
        <v>12</v>
      </c>
      <c r="U1" s="72">
        <f>+IF(U6&gt;=Assumptions!$G$26,'Phase II Pro Forma'!T1+1,'Phase II Pro Forma'!T1)</f>
        <v>13</v>
      </c>
      <c r="V1" s="72">
        <f>+IF(V6&gt;=Assumptions!$G$26,'Phase II Pro Forma'!U1+1,'Phase II Pro Forma'!U1)</f>
        <v>14</v>
      </c>
      <c r="W1" s="72">
        <f>+IF(W6&gt;=Assumptions!$G$26,'Phase II Pro Forma'!V1+1,'Phase II Pro Forma'!V1)</f>
        <v>15</v>
      </c>
      <c r="X1" s="72">
        <f>+IF(X6&gt;=Assumptions!$G$26,'Phase II Pro Forma'!W1+1,'Phase II Pro Forma'!W1)</f>
        <v>16</v>
      </c>
      <c r="Y1" s="72">
        <f>+IF(Y6&gt;=Assumptions!$G$26,'Phase II Pro Forma'!X1+1,'Phase II Pro Forma'!X1)</f>
        <v>17</v>
      </c>
      <c r="Z1" s="72">
        <f>+IF(Z6&gt;=Assumptions!$G$26,'Phase II Pro Forma'!Y1+1,'Phase II Pro Forma'!Y1)</f>
        <v>18</v>
      </c>
    </row>
    <row r="2" spans="1:26">
      <c r="B2" s="71" t="s">
        <v>573</v>
      </c>
      <c r="F2" s="72">
        <f>+IF(F6&gt;=Assumptions!$G$28,'Phase II Pro Forma'!E2+1,'Phase II Pro Forma'!E2)</f>
        <v>0</v>
      </c>
      <c r="G2" s="72">
        <f>+IF(G6&gt;=Assumptions!$G$28,'Phase II Pro Forma'!F2+1,'Phase II Pro Forma'!F2)</f>
        <v>0</v>
      </c>
      <c r="H2" s="72">
        <f>+IF(H6&gt;=Assumptions!$G$28,'Phase II Pro Forma'!G2+1,'Phase II Pro Forma'!G2)</f>
        <v>0</v>
      </c>
      <c r="I2" s="72">
        <f>+IF(I6&gt;=Assumptions!$G$28,'Phase II Pro Forma'!H2+1,'Phase II Pro Forma'!H2)</f>
        <v>0</v>
      </c>
      <c r="J2" s="72">
        <f>+IF(J6&gt;=Assumptions!$G$28,'Phase II Pro Forma'!I2+1,'Phase II Pro Forma'!I2)</f>
        <v>0</v>
      </c>
      <c r="K2" s="72">
        <f>+IF(K6&gt;=Assumptions!$G$28,'Phase II Pro Forma'!J2+1,'Phase II Pro Forma'!J2)</f>
        <v>1</v>
      </c>
      <c r="L2" s="72">
        <f>+IF(L6&gt;=Assumptions!$G$28,'Phase II Pro Forma'!K2+1,'Phase II Pro Forma'!K2)</f>
        <v>2</v>
      </c>
      <c r="M2" s="72">
        <f>+IF(M6&gt;=Assumptions!$G$28,'Phase II Pro Forma'!L2+1,'Phase II Pro Forma'!L2)</f>
        <v>3</v>
      </c>
      <c r="N2" s="72">
        <f>+IF(N6&gt;=Assumptions!$G$28,'Phase II Pro Forma'!M2+1,'Phase II Pro Forma'!M2)</f>
        <v>4</v>
      </c>
      <c r="O2" s="72">
        <f>+IF(O6&gt;=Assumptions!$G$28,'Phase II Pro Forma'!N2+1,'Phase II Pro Forma'!N2)</f>
        <v>5</v>
      </c>
      <c r="P2" s="72">
        <f>+IF(P6&gt;=Assumptions!$G$28,'Phase II Pro Forma'!O2+1,'Phase II Pro Forma'!O2)</f>
        <v>6</v>
      </c>
      <c r="Q2" s="72">
        <f>+IF(Q6&gt;=Assumptions!$G$28,'Phase II Pro Forma'!P2+1,'Phase II Pro Forma'!P2)</f>
        <v>7</v>
      </c>
      <c r="R2" s="72">
        <f>+IF(R6&gt;=Assumptions!$G$28,'Phase II Pro Forma'!Q2+1,'Phase II Pro Forma'!Q2)</f>
        <v>8</v>
      </c>
      <c r="S2" s="72">
        <f>+IF(S6&gt;=Assumptions!$G$28,'Phase II Pro Forma'!R2+1,'Phase II Pro Forma'!R2)</f>
        <v>9</v>
      </c>
      <c r="T2" s="72">
        <f>+IF(T6&gt;=Assumptions!$G$28,'Phase II Pro Forma'!S2+1,'Phase II Pro Forma'!S2)</f>
        <v>10</v>
      </c>
      <c r="U2" s="72">
        <f>+IF(U6&gt;=Assumptions!$G$28,'Phase II Pro Forma'!T2+1,'Phase II Pro Forma'!T2)</f>
        <v>11</v>
      </c>
      <c r="V2" s="72">
        <f>+IF(V6&gt;=Assumptions!$G$28,'Phase II Pro Forma'!U2+1,'Phase II Pro Forma'!U2)</f>
        <v>12</v>
      </c>
      <c r="W2" s="72">
        <f>+IF(W6&gt;=Assumptions!$G$28,'Phase II Pro Forma'!V2+1,'Phase II Pro Forma'!V2)</f>
        <v>13</v>
      </c>
      <c r="X2" s="72">
        <f>+IF(X6&gt;=Assumptions!$G$28,'Phase II Pro Forma'!W2+1,'Phase II Pro Forma'!W2)</f>
        <v>14</v>
      </c>
      <c r="Y2" s="72">
        <f>+IF(Y6&gt;=Assumptions!$G$28,'Phase II Pro Forma'!X2+1,'Phase II Pro Forma'!X2)</f>
        <v>15</v>
      </c>
      <c r="Z2" s="72">
        <f>+IF(Z6&gt;=Assumptions!$G$28,'Phase II Pro Forma'!Y2+1,'Phase II Pro Forma'!Y2)</f>
        <v>16</v>
      </c>
    </row>
    <row r="3" spans="1:26">
      <c r="F3" s="22"/>
      <c r="G3" s="22"/>
      <c r="H3" s="22"/>
      <c r="I3" s="22"/>
      <c r="J3" s="22"/>
      <c r="K3" s="22"/>
      <c r="L3" s="22"/>
      <c r="M3" s="22"/>
      <c r="N3" s="22"/>
    </row>
    <row r="4" spans="1:26">
      <c r="B4" s="440" t="s">
        <v>574</v>
      </c>
      <c r="C4" s="441"/>
      <c r="D4" s="441"/>
      <c r="E4" s="44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</row>
    <row r="5" spans="1:26">
      <c r="B5" s="54"/>
      <c r="F5" s="106">
        <f>+YEAR(F6)</f>
        <v>2022</v>
      </c>
      <c r="G5" s="106">
        <f t="shared" ref="G5:Z5" si="0">+YEAR(G6)</f>
        <v>2023</v>
      </c>
      <c r="H5" s="106">
        <f t="shared" si="0"/>
        <v>2024</v>
      </c>
      <c r="I5" s="106">
        <f t="shared" si="0"/>
        <v>2025</v>
      </c>
      <c r="J5" s="106">
        <f t="shared" si="0"/>
        <v>2026</v>
      </c>
      <c r="K5" s="106">
        <f t="shared" si="0"/>
        <v>2027</v>
      </c>
      <c r="L5" s="106">
        <f t="shared" si="0"/>
        <v>2028</v>
      </c>
      <c r="M5" s="106">
        <f t="shared" si="0"/>
        <v>2029</v>
      </c>
      <c r="N5" s="106">
        <f t="shared" si="0"/>
        <v>2030</v>
      </c>
      <c r="O5" s="106">
        <f t="shared" si="0"/>
        <v>2031</v>
      </c>
      <c r="P5" s="106">
        <f t="shared" si="0"/>
        <v>2032</v>
      </c>
      <c r="Q5" s="106">
        <f t="shared" si="0"/>
        <v>2033</v>
      </c>
      <c r="R5" s="106">
        <f t="shared" si="0"/>
        <v>2034</v>
      </c>
      <c r="S5" s="106">
        <f t="shared" si="0"/>
        <v>2035</v>
      </c>
      <c r="T5" s="106">
        <f t="shared" si="0"/>
        <v>2036</v>
      </c>
      <c r="U5" s="106">
        <f t="shared" si="0"/>
        <v>2037</v>
      </c>
      <c r="V5" s="106">
        <f t="shared" si="0"/>
        <v>2038</v>
      </c>
      <c r="W5" s="106">
        <f t="shared" si="0"/>
        <v>2039</v>
      </c>
      <c r="X5" s="106">
        <f t="shared" si="0"/>
        <v>2040</v>
      </c>
      <c r="Y5" s="106">
        <f t="shared" si="0"/>
        <v>2041</v>
      </c>
      <c r="Z5" s="106">
        <f t="shared" si="0"/>
        <v>2042</v>
      </c>
    </row>
    <row r="6" spans="1:26">
      <c r="B6" s="73" t="s">
        <v>25</v>
      </c>
      <c r="C6" s="74"/>
      <c r="D6" s="74"/>
      <c r="E6" s="74"/>
      <c r="F6" s="75">
        <f>+Assumptions!$G$22</f>
        <v>44926</v>
      </c>
      <c r="G6" s="75">
        <f>+EOMONTH(F6,12)</f>
        <v>45291</v>
      </c>
      <c r="H6" s="75">
        <f t="shared" ref="H6:Z6" si="1">+EOMONTH(G6,12)</f>
        <v>45657</v>
      </c>
      <c r="I6" s="75">
        <f t="shared" si="1"/>
        <v>46022</v>
      </c>
      <c r="J6" s="75">
        <f t="shared" si="1"/>
        <v>46387</v>
      </c>
      <c r="K6" s="75">
        <f t="shared" si="1"/>
        <v>46752</v>
      </c>
      <c r="L6" s="75">
        <f t="shared" si="1"/>
        <v>47118</v>
      </c>
      <c r="M6" s="75">
        <f t="shared" si="1"/>
        <v>47483</v>
      </c>
      <c r="N6" s="75">
        <f t="shared" si="1"/>
        <v>47848</v>
      </c>
      <c r="O6" s="75">
        <f t="shared" si="1"/>
        <v>48213</v>
      </c>
      <c r="P6" s="75">
        <f t="shared" si="1"/>
        <v>48579</v>
      </c>
      <c r="Q6" s="75">
        <f t="shared" si="1"/>
        <v>48944</v>
      </c>
      <c r="R6" s="75">
        <f t="shared" si="1"/>
        <v>49309</v>
      </c>
      <c r="S6" s="75">
        <f t="shared" si="1"/>
        <v>49674</v>
      </c>
      <c r="T6" s="75">
        <f t="shared" si="1"/>
        <v>50040</v>
      </c>
      <c r="U6" s="75">
        <f t="shared" si="1"/>
        <v>50405</v>
      </c>
      <c r="V6" s="75">
        <f t="shared" si="1"/>
        <v>50770</v>
      </c>
      <c r="W6" s="75">
        <f t="shared" si="1"/>
        <v>51135</v>
      </c>
      <c r="X6" s="75">
        <f t="shared" si="1"/>
        <v>51501</v>
      </c>
      <c r="Y6" s="75">
        <f t="shared" si="1"/>
        <v>51866</v>
      </c>
      <c r="Z6" s="75">
        <f t="shared" si="1"/>
        <v>52231</v>
      </c>
    </row>
    <row r="7" spans="1:26">
      <c r="A7" s="65" t="b">
        <f>+SUM(F7:Z7)=Assumptions!$F$55</f>
        <v>0</v>
      </c>
      <c r="B7" s="15" t="s">
        <v>575</v>
      </c>
      <c r="C7" s="15"/>
      <c r="D7" s="20"/>
      <c r="E7" s="49">
        <f ca="1">+Assumptions!M14</f>
        <v>0.24777680554148374</v>
      </c>
      <c r="F7" s="22">
        <f>+IF(AND(F6&gt;=Assumptions!$G$26,F6&lt;Assumptions!$G$28),Assumptions!$G$55/ROUNDUP((Assumptions!$G$27/12),0),0)</f>
        <v>0</v>
      </c>
      <c r="G7" s="22">
        <f>+IF(AND(G6&gt;=Assumptions!$G$26,G6&lt;Assumptions!$G$28),Assumptions!$G$55/ROUNDUP((Assumptions!$G$27/12),0),0)</f>
        <v>0</v>
      </c>
      <c r="H7" s="22">
        <f>+IF(AND(H6&gt;=Assumptions!$G$26,H6&lt;Assumptions!$G$28),Assumptions!$G$55/ROUNDUP((Assumptions!$G$27/12),0),0)</f>
        <v>0</v>
      </c>
      <c r="I7" s="22">
        <f>+IF(AND(I6&gt;=Assumptions!$G$26,I6&lt;Assumptions!$G$28),Assumptions!$G$55/ROUNDUP((Assumptions!$G$27/12),0),0)</f>
        <v>97651.568376194307</v>
      </c>
      <c r="J7" s="22">
        <f>+IF(AND(J6&gt;=Assumptions!$G$26,J6&lt;Assumptions!$G$28),Assumptions!$G$55/ROUNDUP((Assumptions!$G$27/12),0),0)</f>
        <v>97651.568376194307</v>
      </c>
      <c r="K7" s="22">
        <f>+IF(AND(K6&gt;=Assumptions!$G$26,K6&lt;Assumptions!$G$28),Assumptions!$G$55/ROUNDUP((Assumptions!$G$27/12),0),0)</f>
        <v>0</v>
      </c>
      <c r="L7" s="22">
        <f>+IF(AND(L6&gt;=Assumptions!$G$26,L6&lt;Assumptions!$G$28),Assumptions!$G$55/ROUNDUP((Assumptions!$G$27/12),0),0)</f>
        <v>0</v>
      </c>
      <c r="M7" s="22">
        <f>+IF(AND(M6&gt;=Assumptions!$G$26,M6&lt;Assumptions!$G$28),Assumptions!$G$55/ROUNDUP((Assumptions!$G$27/12),0),0)</f>
        <v>0</v>
      </c>
      <c r="N7" s="22">
        <f>+IF(AND(N6&gt;=Assumptions!$G$26,N6&lt;Assumptions!$G$28),Assumptions!$G$55/ROUNDUP((Assumptions!$G$27/12),0),0)</f>
        <v>0</v>
      </c>
      <c r="O7" s="22">
        <f>+IF(AND(O6&gt;=Assumptions!$G$26,O6&lt;Assumptions!$G$28),Assumptions!$G$55/ROUNDUP((Assumptions!$G$27/12),0),0)</f>
        <v>0</v>
      </c>
      <c r="P7" s="22">
        <f>+IF(AND(P6&gt;=Assumptions!$G$26,P6&lt;Assumptions!$G$28),Assumptions!$G$55/ROUNDUP((Assumptions!$G$27/12),0),0)</f>
        <v>0</v>
      </c>
      <c r="Q7" s="22">
        <f>+IF(AND(Q6&gt;=Assumptions!$G$26,Q6&lt;Assumptions!$G$28),Assumptions!$G$55/ROUNDUP((Assumptions!$G$27/12),0),0)</f>
        <v>0</v>
      </c>
      <c r="R7" s="22">
        <f>+IF(AND(R6&gt;=Assumptions!$G$26,R6&lt;Assumptions!$G$28),Assumptions!$G$55/ROUNDUP((Assumptions!$G$27/12),0),0)</f>
        <v>0</v>
      </c>
      <c r="S7" s="22">
        <f>+IF(AND(S6&gt;=Assumptions!$G$26,S6&lt;Assumptions!$G$28),Assumptions!$G$55/ROUNDUP((Assumptions!$G$27/12),0),0)</f>
        <v>0</v>
      </c>
      <c r="T7" s="22">
        <f>+IF(AND(T6&gt;=Assumptions!$G$26,T6&lt;Assumptions!$G$28),Assumptions!$G$55/ROUNDUP((Assumptions!$G$27/12),0),0)</f>
        <v>0</v>
      </c>
      <c r="U7" s="22">
        <f>+IF(AND(U6&gt;=Assumptions!$G$26,U6&lt;Assumptions!$G$28),Assumptions!$G$55/ROUNDUP((Assumptions!$G$27/12),0),0)</f>
        <v>0</v>
      </c>
      <c r="V7" s="22">
        <f>+IF(AND(V6&gt;=Assumptions!$G$26,V6&lt;Assumptions!$G$28),Assumptions!$G$55/ROUNDUP((Assumptions!$G$27/12),0),0)</f>
        <v>0</v>
      </c>
      <c r="W7" s="22">
        <f>+IF(AND(W6&gt;=Assumptions!$G$26,W6&lt;Assumptions!$G$28),Assumptions!$G$55/ROUNDUP((Assumptions!$G$27/12),0),0)</f>
        <v>0</v>
      </c>
      <c r="X7" s="22">
        <f>+IF(AND(X6&gt;=Assumptions!$G$26,X6&lt;Assumptions!$G$28),Assumptions!$G$55/ROUNDUP((Assumptions!$G$27/12),0),0)</f>
        <v>0</v>
      </c>
      <c r="Y7" s="22">
        <f>+IF(AND(Y6&gt;=Assumptions!$G$26,Y6&lt;Assumptions!$G$28),Assumptions!$G$55/ROUNDUP((Assumptions!$G$27/12),0),0)</f>
        <v>0</v>
      </c>
      <c r="Z7" s="22">
        <f>+IF(AND(Z6&gt;=Assumptions!$G$26,Z6&lt;Assumptions!$G$28),Assumptions!$G$55/ROUNDUP((Assumptions!$G$27/12),0),0)</f>
        <v>0</v>
      </c>
    </row>
    <row r="8" spans="1:26">
      <c r="B8" s="15" t="s">
        <v>576</v>
      </c>
      <c r="C8" s="15"/>
      <c r="D8" s="22">
        <v>0</v>
      </c>
      <c r="E8" s="22"/>
      <c r="F8" s="22">
        <f>+D8+F7</f>
        <v>0</v>
      </c>
      <c r="G8" s="22">
        <f t="shared" ref="G8:Z8" si="2">+F8+G7</f>
        <v>0</v>
      </c>
      <c r="H8" s="22">
        <f t="shared" si="2"/>
        <v>0</v>
      </c>
      <c r="I8" s="22">
        <f t="shared" si="2"/>
        <v>97651.568376194307</v>
      </c>
      <c r="J8" s="22">
        <f t="shared" si="2"/>
        <v>195303.13675238861</v>
      </c>
      <c r="K8" s="22">
        <f t="shared" si="2"/>
        <v>195303.13675238861</v>
      </c>
      <c r="L8" s="22">
        <f t="shared" si="2"/>
        <v>195303.13675238861</v>
      </c>
      <c r="M8" s="22">
        <f t="shared" si="2"/>
        <v>195303.13675238861</v>
      </c>
      <c r="N8" s="22">
        <f t="shared" si="2"/>
        <v>195303.13675238861</v>
      </c>
      <c r="O8" s="22">
        <f t="shared" si="2"/>
        <v>195303.13675238861</v>
      </c>
      <c r="P8" s="22">
        <f t="shared" si="2"/>
        <v>195303.13675238861</v>
      </c>
      <c r="Q8" s="22">
        <f t="shared" si="2"/>
        <v>195303.13675238861</v>
      </c>
      <c r="R8" s="22">
        <f t="shared" si="2"/>
        <v>195303.13675238861</v>
      </c>
      <c r="S8" s="22">
        <f t="shared" si="2"/>
        <v>195303.13675238861</v>
      </c>
      <c r="T8" s="22">
        <f t="shared" si="2"/>
        <v>195303.13675238861</v>
      </c>
      <c r="U8" s="22">
        <f t="shared" si="2"/>
        <v>195303.13675238861</v>
      </c>
      <c r="V8" s="22">
        <f t="shared" si="2"/>
        <v>195303.13675238861</v>
      </c>
      <c r="W8" s="22">
        <f t="shared" si="2"/>
        <v>195303.13675238861</v>
      </c>
      <c r="X8" s="22">
        <f t="shared" si="2"/>
        <v>195303.13675238861</v>
      </c>
      <c r="Y8" s="22">
        <f t="shared" si="2"/>
        <v>195303.13675238861</v>
      </c>
      <c r="Z8" s="22">
        <f t="shared" si="2"/>
        <v>195303.13675238861</v>
      </c>
    </row>
    <row r="9" spans="1:26">
      <c r="B9" s="15" t="s">
        <v>577</v>
      </c>
      <c r="C9" s="15"/>
      <c r="D9" s="22"/>
      <c r="E9" s="22"/>
      <c r="F9" s="22">
        <f>+F10-E10</f>
        <v>0</v>
      </c>
      <c r="G9" s="22">
        <f t="shared" ref="G9" si="3">+G10-F10</f>
        <v>0</v>
      </c>
      <c r="H9" s="22">
        <f t="shared" ref="H9" si="4">+H10-G10</f>
        <v>0</v>
      </c>
      <c r="I9" s="22">
        <f t="shared" ref="I9" si="5">+I10-H10</f>
        <v>139.15148352421298</v>
      </c>
      <c r="J9" s="22">
        <f t="shared" ref="J9" si="6">+J10-I10</f>
        <v>139.15148352421298</v>
      </c>
      <c r="K9" s="22">
        <f t="shared" ref="K9" si="7">+K10-J10</f>
        <v>0</v>
      </c>
      <c r="L9" s="22">
        <f t="shared" ref="L9" si="8">+L10-K10</f>
        <v>0</v>
      </c>
      <c r="M9" s="22">
        <f t="shared" ref="M9" si="9">+M10-L10</f>
        <v>0</v>
      </c>
      <c r="N9" s="22">
        <f t="shared" ref="N9" si="10">+N10-M10</f>
        <v>0</v>
      </c>
      <c r="O9" s="22">
        <f t="shared" ref="O9" si="11">+O10-N10</f>
        <v>0</v>
      </c>
      <c r="P9" s="22">
        <f t="shared" ref="P9" si="12">+P10-O10</f>
        <v>0</v>
      </c>
      <c r="Q9" s="22">
        <f t="shared" ref="Q9" si="13">+Q10-P10</f>
        <v>0</v>
      </c>
      <c r="R9" s="22">
        <f t="shared" ref="R9" si="14">+R10-Q10</f>
        <v>0</v>
      </c>
      <c r="S9" s="22">
        <f t="shared" ref="S9" si="15">+S10-R10</f>
        <v>0</v>
      </c>
      <c r="T9" s="22">
        <f t="shared" ref="T9" si="16">+T10-S10</f>
        <v>0</v>
      </c>
      <c r="U9" s="22">
        <f t="shared" ref="U9" si="17">+U10-T10</f>
        <v>0</v>
      </c>
      <c r="V9" s="22">
        <f t="shared" ref="V9" si="18">+V10-U10</f>
        <v>0</v>
      </c>
      <c r="W9" s="22">
        <f t="shared" ref="W9" si="19">+W10-V10</f>
        <v>0</v>
      </c>
      <c r="X9" s="22">
        <f t="shared" ref="X9" si="20">+X10-W10</f>
        <v>0</v>
      </c>
      <c r="Y9" s="22">
        <f t="shared" ref="Y9" si="21">+Y10-X10</f>
        <v>0</v>
      </c>
      <c r="Z9" s="22">
        <f t="shared" ref="Z9" si="22">+Z10-Y10</f>
        <v>0</v>
      </c>
    </row>
    <row r="10" spans="1:26">
      <c r="B10" s="15" t="s">
        <v>578</v>
      </c>
      <c r="C10" s="15"/>
      <c r="D10" s="22"/>
      <c r="E10" s="22"/>
      <c r="F10" s="22">
        <f>+F11*Assumptions!$G$56</f>
        <v>0</v>
      </c>
      <c r="G10" s="22">
        <f>+G11*Assumptions!$G$56</f>
        <v>0</v>
      </c>
      <c r="H10" s="22">
        <f>+H11*Assumptions!$G$56</f>
        <v>0</v>
      </c>
      <c r="I10" s="22">
        <f>+I11*Assumptions!$G$56</f>
        <v>139.15148352421298</v>
      </c>
      <c r="J10" s="22">
        <f>+J11*Assumptions!$G$56</f>
        <v>278.30296704842596</v>
      </c>
      <c r="K10" s="22">
        <f>+K11*Assumptions!$G$56</f>
        <v>278.30296704842596</v>
      </c>
      <c r="L10" s="22">
        <f>+L11*Assumptions!$G$56</f>
        <v>278.30296704842596</v>
      </c>
      <c r="M10" s="22">
        <f>+M11*Assumptions!$G$56</f>
        <v>278.30296704842596</v>
      </c>
      <c r="N10" s="22">
        <f>+N11*Assumptions!$G$56</f>
        <v>278.30296704842596</v>
      </c>
      <c r="O10" s="22">
        <f>+O11*Assumptions!$G$56</f>
        <v>278.30296704842596</v>
      </c>
      <c r="P10" s="22">
        <f>+P11*Assumptions!$G$56</f>
        <v>278.30296704842596</v>
      </c>
      <c r="Q10" s="22">
        <f>+Q11*Assumptions!$G$56</f>
        <v>278.30296704842596</v>
      </c>
      <c r="R10" s="22">
        <f>+R11*Assumptions!$G$56</f>
        <v>278.30296704842596</v>
      </c>
      <c r="S10" s="22">
        <f>+S11*Assumptions!$G$56</f>
        <v>278.30296704842596</v>
      </c>
      <c r="T10" s="22">
        <f>+T11*Assumptions!$G$56</f>
        <v>278.30296704842596</v>
      </c>
      <c r="U10" s="22">
        <f>+U11*Assumptions!$G$56</f>
        <v>278.30296704842596</v>
      </c>
      <c r="V10" s="22">
        <f>+V11*Assumptions!$G$56</f>
        <v>278.30296704842596</v>
      </c>
      <c r="W10" s="22">
        <f>+W11*Assumptions!$G$56</f>
        <v>278.30296704842596</v>
      </c>
      <c r="X10" s="22">
        <f>+X11*Assumptions!$G$56</f>
        <v>278.30296704842596</v>
      </c>
      <c r="Y10" s="22">
        <f>+Y11*Assumptions!$G$56</f>
        <v>278.30296704842596</v>
      </c>
      <c r="Z10" s="22">
        <f>+Z11*Assumptions!$G$56</f>
        <v>278.30296704842596</v>
      </c>
    </row>
    <row r="11" spans="1:26">
      <c r="B11" s="15" t="s">
        <v>579</v>
      </c>
      <c r="C11" s="15"/>
      <c r="D11" s="22"/>
      <c r="E11" s="22"/>
      <c r="F11" s="49">
        <f>+F8/SUM($F$7:$Z$7)</f>
        <v>0</v>
      </c>
      <c r="G11" s="49">
        <f t="shared" ref="G11:Z11" si="23">+G8/SUM($F$7:$Z$7)</f>
        <v>0</v>
      </c>
      <c r="H11" s="49">
        <f t="shared" si="23"/>
        <v>0</v>
      </c>
      <c r="I11" s="49">
        <f t="shared" si="23"/>
        <v>0.5</v>
      </c>
      <c r="J11" s="49">
        <f t="shared" si="23"/>
        <v>1</v>
      </c>
      <c r="K11" s="49">
        <f t="shared" si="23"/>
        <v>1</v>
      </c>
      <c r="L11" s="49">
        <f t="shared" si="23"/>
        <v>1</v>
      </c>
      <c r="M11" s="49">
        <f t="shared" si="23"/>
        <v>1</v>
      </c>
      <c r="N11" s="49">
        <f t="shared" si="23"/>
        <v>1</v>
      </c>
      <c r="O11" s="49">
        <f t="shared" si="23"/>
        <v>1</v>
      </c>
      <c r="P11" s="49">
        <f t="shared" si="23"/>
        <v>1</v>
      </c>
      <c r="Q11" s="49">
        <f t="shared" si="23"/>
        <v>1</v>
      </c>
      <c r="R11" s="49">
        <f t="shared" si="23"/>
        <v>1</v>
      </c>
      <c r="S11" s="49">
        <f t="shared" si="23"/>
        <v>1</v>
      </c>
      <c r="T11" s="49">
        <f t="shared" si="23"/>
        <v>1</v>
      </c>
      <c r="U11" s="49">
        <f t="shared" si="23"/>
        <v>1</v>
      </c>
      <c r="V11" s="49">
        <f t="shared" si="23"/>
        <v>1</v>
      </c>
      <c r="W11" s="49">
        <f t="shared" si="23"/>
        <v>1</v>
      </c>
      <c r="X11" s="49">
        <f t="shared" si="23"/>
        <v>1</v>
      </c>
      <c r="Y11" s="49">
        <f t="shared" si="23"/>
        <v>1</v>
      </c>
      <c r="Z11" s="49">
        <f t="shared" si="23"/>
        <v>1</v>
      </c>
    </row>
    <row r="12" spans="1:26">
      <c r="B12" s="15"/>
      <c r="C12" s="15"/>
      <c r="D12" s="22"/>
      <c r="E12" s="2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>
      <c r="B13" s="15" t="s">
        <v>580</v>
      </c>
      <c r="C13" s="15"/>
      <c r="D13" s="22"/>
      <c r="E13" s="22"/>
      <c r="F13" s="49">
        <v>1</v>
      </c>
      <c r="G13" s="49">
        <f>+F13*(1+Assumptions!$O$63)</f>
        <v>1.02</v>
      </c>
      <c r="H13" s="49">
        <f>+G13*(1+Assumptions!$O$63)</f>
        <v>1.0404</v>
      </c>
      <c r="I13" s="49">
        <f>+H13*(1+Assumptions!$O$63)</f>
        <v>1.0612079999999999</v>
      </c>
      <c r="J13" s="49">
        <f>+I13*(1+Assumptions!$O$63)</f>
        <v>1.08243216</v>
      </c>
      <c r="K13" s="49">
        <f>+J13*(1+Assumptions!$O$63)</f>
        <v>1.1040808032</v>
      </c>
      <c r="L13" s="49">
        <f>+K13*(1+Assumptions!$O$63)</f>
        <v>1.1261624192640001</v>
      </c>
      <c r="M13" s="49">
        <f>+L13*(1+Assumptions!$O$63)</f>
        <v>1.14868566764928</v>
      </c>
      <c r="N13" s="49">
        <f>+M13*(1+Assumptions!$O$63)</f>
        <v>1.1716593810022657</v>
      </c>
      <c r="O13" s="49">
        <f>+N13*(1+Assumptions!$O$63)</f>
        <v>1.1950925686223111</v>
      </c>
      <c r="P13" s="49">
        <f>+O13*(1+Assumptions!$O$63)</f>
        <v>1.2189944199947573</v>
      </c>
      <c r="Q13" s="49">
        <f>+P13*(1+Assumptions!$O$63)</f>
        <v>1.2433743083946525</v>
      </c>
      <c r="R13" s="49">
        <f>+Q13*(1+Assumptions!$O$63)</f>
        <v>1.2682417945625455</v>
      </c>
      <c r="S13" s="49">
        <f>+R13*(1+Assumptions!$O$63)</f>
        <v>1.2936066304537963</v>
      </c>
      <c r="T13" s="49">
        <f>+S13*(1+Assumptions!$O$63)</f>
        <v>1.3194787630628724</v>
      </c>
      <c r="U13" s="49">
        <f>+T13*(1+Assumptions!$O$63)</f>
        <v>1.3458683383241299</v>
      </c>
      <c r="V13" s="49">
        <f>+U13*(1+Assumptions!$O$63)</f>
        <v>1.3727857050906125</v>
      </c>
      <c r="W13" s="49">
        <f>+V13*(1+Assumptions!$O$63)</f>
        <v>1.4002414191924248</v>
      </c>
      <c r="X13" s="49">
        <f>+W13*(1+Assumptions!$O$63)</f>
        <v>1.4282462475762734</v>
      </c>
      <c r="Y13" s="49">
        <f>+X13*(1+Assumptions!$O$63)</f>
        <v>1.4568111725277988</v>
      </c>
      <c r="Z13" s="49">
        <f>+Y13*(1+Assumptions!$O$63)</f>
        <v>1.4859473959783549</v>
      </c>
    </row>
    <row r="14" spans="1:26">
      <c r="B14" s="15" t="s">
        <v>581</v>
      </c>
      <c r="C14" s="15"/>
      <c r="D14" s="22"/>
      <c r="E14" s="22"/>
      <c r="F14" s="49">
        <v>1</v>
      </c>
      <c r="G14" s="49">
        <f>+F14*(1+Assumptions!$O$76)</f>
        <v>1.02</v>
      </c>
      <c r="H14" s="49">
        <f>+G14*(1+Assumptions!$O$76)</f>
        <v>1.0404</v>
      </c>
      <c r="I14" s="49">
        <f>+H14*(1+Assumptions!$O$76)</f>
        <v>1.0612079999999999</v>
      </c>
      <c r="J14" s="49">
        <f>+I14*(1+Assumptions!$O$76)</f>
        <v>1.08243216</v>
      </c>
      <c r="K14" s="49">
        <f>+J14*(1+Assumptions!$O$76)</f>
        <v>1.1040808032</v>
      </c>
      <c r="L14" s="49">
        <f>+K14*(1+Assumptions!$O$76)</f>
        <v>1.1261624192640001</v>
      </c>
      <c r="M14" s="49">
        <f>+L14*(1+Assumptions!$O$76)</f>
        <v>1.14868566764928</v>
      </c>
      <c r="N14" s="49">
        <f>+M14*(1+Assumptions!$O$76)</f>
        <v>1.1716593810022657</v>
      </c>
      <c r="O14" s="49">
        <f>+N14*(1+Assumptions!$O$76)</f>
        <v>1.1950925686223111</v>
      </c>
      <c r="P14" s="49">
        <f>+O14*(1+Assumptions!$O$76)</f>
        <v>1.2189944199947573</v>
      </c>
      <c r="Q14" s="49">
        <f>+P14*(1+Assumptions!$O$76)</f>
        <v>1.2433743083946525</v>
      </c>
      <c r="R14" s="49">
        <f>+Q14*(1+Assumptions!$O$76)</f>
        <v>1.2682417945625455</v>
      </c>
      <c r="S14" s="49">
        <f>+R14*(1+Assumptions!$O$76)</f>
        <v>1.2936066304537963</v>
      </c>
      <c r="T14" s="49">
        <f>+S14*(1+Assumptions!$O$76)</f>
        <v>1.3194787630628724</v>
      </c>
      <c r="U14" s="49">
        <f>+T14*(1+Assumptions!$O$76)</f>
        <v>1.3458683383241299</v>
      </c>
      <c r="V14" s="49">
        <f>+U14*(1+Assumptions!$O$76)</f>
        <v>1.3727857050906125</v>
      </c>
      <c r="W14" s="49">
        <f>+V14*(1+Assumptions!$O$76)</f>
        <v>1.4002414191924248</v>
      </c>
      <c r="X14" s="49">
        <f>+W14*(1+Assumptions!$O$76)</f>
        <v>1.4282462475762734</v>
      </c>
      <c r="Y14" s="49">
        <f>+X14*(1+Assumptions!$O$76)</f>
        <v>1.4568111725277988</v>
      </c>
      <c r="Z14" s="49">
        <f>+Y14*(1+Assumptions!$O$76)</f>
        <v>1.4859473959783549</v>
      </c>
    </row>
    <row r="15" spans="1:26">
      <c r="B15" s="15"/>
      <c r="C15" s="15"/>
      <c r="D15" s="20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>
      <c r="B16" s="15" t="s">
        <v>582</v>
      </c>
      <c r="C16" s="15"/>
      <c r="D16" s="20"/>
      <c r="E16" s="20"/>
      <c r="F16" s="16">
        <f>+F11*Assumptions!$G$54*F13</f>
        <v>0</v>
      </c>
      <c r="G16" s="16">
        <f>+G11*Assumptions!$G$54*G13</f>
        <v>0</v>
      </c>
      <c r="H16" s="16">
        <f>+H11*Assumptions!$G$54*H13</f>
        <v>0</v>
      </c>
      <c r="I16" s="16">
        <f>+I11*Assumptions!$G$54*I13</f>
        <v>1782462.0174207294</v>
      </c>
      <c r="J16" s="16">
        <f>+J11*Assumptions!$G$54*J13</f>
        <v>3636222.5155382883</v>
      </c>
      <c r="K16" s="16">
        <f>+K11*Assumptions!$G$54*K13</f>
        <v>3708946.965849054</v>
      </c>
      <c r="L16" s="16">
        <f>+L11*Assumptions!$G$54*L13</f>
        <v>3783125.9051660355</v>
      </c>
      <c r="M16" s="16">
        <f>+M11*Assumptions!$G$54*M13</f>
        <v>3858788.4232693561</v>
      </c>
      <c r="N16" s="16">
        <f>+N11*Assumptions!$G$54*N13</f>
        <v>3935964.1917347433</v>
      </c>
      <c r="O16" s="16">
        <f>+O11*Assumptions!$G$54*O13</f>
        <v>4014683.4755694382</v>
      </c>
      <c r="P16" s="16">
        <f>+P11*Assumptions!$G$54*P13</f>
        <v>4094977.1450808272</v>
      </c>
      <c r="Q16" s="16">
        <f>+Q11*Assumptions!$G$54*Q13</f>
        <v>4176876.6879824437</v>
      </c>
      <c r="R16" s="16">
        <f>+R11*Assumptions!$G$54*R13</f>
        <v>4260414.2217420926</v>
      </c>
      <c r="S16" s="16">
        <f>+S11*Assumptions!$G$54*S13</f>
        <v>4345622.5061769346</v>
      </c>
      <c r="T16" s="16">
        <f>+T11*Assumptions!$G$54*T13</f>
        <v>4432534.9563004728</v>
      </c>
      <c r="U16" s="16">
        <f>+U11*Assumptions!$G$54*U13</f>
        <v>4521185.6554264827</v>
      </c>
      <c r="V16" s="16">
        <f>+V11*Assumptions!$G$54*V13</f>
        <v>4611609.3685350129</v>
      </c>
      <c r="W16" s="16">
        <f>+W11*Assumptions!$G$54*W13</f>
        <v>4703841.5559057128</v>
      </c>
      <c r="X16" s="16">
        <f>+X11*Assumptions!$G$54*X13</f>
        <v>4797918.387023828</v>
      </c>
      <c r="Y16" s="16">
        <f>+Y11*Assumptions!$G$54*Y13</f>
        <v>4893876.7547643036</v>
      </c>
      <c r="Z16" s="16">
        <f>+Z11*Assumptions!$G$54*Z13</f>
        <v>4991754.2898595901</v>
      </c>
    </row>
    <row r="17" spans="2:26">
      <c r="B17" s="15" t="s">
        <v>583</v>
      </c>
      <c r="C17" s="15"/>
      <c r="D17" s="20"/>
      <c r="E17" s="20"/>
      <c r="F17" s="22">
        <f>-F16*Assumptions!$O$54</f>
        <v>0</v>
      </c>
      <c r="G17" s="22">
        <f>-G16*Assumptions!$O$54</f>
        <v>0</v>
      </c>
      <c r="H17" s="22">
        <f>-H16*Assumptions!$O$54</f>
        <v>0</v>
      </c>
      <c r="I17" s="22">
        <f>-I16*Assumptions!$O$54</f>
        <v>-35649.240348414591</v>
      </c>
      <c r="J17" s="22">
        <f>-J16*Assumptions!$O$54</f>
        <v>-72724.450310765766</v>
      </c>
      <c r="K17" s="22">
        <f>-K16*Assumptions!$O$54</f>
        <v>-74178.939316981079</v>
      </c>
      <c r="L17" s="22">
        <f>-L16*Assumptions!$O$54</f>
        <v>-75662.518103320719</v>
      </c>
      <c r="M17" s="22">
        <f>-M16*Assumptions!$O$54</f>
        <v>-77175.768465387126</v>
      </c>
      <c r="N17" s="22">
        <f>-N16*Assumptions!$O$54</f>
        <v>-78719.28383469487</v>
      </c>
      <c r="O17" s="22">
        <f>-O16*Assumptions!$O$54</f>
        <v>-80293.669511388769</v>
      </c>
      <c r="P17" s="22">
        <f>-P16*Assumptions!$O$54</f>
        <v>-81899.542901616544</v>
      </c>
      <c r="Q17" s="22">
        <f>-Q16*Assumptions!$O$54</f>
        <v>-83537.533759648883</v>
      </c>
      <c r="R17" s="22">
        <f>-R16*Assumptions!$O$54</f>
        <v>-85208.284434841858</v>
      </c>
      <c r="S17" s="22">
        <f>-S16*Assumptions!$O$54</f>
        <v>-86912.4501235387</v>
      </c>
      <c r="T17" s="22">
        <f>-T16*Assumptions!$O$54</f>
        <v>-88650.699126009466</v>
      </c>
      <c r="U17" s="22">
        <f>-U16*Assumptions!$O$54</f>
        <v>-90423.713108529657</v>
      </c>
      <c r="V17" s="22">
        <f>-V16*Assumptions!$O$54</f>
        <v>-92232.187370700267</v>
      </c>
      <c r="W17" s="22">
        <f>-W16*Assumptions!$O$54</f>
        <v>-94076.831118114264</v>
      </c>
      <c r="X17" s="22">
        <f>-X16*Assumptions!$O$54</f>
        <v>-95958.367740476562</v>
      </c>
      <c r="Y17" s="22">
        <f>-Y16*Assumptions!$O$54</f>
        <v>-97877.535095286075</v>
      </c>
      <c r="Z17" s="22">
        <f>-Z16*Assumptions!$O$54</f>
        <v>-99835.085797191801</v>
      </c>
    </row>
    <row r="18" spans="2:26">
      <c r="B18" s="15" t="s">
        <v>87</v>
      </c>
      <c r="C18" s="15"/>
      <c r="D18" s="20"/>
      <c r="E18" s="20"/>
      <c r="F18" s="76">
        <f>+F10*Assumptions!$G$89*(1-Assumptions!$O$54)*12</f>
        <v>0</v>
      </c>
      <c r="G18" s="76">
        <f>+G10*Assumptions!$G$89*(1-Assumptions!$O$54)*12</f>
        <v>0</v>
      </c>
      <c r="H18" s="76">
        <f>+H10*Assumptions!$G$89*(1-Assumptions!$O$54)*12</f>
        <v>0</v>
      </c>
      <c r="I18" s="76">
        <f>+I10*Assumptions!$G$89*(1-Assumptions!$O$54)*12</f>
        <v>8182.1072312237229</v>
      </c>
      <c r="J18" s="76">
        <f>+J10*Assumptions!$G$89*(1-Assumptions!$O$54)*12</f>
        <v>16364.214462447446</v>
      </c>
      <c r="K18" s="76">
        <f>+K10*Assumptions!$G$89*(1-Assumptions!$O$54)*12</f>
        <v>16364.214462447446</v>
      </c>
      <c r="L18" s="76">
        <f>+L10*Assumptions!$G$89*(1-Assumptions!$O$54)*12</f>
        <v>16364.214462447446</v>
      </c>
      <c r="M18" s="76">
        <f>+M10*Assumptions!$G$89*(1-Assumptions!$O$54)*12</f>
        <v>16364.214462447446</v>
      </c>
      <c r="N18" s="76">
        <f>+N10*Assumptions!$G$89*(1-Assumptions!$O$54)*12</f>
        <v>16364.214462447446</v>
      </c>
      <c r="O18" s="76">
        <f>+O10*Assumptions!$G$89*(1-Assumptions!$O$54)*12</f>
        <v>16364.214462447446</v>
      </c>
      <c r="P18" s="76">
        <f>+P10*Assumptions!$G$89*(1-Assumptions!$O$54)*12</f>
        <v>16364.214462447446</v>
      </c>
      <c r="Q18" s="76">
        <f>+Q10*Assumptions!$G$89*(1-Assumptions!$O$54)*12</f>
        <v>16364.214462447446</v>
      </c>
      <c r="R18" s="76">
        <f>+R10*Assumptions!$G$89*(1-Assumptions!$O$54)*12</f>
        <v>16364.214462447446</v>
      </c>
      <c r="S18" s="76">
        <f>+S10*Assumptions!$G$89*(1-Assumptions!$O$54)*12</f>
        <v>16364.214462447446</v>
      </c>
      <c r="T18" s="76">
        <f>+T10*Assumptions!$G$89*(1-Assumptions!$O$54)*12</f>
        <v>16364.214462447446</v>
      </c>
      <c r="U18" s="76">
        <f>+U10*Assumptions!$G$89*(1-Assumptions!$O$54)*12</f>
        <v>16364.214462447446</v>
      </c>
      <c r="V18" s="76">
        <f>+V10*Assumptions!$G$89*(1-Assumptions!$O$54)*12</f>
        <v>16364.214462447446</v>
      </c>
      <c r="W18" s="76">
        <f>+W10*Assumptions!$G$89*(1-Assumptions!$O$54)*12</f>
        <v>16364.214462447446</v>
      </c>
      <c r="X18" s="76">
        <f>+X10*Assumptions!$G$89*(1-Assumptions!$O$54)*12</f>
        <v>16364.214462447446</v>
      </c>
      <c r="Y18" s="76">
        <f>+Y10*Assumptions!$G$89*(1-Assumptions!$O$54)*12</f>
        <v>16364.214462447446</v>
      </c>
      <c r="Z18" s="76">
        <f>+Z10*Assumptions!$G$89*(1-Assumptions!$O$54)*12</f>
        <v>16364.214462447446</v>
      </c>
    </row>
    <row r="19" spans="2:26">
      <c r="B19" s="62" t="s">
        <v>584</v>
      </c>
      <c r="C19" s="62"/>
      <c r="D19" s="62"/>
      <c r="E19" s="62"/>
      <c r="F19" s="58">
        <f t="shared" ref="F19:Z19" si="24">+SUM(F16:F18)</f>
        <v>0</v>
      </c>
      <c r="G19" s="58">
        <f t="shared" si="24"/>
        <v>0</v>
      </c>
      <c r="H19" s="58">
        <f t="shared" si="24"/>
        <v>0</v>
      </c>
      <c r="I19" s="58">
        <f t="shared" si="24"/>
        <v>1754994.8843035386</v>
      </c>
      <c r="J19" s="58">
        <f t="shared" si="24"/>
        <v>3579862.27968997</v>
      </c>
      <c r="K19" s="58">
        <f t="shared" si="24"/>
        <v>3651132.2409945205</v>
      </c>
      <c r="L19" s="58">
        <f t="shared" si="24"/>
        <v>3723827.6015251623</v>
      </c>
      <c r="M19" s="58">
        <f t="shared" si="24"/>
        <v>3797976.8692664164</v>
      </c>
      <c r="N19" s="58">
        <f t="shared" si="24"/>
        <v>3873609.1223624959</v>
      </c>
      <c r="O19" s="58">
        <f t="shared" si="24"/>
        <v>3950754.0205204966</v>
      </c>
      <c r="P19" s="58">
        <f t="shared" si="24"/>
        <v>4029441.8166416581</v>
      </c>
      <c r="Q19" s="58">
        <f t="shared" si="24"/>
        <v>4109703.3686852423</v>
      </c>
      <c r="R19" s="58">
        <f t="shared" si="24"/>
        <v>4191570.1517696981</v>
      </c>
      <c r="S19" s="58">
        <f t="shared" si="24"/>
        <v>4275074.2705158442</v>
      </c>
      <c r="T19" s="58">
        <f t="shared" si="24"/>
        <v>4360248.47163691</v>
      </c>
      <c r="U19" s="58">
        <f t="shared" si="24"/>
        <v>4447126.1567804012</v>
      </c>
      <c r="V19" s="58">
        <f t="shared" si="24"/>
        <v>4535741.395626761</v>
      </c>
      <c r="W19" s="58">
        <f t="shared" si="24"/>
        <v>4626128.9392500464</v>
      </c>
      <c r="X19" s="58">
        <f t="shared" si="24"/>
        <v>4718324.2337457985</v>
      </c>
      <c r="Y19" s="58">
        <f t="shared" si="24"/>
        <v>4812363.4341314659</v>
      </c>
      <c r="Z19" s="58">
        <f t="shared" si="24"/>
        <v>4908283.4185248464</v>
      </c>
    </row>
    <row r="21" spans="2:26">
      <c r="B21" s="15" t="s">
        <v>585</v>
      </c>
      <c r="F21" s="16">
        <f>+F10*Assumptions!$O$95*F14</f>
        <v>0</v>
      </c>
      <c r="G21" s="16">
        <f>+G10*Assumptions!$O$95*G14</f>
        <v>0</v>
      </c>
      <c r="H21" s="16">
        <f>+H10*Assumptions!$O$95*H14</f>
        <v>0</v>
      </c>
      <c r="I21" s="16">
        <f>+I10*Assumptions!$O$95*I14</f>
        <v>891079.99383613071</v>
      </c>
      <c r="J21" s="16">
        <f>+J10*Assumptions!$O$95*J14</f>
        <v>1817803.1874257068</v>
      </c>
      <c r="K21" s="16">
        <f>+K10*Assumptions!$O$95*K14</f>
        <v>1854159.251174221</v>
      </c>
      <c r="L21" s="16">
        <f>+L10*Assumptions!$O$95*L14</f>
        <v>1891242.4361977056</v>
      </c>
      <c r="M21" s="16">
        <f>+M10*Assumptions!$O$95*M14</f>
        <v>1929067.2849216596</v>
      </c>
      <c r="N21" s="16">
        <f>+N10*Assumptions!$O$95*N14</f>
        <v>1967648.6306200931</v>
      </c>
      <c r="O21" s="16">
        <f>+O10*Assumptions!$O$95*O14</f>
        <v>2007001.6032324948</v>
      </c>
      <c r="P21" s="16">
        <f>+P10*Assumptions!$O$95*P14</f>
        <v>2047141.6352971448</v>
      </c>
      <c r="Q21" s="16">
        <f>+Q10*Assumptions!$O$95*Q14</f>
        <v>2088084.4680030877</v>
      </c>
      <c r="R21" s="16">
        <f>+R10*Assumptions!$O$95*R14</f>
        <v>2129846.1573631493</v>
      </c>
      <c r="S21" s="16">
        <f>+S10*Assumptions!$O$95*S14</f>
        <v>2172443.0805104123</v>
      </c>
      <c r="T21" s="16">
        <f>+T10*Assumptions!$O$95*T14</f>
        <v>2215891.9421206205</v>
      </c>
      <c r="U21" s="16">
        <f>+U10*Assumptions!$O$95*U14</f>
        <v>2260209.7809630334</v>
      </c>
      <c r="V21" s="16">
        <f>+V10*Assumptions!$O$95*V14</f>
        <v>2305413.9765822939</v>
      </c>
      <c r="W21" s="16">
        <f>+W10*Assumptions!$O$95*W14</f>
        <v>2351522.2561139399</v>
      </c>
      <c r="X21" s="16">
        <f>+X10*Assumptions!$O$95*X14</f>
        <v>2398552.7012362187</v>
      </c>
      <c r="Y21" s="16">
        <f>+Y10*Assumptions!$O$95*Y14</f>
        <v>2446523.755260943</v>
      </c>
      <c r="Z21" s="16">
        <f>+Z10*Assumptions!$O$95*Z14</f>
        <v>2495454.230366162</v>
      </c>
    </row>
    <row r="22" spans="2:26">
      <c r="B22" s="15" t="s">
        <v>595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</row>
    <row r="23" spans="2:26">
      <c r="B23" s="62" t="s">
        <v>586</v>
      </c>
      <c r="C23" s="62"/>
      <c r="D23" s="62"/>
      <c r="E23" s="62"/>
      <c r="F23" s="58">
        <v>0</v>
      </c>
      <c r="G23" s="58">
        <v>0</v>
      </c>
      <c r="H23" s="58">
        <v>0</v>
      </c>
      <c r="I23" s="58">
        <f>SUM(I21:I22)</f>
        <v>891079.99383613071</v>
      </c>
      <c r="J23" s="58">
        <f>SUM(J21:J22)</f>
        <v>1817803.1874257068</v>
      </c>
      <c r="K23" s="58">
        <f>SUM(K21:K22)</f>
        <v>1854159.251174221</v>
      </c>
      <c r="L23" s="58">
        <f>SUM(L21:L22)</f>
        <v>1891242.4361977056</v>
      </c>
      <c r="M23" s="58">
        <f>SUM(M21:M22)</f>
        <v>1929067.2849216596</v>
      </c>
      <c r="N23" s="58">
        <f t="shared" ref="N23:Z23" si="25">+SUM(N21:N22)</f>
        <v>1967648.6306200931</v>
      </c>
      <c r="O23" s="58">
        <f t="shared" si="25"/>
        <v>2007001.6032324948</v>
      </c>
      <c r="P23" s="58">
        <f t="shared" si="25"/>
        <v>2047141.6352971448</v>
      </c>
      <c r="Q23" s="58">
        <f t="shared" si="25"/>
        <v>2088084.4680030877</v>
      </c>
      <c r="R23" s="58">
        <f t="shared" si="25"/>
        <v>2129846.1573631493</v>
      </c>
      <c r="S23" s="58">
        <f t="shared" si="25"/>
        <v>2172443.0805104123</v>
      </c>
      <c r="T23" s="58">
        <f t="shared" si="25"/>
        <v>2215891.9421206205</v>
      </c>
      <c r="U23" s="58">
        <f t="shared" si="25"/>
        <v>2260209.7809630334</v>
      </c>
      <c r="V23" s="58">
        <f t="shared" si="25"/>
        <v>2305413.9765822939</v>
      </c>
      <c r="W23" s="58">
        <f t="shared" si="25"/>
        <v>2351522.2561139399</v>
      </c>
      <c r="X23" s="58">
        <f t="shared" si="25"/>
        <v>2398552.7012362187</v>
      </c>
      <c r="Y23" s="58">
        <f t="shared" si="25"/>
        <v>2446523.755260943</v>
      </c>
      <c r="Z23" s="58">
        <f t="shared" si="25"/>
        <v>2495454.230366162</v>
      </c>
    </row>
    <row r="24" spans="2:26">
      <c r="B24" s="15"/>
    </row>
    <row r="25" spans="2:26">
      <c r="B25" s="653" t="s">
        <v>587</v>
      </c>
      <c r="C25" s="653"/>
      <c r="D25" s="653"/>
      <c r="E25" s="653"/>
      <c r="F25" s="544">
        <v>0</v>
      </c>
      <c r="G25" s="544">
        <v>0</v>
      </c>
      <c r="H25" s="544">
        <v>0</v>
      </c>
      <c r="I25" s="544">
        <f t="shared" ref="I25:Z25" si="26">I19-I23</f>
        <v>863914.89046740788</v>
      </c>
      <c r="J25" s="544">
        <f t="shared" si="26"/>
        <v>1762059.0922642632</v>
      </c>
      <c r="K25" s="544">
        <f t="shared" si="26"/>
        <v>1796972.9898202994</v>
      </c>
      <c r="L25" s="544">
        <f t="shared" si="26"/>
        <v>1832585.1653274568</v>
      </c>
      <c r="M25" s="544">
        <f t="shared" si="26"/>
        <v>1868909.5843447568</v>
      </c>
      <c r="N25" s="544">
        <f t="shared" si="26"/>
        <v>1905960.4917424028</v>
      </c>
      <c r="O25" s="544">
        <f t="shared" si="26"/>
        <v>1943752.4172880019</v>
      </c>
      <c r="P25" s="544">
        <f t="shared" si="26"/>
        <v>1982300.1813445133</v>
      </c>
      <c r="Q25" s="544">
        <f t="shared" si="26"/>
        <v>2021618.9006821546</v>
      </c>
      <c r="R25" s="544">
        <f t="shared" si="26"/>
        <v>2061723.9944065488</v>
      </c>
      <c r="S25" s="544">
        <f t="shared" si="26"/>
        <v>2102631.1900054319</v>
      </c>
      <c r="T25" s="544">
        <f t="shared" si="26"/>
        <v>2144356.5295162895</v>
      </c>
      <c r="U25" s="544">
        <f t="shared" si="26"/>
        <v>2186916.3758173678</v>
      </c>
      <c r="V25" s="544">
        <f t="shared" si="26"/>
        <v>2230327.4190444672</v>
      </c>
      <c r="W25" s="544">
        <f t="shared" si="26"/>
        <v>2274606.6831361065</v>
      </c>
      <c r="X25" s="544">
        <f t="shared" si="26"/>
        <v>2319771.5325095798</v>
      </c>
      <c r="Y25" s="544">
        <f t="shared" si="26"/>
        <v>2365839.6788705229</v>
      </c>
      <c r="Z25" s="544">
        <f t="shared" si="26"/>
        <v>2412829.1881586844</v>
      </c>
    </row>
    <row r="26" spans="2:26">
      <c r="B26" s="654" t="s">
        <v>588</v>
      </c>
      <c r="C26" s="655"/>
      <c r="D26" s="655"/>
      <c r="E26" s="655"/>
      <c r="F26" s="656" t="s">
        <v>401</v>
      </c>
      <c r="G26" s="656">
        <v>0</v>
      </c>
      <c r="H26" s="656" t="s">
        <v>401</v>
      </c>
      <c r="I26" s="657">
        <f t="shared" ref="I26:Z26" si="27">+IFERROR(I25/I19,"")</f>
        <v>0.4922606317512136</v>
      </c>
      <c r="J26" s="657">
        <f t="shared" si="27"/>
        <v>0.49221421233468915</v>
      </c>
      <c r="K26" s="657">
        <f t="shared" si="27"/>
        <v>0.49216869486239906</v>
      </c>
      <c r="L26" s="657">
        <f t="shared" si="27"/>
        <v>0.49212406196701686</v>
      </c>
      <c r="M26" s="657">
        <f t="shared" si="27"/>
        <v>0.49208029660953118</v>
      </c>
      <c r="N26" s="657">
        <f t="shared" si="27"/>
        <v>0.49203738207327602</v>
      </c>
      <c r="O26" s="657">
        <f t="shared" si="27"/>
        <v>0.49199530195806013</v>
      </c>
      <c r="P26" s="657">
        <f t="shared" si="27"/>
        <v>0.49195404017439398</v>
      </c>
      <c r="Q26" s="657">
        <f t="shared" si="27"/>
        <v>0.49191358093781395</v>
      </c>
      <c r="R26" s="657">
        <f t="shared" si="27"/>
        <v>0.49187390876330211</v>
      </c>
      <c r="S26" s="657">
        <f t="shared" si="27"/>
        <v>0.49183500845979961</v>
      </c>
      <c r="T26" s="657">
        <f t="shared" si="27"/>
        <v>0.49179686512481302</v>
      </c>
      <c r="U26" s="657">
        <f t="shared" si="27"/>
        <v>0.49175946413911403</v>
      </c>
      <c r="V26" s="657">
        <f t="shared" si="27"/>
        <v>0.49172279116152617</v>
      </c>
      <c r="W26" s="657">
        <f t="shared" si="27"/>
        <v>0.49168683212380343</v>
      </c>
      <c r="X26" s="657">
        <f t="shared" si="27"/>
        <v>0.49165157322559666</v>
      </c>
      <c r="Y26" s="657">
        <f t="shared" si="27"/>
        <v>0.49161700092950461</v>
      </c>
      <c r="Z26" s="657">
        <f t="shared" si="27"/>
        <v>0.49158310195621202</v>
      </c>
    </row>
    <row r="27" spans="2:26">
      <c r="B27" s="654" t="s">
        <v>589</v>
      </c>
      <c r="C27" s="655"/>
      <c r="D27" s="655"/>
      <c r="E27" s="655"/>
      <c r="F27" s="658">
        <v>0</v>
      </c>
      <c r="G27" s="658">
        <v>0</v>
      </c>
      <c r="H27" s="658">
        <v>0</v>
      </c>
      <c r="I27" s="658">
        <f>I25/Assumptions!$O$128</f>
        <v>15024606.790737528</v>
      </c>
      <c r="J27" s="658">
        <f>J25/Assumptions!$O$128</f>
        <v>30644505.952421967</v>
      </c>
      <c r="K27" s="658">
        <f>K25/Assumptions!$O$128</f>
        <v>31251704.170787815</v>
      </c>
      <c r="L27" s="658">
        <f>L25/Assumptions!$O$128</f>
        <v>31871046.353520986</v>
      </c>
      <c r="M27" s="658">
        <f>M25/Assumptions!$O$128</f>
        <v>32502775.379908811</v>
      </c>
      <c r="N27" s="658">
        <f>N25/Assumptions!$O$128</f>
        <v>33147138.986824393</v>
      </c>
      <c r="O27" s="658">
        <f>O25/Assumptions!$O$128</f>
        <v>33804389.865878291</v>
      </c>
      <c r="P27" s="658">
        <f>P25/Assumptions!$O$128</f>
        <v>34474785.762513272</v>
      </c>
      <c r="Q27" s="658">
        <f>Q25/Assumptions!$O$128</f>
        <v>35158589.57708095</v>
      </c>
      <c r="R27" s="658">
        <f>R25/Assumptions!$O$128</f>
        <v>35856069.46793998</v>
      </c>
      <c r="S27" s="658">
        <f>S25/Assumptions!$O$128</f>
        <v>36567498.956616208</v>
      </c>
      <c r="T27" s="658">
        <f>T25/Assumptions!$O$128</f>
        <v>37293157.035065904</v>
      </c>
      <c r="U27" s="658">
        <f>U25/Assumptions!$O$128</f>
        <v>38033328.275084659</v>
      </c>
      <c r="V27" s="658">
        <f>V25/Assumptions!$O$128</f>
        <v>38788302.939903773</v>
      </c>
      <c r="W27" s="658">
        <f>W25/Assumptions!$O$128</f>
        <v>39558377.098019242</v>
      </c>
      <c r="X27" s="658">
        <f>X25/Assumptions!$O$128</f>
        <v>40343852.73929704</v>
      </c>
      <c r="Y27" s="658">
        <f>Y25/Assumptions!$O$128</f>
        <v>41145037.893400393</v>
      </c>
      <c r="Z27" s="658">
        <f>Z25/Assumptions!$O$128</f>
        <v>41962246.750585817</v>
      </c>
    </row>
    <row r="29" spans="2:26">
      <c r="B29" s="73" t="s">
        <v>590</v>
      </c>
      <c r="C29" s="74"/>
      <c r="D29" s="74"/>
      <c r="E29" s="74"/>
      <c r="F29" s="75">
        <f>+Assumptions!$G$22</f>
        <v>44926</v>
      </c>
      <c r="G29" s="75">
        <f>+EOMONTH(F29,12)</f>
        <v>45291</v>
      </c>
      <c r="H29" s="75">
        <f t="shared" ref="H29:Z29" si="28">+EOMONTH(G29,12)</f>
        <v>45657</v>
      </c>
      <c r="I29" s="75">
        <f t="shared" si="28"/>
        <v>46022</v>
      </c>
      <c r="J29" s="75">
        <f t="shared" si="28"/>
        <v>46387</v>
      </c>
      <c r="K29" s="75">
        <f t="shared" si="28"/>
        <v>46752</v>
      </c>
      <c r="L29" s="75">
        <f t="shared" si="28"/>
        <v>47118</v>
      </c>
      <c r="M29" s="75">
        <f t="shared" si="28"/>
        <v>47483</v>
      </c>
      <c r="N29" s="75">
        <f t="shared" si="28"/>
        <v>47848</v>
      </c>
      <c r="O29" s="75">
        <f t="shared" si="28"/>
        <v>48213</v>
      </c>
      <c r="P29" s="75">
        <f t="shared" si="28"/>
        <v>48579</v>
      </c>
      <c r="Q29" s="75">
        <f t="shared" si="28"/>
        <v>48944</v>
      </c>
      <c r="R29" s="75">
        <f t="shared" si="28"/>
        <v>49309</v>
      </c>
      <c r="S29" s="75">
        <f t="shared" si="28"/>
        <v>49674</v>
      </c>
      <c r="T29" s="75">
        <f t="shared" si="28"/>
        <v>50040</v>
      </c>
      <c r="U29" s="75">
        <f t="shared" si="28"/>
        <v>50405</v>
      </c>
      <c r="V29" s="75">
        <f t="shared" si="28"/>
        <v>50770</v>
      </c>
      <c r="W29" s="75">
        <f t="shared" si="28"/>
        <v>51135</v>
      </c>
      <c r="X29" s="75">
        <f t="shared" si="28"/>
        <v>51501</v>
      </c>
      <c r="Y29" s="75">
        <f t="shared" si="28"/>
        <v>51866</v>
      </c>
      <c r="Z29" s="75">
        <f t="shared" si="28"/>
        <v>52231</v>
      </c>
    </row>
    <row r="30" spans="2:26">
      <c r="B30" s="15" t="s">
        <v>575</v>
      </c>
      <c r="C30" s="15"/>
      <c r="D30" s="20"/>
      <c r="E30" s="20"/>
      <c r="F30" s="22">
        <f>+IF(AND(F29&gt;=Assumptions!$G$26,F29&lt;Assumptions!$G$28),Assumptions!$G$83/ROUNDUP((Assumptions!$G$27/12),0),0)</f>
        <v>0</v>
      </c>
      <c r="G30" s="22">
        <f>+IF(AND(G29&gt;=Assumptions!$G$26,G29&lt;Assumptions!$G$28),Assumptions!$G$83/ROUNDUP((Assumptions!$G$27/12),0),0)</f>
        <v>0</v>
      </c>
      <c r="H30" s="22">
        <f>+IF(AND(H29&gt;=Assumptions!$G$26,H29&lt;Assumptions!$G$28),Assumptions!$G$83/ROUNDUP((Assumptions!$G$27/12),0),0)</f>
        <v>0</v>
      </c>
      <c r="I30" s="22">
        <f>+IF(AND(I29&gt;=Assumptions!$G$26,I29&lt;Assumptions!$G$28),Assumptions!$G$83/ROUNDUP((Assumptions!$G$27/12),0),0)</f>
        <v>146476.93008545224</v>
      </c>
      <c r="J30" s="22">
        <f>+IF(AND(J29&gt;=Assumptions!$G$26,J29&lt;Assumptions!$G$28),Assumptions!$G$83/ROUNDUP((Assumptions!$G$27/12),0),0)</f>
        <v>146476.93008545224</v>
      </c>
      <c r="K30" s="22">
        <f>+IF(AND(K29&gt;=Assumptions!$G$26,K29&lt;Assumptions!$G$28),Assumptions!$G$83/ROUNDUP((Assumptions!$G$27/12),0),0)</f>
        <v>0</v>
      </c>
      <c r="L30" s="22">
        <f>+IF(AND(L29&gt;=Assumptions!$G$26,L29&lt;Assumptions!$G$28),Assumptions!$G$83/ROUNDUP((Assumptions!$G$27/12),0),0)</f>
        <v>0</v>
      </c>
      <c r="M30" s="22">
        <f>+IF(AND(M29&gt;=Assumptions!$G$26,M29&lt;Assumptions!$G$28),Assumptions!$G$83/ROUNDUP((Assumptions!$G$27/12),0),0)</f>
        <v>0</v>
      </c>
      <c r="N30" s="22">
        <f>+IF(AND(N29&gt;=Assumptions!$G$26,N29&lt;Assumptions!$G$28),Assumptions!$G$83/ROUNDUP((Assumptions!$G$27/12),0),0)</f>
        <v>0</v>
      </c>
      <c r="O30" s="22">
        <f>+IF(AND(O29&gt;=Assumptions!$G$26,O29&lt;Assumptions!$G$28),Assumptions!$G$83/ROUNDUP((Assumptions!$G$27/12),0),0)</f>
        <v>0</v>
      </c>
      <c r="P30" s="22">
        <f>+IF(AND(P29&gt;=Assumptions!$G$26,P29&lt;Assumptions!$G$28),Assumptions!$G$83/ROUNDUP((Assumptions!$G$27/12),0),0)</f>
        <v>0</v>
      </c>
      <c r="Q30" s="22">
        <f>+IF(AND(Q29&gt;=Assumptions!$G$26,Q29&lt;Assumptions!$G$28),Assumptions!$G$83/ROUNDUP((Assumptions!$G$27/12),0),0)</f>
        <v>0</v>
      </c>
      <c r="R30" s="22">
        <f>+IF(AND(R29&gt;=Assumptions!$G$26,R29&lt;Assumptions!$G$28),Assumptions!$G$83/ROUNDUP((Assumptions!$G$27/12),0),0)</f>
        <v>0</v>
      </c>
      <c r="S30" s="22">
        <f>+IF(AND(S29&gt;=Assumptions!$G$26,S29&lt;Assumptions!$G$28),Assumptions!$G$83/ROUNDUP((Assumptions!$G$27/12),0),0)</f>
        <v>0</v>
      </c>
      <c r="T30" s="22">
        <f>+IF(AND(T29&gt;=Assumptions!$G$26,T29&lt;Assumptions!$G$28),Assumptions!$G$83/ROUNDUP((Assumptions!$G$27/12),0),0)</f>
        <v>0</v>
      </c>
      <c r="U30" s="22">
        <f>+IF(AND(U29&gt;=Assumptions!$G$26,U29&lt;Assumptions!$G$28),Assumptions!$G$83/ROUNDUP((Assumptions!$G$27/12),0),0)</f>
        <v>0</v>
      </c>
      <c r="V30" s="22">
        <f>+IF(AND(V29&gt;=Assumptions!$G$26,V29&lt;Assumptions!$G$28),Assumptions!$G$83/ROUNDUP((Assumptions!$G$27/12),0),0)</f>
        <v>0</v>
      </c>
      <c r="W30" s="22">
        <f>+IF(AND(W29&gt;=Assumptions!$G$26,W29&lt;Assumptions!$G$28),Assumptions!$G$83/ROUNDUP((Assumptions!$G$27/12),0),0)</f>
        <v>0</v>
      </c>
      <c r="X30" s="22">
        <f>+IF(AND(X29&gt;=Assumptions!$G$26,X29&lt;Assumptions!$G$28),Assumptions!$G$83/ROUNDUP((Assumptions!$G$27/12),0),0)</f>
        <v>0</v>
      </c>
      <c r="Y30" s="22">
        <f>+IF(AND(Y29&gt;=Assumptions!$G$26,Y29&lt;Assumptions!$G$28),Assumptions!$G$83/ROUNDUP((Assumptions!$G$27/12),0),0)</f>
        <v>0</v>
      </c>
      <c r="Z30" s="22">
        <f>+IF(AND(Z29&gt;=Assumptions!$G$26,Z29&lt;Assumptions!$G$28),Assumptions!$G$83/ROUNDUP((Assumptions!$G$27/12),0),0)</f>
        <v>0</v>
      </c>
    </row>
    <row r="31" spans="2:26">
      <c r="B31" s="15" t="s">
        <v>576</v>
      </c>
      <c r="C31" s="15"/>
      <c r="D31" s="22">
        <v>0</v>
      </c>
      <c r="E31" s="22"/>
      <c r="F31" s="22">
        <f>+D31+F30</f>
        <v>0</v>
      </c>
      <c r="G31" s="22">
        <f t="shared" ref="G31:Z31" si="29">+F31+G30</f>
        <v>0</v>
      </c>
      <c r="H31" s="22">
        <f t="shared" si="29"/>
        <v>0</v>
      </c>
      <c r="I31" s="22">
        <f t="shared" si="29"/>
        <v>146476.93008545224</v>
      </c>
      <c r="J31" s="22">
        <f t="shared" si="29"/>
        <v>292953.86017090449</v>
      </c>
      <c r="K31" s="22">
        <f t="shared" si="29"/>
        <v>292953.86017090449</v>
      </c>
      <c r="L31" s="22">
        <f t="shared" si="29"/>
        <v>292953.86017090449</v>
      </c>
      <c r="M31" s="22">
        <f t="shared" si="29"/>
        <v>292953.86017090449</v>
      </c>
      <c r="N31" s="22">
        <f t="shared" si="29"/>
        <v>292953.86017090449</v>
      </c>
      <c r="O31" s="22">
        <f t="shared" si="29"/>
        <v>292953.86017090449</v>
      </c>
      <c r="P31" s="22">
        <f t="shared" si="29"/>
        <v>292953.86017090449</v>
      </c>
      <c r="Q31" s="22">
        <f t="shared" si="29"/>
        <v>292953.86017090449</v>
      </c>
      <c r="R31" s="22">
        <f t="shared" si="29"/>
        <v>292953.86017090449</v>
      </c>
      <c r="S31" s="22">
        <f t="shared" si="29"/>
        <v>292953.86017090449</v>
      </c>
      <c r="T31" s="22">
        <f t="shared" si="29"/>
        <v>292953.86017090449</v>
      </c>
      <c r="U31" s="22">
        <f t="shared" si="29"/>
        <v>292953.86017090449</v>
      </c>
      <c r="V31" s="22">
        <f t="shared" si="29"/>
        <v>292953.86017090449</v>
      </c>
      <c r="W31" s="22">
        <f t="shared" si="29"/>
        <v>292953.86017090449</v>
      </c>
      <c r="X31" s="22">
        <f t="shared" si="29"/>
        <v>292953.86017090449</v>
      </c>
      <c r="Y31" s="22">
        <f t="shared" si="29"/>
        <v>292953.86017090449</v>
      </c>
      <c r="Z31" s="22">
        <f t="shared" si="29"/>
        <v>292953.86017090449</v>
      </c>
    </row>
    <row r="32" spans="2:26">
      <c r="B32" s="15" t="s">
        <v>577</v>
      </c>
      <c r="C32" s="15"/>
      <c r="D32" s="22"/>
      <c r="E32" s="22"/>
      <c r="F32" s="22">
        <f>+F33-E33</f>
        <v>0</v>
      </c>
      <c r="G32" s="22">
        <f t="shared" ref="G32" si="30">+G33-F33</f>
        <v>0</v>
      </c>
      <c r="H32" s="22">
        <f t="shared" ref="H32" si="31">+H33-G33</f>
        <v>0</v>
      </c>
      <c r="I32" s="22">
        <f t="shared" ref="I32" si="32">+I33-H33</f>
        <v>208.72662326263244</v>
      </c>
      <c r="J32" s="22">
        <f t="shared" ref="J32" si="33">+J33-I33</f>
        <v>208.72662326263244</v>
      </c>
      <c r="K32" s="22">
        <f t="shared" ref="K32" si="34">+K33-J33</f>
        <v>0</v>
      </c>
      <c r="L32" s="22">
        <f t="shared" ref="L32" si="35">+L33-K33</f>
        <v>0</v>
      </c>
      <c r="M32" s="22">
        <f t="shared" ref="M32" si="36">+M33-L33</f>
        <v>0</v>
      </c>
      <c r="N32" s="22">
        <f t="shared" ref="N32" si="37">+N33-M33</f>
        <v>0</v>
      </c>
      <c r="O32" s="22">
        <f t="shared" ref="O32" si="38">+O33-N33</f>
        <v>0</v>
      </c>
      <c r="P32" s="22">
        <f t="shared" ref="P32" si="39">+P33-O33</f>
        <v>0</v>
      </c>
      <c r="Q32" s="22">
        <f t="shared" ref="Q32" si="40">+Q33-P33</f>
        <v>0</v>
      </c>
      <c r="R32" s="22">
        <f t="shared" ref="R32" si="41">+R33-Q33</f>
        <v>0</v>
      </c>
      <c r="S32" s="22">
        <f t="shared" ref="S32" si="42">+S33-R33</f>
        <v>0</v>
      </c>
      <c r="T32" s="22">
        <f t="shared" ref="T32" si="43">+T33-S33</f>
        <v>0</v>
      </c>
      <c r="U32" s="22">
        <f t="shared" ref="U32" si="44">+U33-T33</f>
        <v>0</v>
      </c>
      <c r="V32" s="22">
        <f t="shared" ref="V32" si="45">+V33-U33</f>
        <v>0</v>
      </c>
      <c r="W32" s="22">
        <f t="shared" ref="W32" si="46">+W33-V33</f>
        <v>0</v>
      </c>
      <c r="X32" s="22">
        <f t="shared" ref="X32" si="47">+X33-W33</f>
        <v>0</v>
      </c>
      <c r="Y32" s="22">
        <f t="shared" ref="Y32" si="48">+Y33-X33</f>
        <v>0</v>
      </c>
      <c r="Z32" s="22">
        <f t="shared" ref="Z32" si="49">+Z33-Y33</f>
        <v>0</v>
      </c>
    </row>
    <row r="33" spans="1:26">
      <c r="B33" s="15" t="s">
        <v>578</v>
      </c>
      <c r="C33" s="15"/>
      <c r="D33" s="22"/>
      <c r="E33" s="22"/>
      <c r="F33" s="22">
        <f>+F34*Assumptions!$G$84</f>
        <v>0</v>
      </c>
      <c r="G33" s="22">
        <f>+G34*Assumptions!$G$84</f>
        <v>0</v>
      </c>
      <c r="H33" s="22">
        <f>+H34*Assumptions!$G$84</f>
        <v>0</v>
      </c>
      <c r="I33" s="22">
        <f>+I34*Assumptions!$G$84</f>
        <v>208.72662326263244</v>
      </c>
      <c r="J33" s="22">
        <f>+J34*Assumptions!$G$84</f>
        <v>417.45324652526489</v>
      </c>
      <c r="K33" s="22">
        <f>+K34*Assumptions!$G$84</f>
        <v>417.45324652526489</v>
      </c>
      <c r="L33" s="22">
        <f>+L34*Assumptions!$G$84</f>
        <v>417.45324652526489</v>
      </c>
      <c r="M33" s="22">
        <f>+M34*Assumptions!$G$84</f>
        <v>417.45324652526489</v>
      </c>
      <c r="N33" s="22">
        <f>+N34*Assumptions!$G$84</f>
        <v>417.45324652526489</v>
      </c>
      <c r="O33" s="22">
        <f>+O34*Assumptions!$G$84</f>
        <v>417.45324652526489</v>
      </c>
      <c r="P33" s="22">
        <f>+P34*Assumptions!$G$84</f>
        <v>417.45324652526489</v>
      </c>
      <c r="Q33" s="22">
        <f>+Q34*Assumptions!$G$84</f>
        <v>417.45324652526489</v>
      </c>
      <c r="R33" s="22">
        <f>+R34*Assumptions!$G$84</f>
        <v>417.45324652526489</v>
      </c>
      <c r="S33" s="22">
        <f>+S34*Assumptions!$G$84</f>
        <v>417.45324652526489</v>
      </c>
      <c r="T33" s="22">
        <f>+T34*Assumptions!$G$84</f>
        <v>417.45324652526489</v>
      </c>
      <c r="U33" s="22">
        <f>+U34*Assumptions!$G$84</f>
        <v>417.45324652526489</v>
      </c>
      <c r="V33" s="22">
        <f>+V34*Assumptions!$G$84</f>
        <v>417.45324652526489</v>
      </c>
      <c r="W33" s="22">
        <f>+W34*Assumptions!$G$84</f>
        <v>417.45324652526489</v>
      </c>
      <c r="X33" s="22">
        <f>+X34*Assumptions!$G$84</f>
        <v>417.45324652526489</v>
      </c>
      <c r="Y33" s="22">
        <f>+Y34*Assumptions!$G$84</f>
        <v>417.45324652526489</v>
      </c>
      <c r="Z33" s="22">
        <f>+Z34*Assumptions!$G$84</f>
        <v>417.45324652526489</v>
      </c>
    </row>
    <row r="34" spans="1:26">
      <c r="B34" s="15" t="s">
        <v>579</v>
      </c>
      <c r="C34" s="15"/>
      <c r="D34" s="22"/>
      <c r="E34" s="22"/>
      <c r="F34" s="49">
        <f>+F31/SUM($F30:$Z30)</f>
        <v>0</v>
      </c>
      <c r="G34" s="49">
        <f t="shared" ref="G34:Z34" si="50">+G31/SUM($F30:$Z30)</f>
        <v>0</v>
      </c>
      <c r="H34" s="49">
        <f t="shared" si="50"/>
        <v>0</v>
      </c>
      <c r="I34" s="49">
        <f t="shared" si="50"/>
        <v>0.5</v>
      </c>
      <c r="J34" s="49">
        <f t="shared" si="50"/>
        <v>1</v>
      </c>
      <c r="K34" s="49">
        <f t="shared" si="50"/>
        <v>1</v>
      </c>
      <c r="L34" s="49">
        <f t="shared" si="50"/>
        <v>1</v>
      </c>
      <c r="M34" s="49">
        <f t="shared" si="50"/>
        <v>1</v>
      </c>
      <c r="N34" s="49">
        <f t="shared" si="50"/>
        <v>1</v>
      </c>
      <c r="O34" s="49">
        <f t="shared" si="50"/>
        <v>1</v>
      </c>
      <c r="P34" s="49">
        <f t="shared" si="50"/>
        <v>1</v>
      </c>
      <c r="Q34" s="49">
        <f t="shared" si="50"/>
        <v>1</v>
      </c>
      <c r="R34" s="49">
        <f t="shared" si="50"/>
        <v>1</v>
      </c>
      <c r="S34" s="49">
        <f t="shared" si="50"/>
        <v>1</v>
      </c>
      <c r="T34" s="49">
        <f t="shared" si="50"/>
        <v>1</v>
      </c>
      <c r="U34" s="49">
        <f t="shared" si="50"/>
        <v>1</v>
      </c>
      <c r="V34" s="49">
        <f t="shared" si="50"/>
        <v>1</v>
      </c>
      <c r="W34" s="49">
        <f t="shared" si="50"/>
        <v>1</v>
      </c>
      <c r="X34" s="49">
        <f t="shared" si="50"/>
        <v>1</v>
      </c>
      <c r="Y34" s="49">
        <f t="shared" si="50"/>
        <v>1</v>
      </c>
      <c r="Z34" s="49">
        <f t="shared" si="50"/>
        <v>1</v>
      </c>
    </row>
    <row r="35" spans="1:26">
      <c r="B35" s="15"/>
      <c r="C35" s="15"/>
      <c r="D35" s="20"/>
      <c r="E35" s="2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>
      <c r="B36" s="15" t="s">
        <v>580</v>
      </c>
      <c r="C36" s="15"/>
      <c r="D36" s="22"/>
      <c r="E36" s="22"/>
      <c r="F36" s="49">
        <v>1</v>
      </c>
      <c r="G36" s="49">
        <f>+F36*(1+Assumptions!$O$64)</f>
        <v>1.03</v>
      </c>
      <c r="H36" s="49">
        <f>+G36*(1+Assumptions!$O$64)</f>
        <v>1.0609</v>
      </c>
      <c r="I36" s="49">
        <f>+H36*(1+Assumptions!$O$64)</f>
        <v>1.092727</v>
      </c>
      <c r="J36" s="49">
        <f>+I36*(1+Assumptions!$O$64)</f>
        <v>1.1255088100000001</v>
      </c>
      <c r="K36" s="49">
        <f>+J36*(1+Assumptions!$O$64)</f>
        <v>1.1592740743000001</v>
      </c>
      <c r="L36" s="49">
        <f>+K36*(1+Assumptions!$O$64)</f>
        <v>1.1940522965290001</v>
      </c>
      <c r="M36" s="49">
        <f>+L36*(1+Assumptions!$O$64)</f>
        <v>1.2298738654248702</v>
      </c>
      <c r="N36" s="49">
        <f>+M36*(1+Assumptions!$O$64)</f>
        <v>1.2667700813876164</v>
      </c>
      <c r="O36" s="49">
        <f>+N36*(1+Assumptions!$O$64)</f>
        <v>1.3047731838292449</v>
      </c>
      <c r="P36" s="49">
        <f>+O36*(1+Assumptions!$O$64)</f>
        <v>1.3439163793441222</v>
      </c>
      <c r="Q36" s="49">
        <f>+P36*(1+Assumptions!$O$64)</f>
        <v>1.3842338707244459</v>
      </c>
      <c r="R36" s="49">
        <f>+Q36*(1+Assumptions!$O$64)</f>
        <v>1.4257608868461793</v>
      </c>
      <c r="S36" s="49">
        <f>+R36*(1+Assumptions!$O$64)</f>
        <v>1.4685337134515648</v>
      </c>
      <c r="T36" s="49">
        <f>+S36*(1+Assumptions!$O$64)</f>
        <v>1.5125897248551119</v>
      </c>
      <c r="U36" s="49">
        <f>+T36*(1+Assumptions!$O$64)</f>
        <v>1.5579674166007653</v>
      </c>
      <c r="V36" s="49">
        <f>+U36*(1+Assumptions!$O$64)</f>
        <v>1.6047064390987884</v>
      </c>
      <c r="W36" s="49">
        <f>+V36*(1+Assumptions!$O$64)</f>
        <v>1.652847632271752</v>
      </c>
      <c r="X36" s="49">
        <f>+W36*(1+Assumptions!$O$64)</f>
        <v>1.7024330612399046</v>
      </c>
      <c r="Y36" s="49">
        <f>+X36*(1+Assumptions!$O$64)</f>
        <v>1.7535060530771018</v>
      </c>
      <c r="Z36" s="49">
        <f>+Y36*(1+Assumptions!$O$64)</f>
        <v>1.806111234669415</v>
      </c>
    </row>
    <row r="37" spans="1:26">
      <c r="B37" s="15" t="s">
        <v>581</v>
      </c>
      <c r="C37" s="15"/>
      <c r="D37" s="22"/>
      <c r="E37" s="22"/>
      <c r="F37" s="49">
        <v>1</v>
      </c>
      <c r="G37" s="49">
        <f>+F37*(1+Assumptions!$O$77)</f>
        <v>1.02</v>
      </c>
      <c r="H37" s="49">
        <f>+G37*(1+Assumptions!$O$77)</f>
        <v>1.0404</v>
      </c>
      <c r="I37" s="49">
        <f>+H37*(1+Assumptions!$O$77)</f>
        <v>1.0612079999999999</v>
      </c>
      <c r="J37" s="49">
        <f>+I37*(1+Assumptions!$O$77)</f>
        <v>1.08243216</v>
      </c>
      <c r="K37" s="49">
        <f>+J37*(1+Assumptions!$O$77)</f>
        <v>1.1040808032</v>
      </c>
      <c r="L37" s="49">
        <f>+K37*(1+Assumptions!$O$77)</f>
        <v>1.1261624192640001</v>
      </c>
      <c r="M37" s="49">
        <f>+L37*(1+Assumptions!$O$77)</f>
        <v>1.14868566764928</v>
      </c>
      <c r="N37" s="49">
        <f>+M37*(1+Assumptions!$O$77)</f>
        <v>1.1716593810022657</v>
      </c>
      <c r="O37" s="49">
        <f>+N37*(1+Assumptions!$O$77)</f>
        <v>1.1950925686223111</v>
      </c>
      <c r="P37" s="49">
        <f>+O37*(1+Assumptions!$O$77)</f>
        <v>1.2189944199947573</v>
      </c>
      <c r="Q37" s="49">
        <f>+P37*(1+Assumptions!$O$77)</f>
        <v>1.2433743083946525</v>
      </c>
      <c r="R37" s="49">
        <f>+Q37*(1+Assumptions!$O$77)</f>
        <v>1.2682417945625455</v>
      </c>
      <c r="S37" s="49">
        <f>+R37*(1+Assumptions!$O$77)</f>
        <v>1.2936066304537963</v>
      </c>
      <c r="T37" s="49">
        <f>+S37*(1+Assumptions!$O$77)</f>
        <v>1.3194787630628724</v>
      </c>
      <c r="U37" s="49">
        <f>+T37*(1+Assumptions!$O$77)</f>
        <v>1.3458683383241299</v>
      </c>
      <c r="V37" s="49">
        <f>+U37*(1+Assumptions!$O$77)</f>
        <v>1.3727857050906125</v>
      </c>
      <c r="W37" s="49">
        <f>+V37*(1+Assumptions!$O$77)</f>
        <v>1.4002414191924248</v>
      </c>
      <c r="X37" s="49">
        <f>+W37*(1+Assumptions!$O$77)</f>
        <v>1.4282462475762734</v>
      </c>
      <c r="Y37" s="49">
        <f>+X37*(1+Assumptions!$O$77)</f>
        <v>1.4568111725277988</v>
      </c>
      <c r="Z37" s="49">
        <f>+Y37*(1+Assumptions!$O$77)</f>
        <v>1.4859473959783549</v>
      </c>
    </row>
    <row r="38" spans="1:26">
      <c r="B38" s="15"/>
      <c r="C38" s="15"/>
      <c r="D38" s="20"/>
      <c r="E38" s="2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>
      <c r="B39" s="15" t="s">
        <v>582</v>
      </c>
      <c r="C39" s="15"/>
      <c r="D39" s="20"/>
      <c r="E39" s="20"/>
      <c r="F39" s="16">
        <f>+F34*Assumptions!$G$82*F36</f>
        <v>0</v>
      </c>
      <c r="G39" s="16">
        <f>+G34*Assumptions!$G$82*G36</f>
        <v>0</v>
      </c>
      <c r="H39" s="16">
        <f>+H34*Assumptions!$G$82*H36</f>
        <v>0</v>
      </c>
      <c r="I39" s="16">
        <f>+I34*Assumptions!$G$82*I36</f>
        <v>5917321.6166585321</v>
      </c>
      <c r="J39" s="16">
        <f>+J34*Assumptions!$G$82*J36</f>
        <v>12189682.530316578</v>
      </c>
      <c r="K39" s="16">
        <f>+K34*Assumptions!$G$82*K36</f>
        <v>12555373.006226074</v>
      </c>
      <c r="L39" s="16">
        <f>+L34*Assumptions!$G$82*L36</f>
        <v>12932034.196412858</v>
      </c>
      <c r="M39" s="16">
        <f>+M34*Assumptions!$G$82*M36</f>
        <v>13319995.222305244</v>
      </c>
      <c r="N39" s="16">
        <f>+N34*Assumptions!$G$82*N36</f>
        <v>13719595.078974402</v>
      </c>
      <c r="O39" s="16">
        <f>+O34*Assumptions!$G$82*O36</f>
        <v>14131182.931343634</v>
      </c>
      <c r="P39" s="16">
        <f>+P34*Assumptions!$G$82*P36</f>
        <v>14555118.419283943</v>
      </c>
      <c r="Q39" s="16">
        <f>+Q34*Assumptions!$G$82*Q36</f>
        <v>14991771.971862461</v>
      </c>
      <c r="R39" s="16">
        <f>+R34*Assumptions!$G$82*R36</f>
        <v>15441525.131018335</v>
      </c>
      <c r="S39" s="16">
        <f>+S34*Assumptions!$G$82*S36</f>
        <v>15904770.884948887</v>
      </c>
      <c r="T39" s="16">
        <f>+T34*Assumptions!$G$82*T36</f>
        <v>16381914.011497354</v>
      </c>
      <c r="U39" s="16">
        <f>+U34*Assumptions!$G$82*U36</f>
        <v>16873371.431842275</v>
      </c>
      <c r="V39" s="16">
        <f>+V34*Assumptions!$G$82*V36</f>
        <v>17379572.574797545</v>
      </c>
      <c r="W39" s="16">
        <f>+W34*Assumptions!$G$82*W36</f>
        <v>17900959.75204147</v>
      </c>
      <c r="X39" s="16">
        <f>+X34*Assumptions!$G$82*X36</f>
        <v>18437988.544602714</v>
      </c>
      <c r="Y39" s="16">
        <f>+Y34*Assumptions!$G$82*Y36</f>
        <v>18991128.200940799</v>
      </c>
      <c r="Z39" s="16">
        <f>+Z34*Assumptions!$G$82*Z36</f>
        <v>19560862.046969023</v>
      </c>
    </row>
    <row r="40" spans="1:26">
      <c r="B40" s="15" t="s">
        <v>583</v>
      </c>
      <c r="C40" s="15"/>
      <c r="D40" s="20"/>
      <c r="E40" s="20"/>
      <c r="F40" s="22">
        <f>-F39*Assumptions!$O$55</f>
        <v>0</v>
      </c>
      <c r="G40" s="22">
        <f>-G39*Assumptions!$O$55</f>
        <v>0</v>
      </c>
      <c r="H40" s="22">
        <f>-H39*Assumptions!$O$55</f>
        <v>0</v>
      </c>
      <c r="I40" s="22">
        <f>-I39*Assumptions!$O$55</f>
        <v>-295866.08083292661</v>
      </c>
      <c r="J40" s="22">
        <f>-J39*Assumptions!$O$55</f>
        <v>-609484.12651582889</v>
      </c>
      <c r="K40" s="22">
        <f>-K39*Assumptions!$O$55</f>
        <v>-627768.65031130367</v>
      </c>
      <c r="L40" s="22">
        <f>-L39*Assumptions!$O$55</f>
        <v>-646601.70982064295</v>
      </c>
      <c r="M40" s="22">
        <f>-M39*Assumptions!$O$55</f>
        <v>-665999.76111526228</v>
      </c>
      <c r="N40" s="22">
        <f>-N39*Assumptions!$O$55</f>
        <v>-685979.75394872017</v>
      </c>
      <c r="O40" s="22">
        <f>-O39*Assumptions!$O$55</f>
        <v>-706559.14656718168</v>
      </c>
      <c r="P40" s="22">
        <f>-P39*Assumptions!$O$55</f>
        <v>-727755.92096419726</v>
      </c>
      <c r="Q40" s="22">
        <f>-Q39*Assumptions!$O$55</f>
        <v>-749588.59859312314</v>
      </c>
      <c r="R40" s="22">
        <f>-R39*Assumptions!$O$55</f>
        <v>-772076.25655091682</v>
      </c>
      <c r="S40" s="22">
        <f>-S39*Assumptions!$O$55</f>
        <v>-795238.54424744437</v>
      </c>
      <c r="T40" s="22">
        <f>-T39*Assumptions!$O$55</f>
        <v>-819095.70057486778</v>
      </c>
      <c r="U40" s="22">
        <f>-U39*Assumptions!$O$55</f>
        <v>-843668.57159211382</v>
      </c>
      <c r="V40" s="22">
        <f>-V39*Assumptions!$O$55</f>
        <v>-868978.62873987725</v>
      </c>
      <c r="W40" s="22">
        <f>-W39*Assumptions!$O$55</f>
        <v>-895047.98760207358</v>
      </c>
      <c r="X40" s="22">
        <f>-X39*Assumptions!$O$55</f>
        <v>-921899.42723013577</v>
      </c>
      <c r="Y40" s="22">
        <f>-Y39*Assumptions!$O$55</f>
        <v>-949556.41004703997</v>
      </c>
      <c r="Z40" s="22">
        <f>-Z39*Assumptions!$O$55</f>
        <v>-978043.10234845115</v>
      </c>
    </row>
    <row r="41" spans="1:26">
      <c r="B41" s="15" t="s">
        <v>591</v>
      </c>
      <c r="C41" s="15"/>
      <c r="D41" s="20"/>
      <c r="E41" s="20"/>
      <c r="F41" s="76">
        <f>+F33*Assumptions!$G$90*(1-Assumptions!$O$55)*12</f>
        <v>0</v>
      </c>
      <c r="G41" s="76">
        <f>+G33*Assumptions!$G$90*(1-Assumptions!$O$55)*12</f>
        <v>0</v>
      </c>
      <c r="H41" s="76">
        <f>+H33*Assumptions!$G$90*(1-Assumptions!$O$55)*12</f>
        <v>0</v>
      </c>
      <c r="I41" s="76">
        <f>+I33*Assumptions!$G$90*(1-Assumptions!$O$55)*12</f>
        <v>130871.59278567054</v>
      </c>
      <c r="J41" s="76">
        <f>+J33*Assumptions!$G$90*(1-Assumptions!$O$55)*12</f>
        <v>261743.18557134108</v>
      </c>
      <c r="K41" s="76">
        <f>+K33*Assumptions!$G$90*(1-Assumptions!$O$55)*12</f>
        <v>261743.18557134108</v>
      </c>
      <c r="L41" s="76">
        <f>+L33*Assumptions!$G$90*(1-Assumptions!$O$55)*12</f>
        <v>261743.18557134108</v>
      </c>
      <c r="M41" s="76">
        <f>+M33*Assumptions!$G$90*(1-Assumptions!$O$55)*12</f>
        <v>261743.18557134108</v>
      </c>
      <c r="N41" s="76">
        <f>+N33*Assumptions!$G$90*(1-Assumptions!$O$55)*12</f>
        <v>261743.18557134108</v>
      </c>
      <c r="O41" s="76">
        <f>+O33*Assumptions!$G$90*(1-Assumptions!$O$55)*12</f>
        <v>261743.18557134108</v>
      </c>
      <c r="P41" s="76">
        <f>+P33*Assumptions!$G$90*(1-Assumptions!$O$55)*12</f>
        <v>261743.18557134108</v>
      </c>
      <c r="Q41" s="76">
        <f>+Q33*Assumptions!$G$90*(1-Assumptions!$O$55)*12</f>
        <v>261743.18557134108</v>
      </c>
      <c r="R41" s="76">
        <f>+R33*Assumptions!$G$90*(1-Assumptions!$O$55)*12</f>
        <v>261743.18557134108</v>
      </c>
      <c r="S41" s="76">
        <f>+S33*Assumptions!$G$90*(1-Assumptions!$O$55)*12</f>
        <v>261743.18557134108</v>
      </c>
      <c r="T41" s="76">
        <f>+T33*Assumptions!$G$90*(1-Assumptions!$O$55)*12</f>
        <v>261743.18557134108</v>
      </c>
      <c r="U41" s="76">
        <f>+U33*Assumptions!$G$90*(1-Assumptions!$O$55)*12</f>
        <v>261743.18557134108</v>
      </c>
      <c r="V41" s="76">
        <f>+V33*Assumptions!$G$90*(1-Assumptions!$O$55)*12</f>
        <v>261743.18557134108</v>
      </c>
      <c r="W41" s="76">
        <f>+W33*Assumptions!$G$90*(1-Assumptions!$O$55)*12</f>
        <v>261743.18557134108</v>
      </c>
      <c r="X41" s="76">
        <f>+X33*Assumptions!$G$90*(1-Assumptions!$O$55)*12</f>
        <v>261743.18557134108</v>
      </c>
      <c r="Y41" s="76">
        <f>+Y33*Assumptions!$G$90*(1-Assumptions!$O$55)*12</f>
        <v>261743.18557134108</v>
      </c>
      <c r="Z41" s="76">
        <f>+Z33*Assumptions!$G$90*(1-Assumptions!$O$55)*12</f>
        <v>261743.18557134108</v>
      </c>
    </row>
    <row r="42" spans="1:26">
      <c r="B42" s="62" t="s">
        <v>584</v>
      </c>
      <c r="C42" s="62"/>
      <c r="D42" s="62"/>
      <c r="E42" s="62"/>
      <c r="F42" s="58">
        <f t="shared" ref="F42:Z42" si="51">+SUM(F39:F41)</f>
        <v>0</v>
      </c>
      <c r="G42" s="58">
        <f t="shared" si="51"/>
        <v>0</v>
      </c>
      <c r="H42" s="58">
        <f t="shared" si="51"/>
        <v>0</v>
      </c>
      <c r="I42" s="58">
        <f t="shared" si="51"/>
        <v>5752327.1286112759</v>
      </c>
      <c r="J42" s="58">
        <f t="shared" si="51"/>
        <v>11841941.589372091</v>
      </c>
      <c r="K42" s="58">
        <f t="shared" si="51"/>
        <v>12189347.541486111</v>
      </c>
      <c r="L42" s="58">
        <f t="shared" si="51"/>
        <v>12547175.672163555</v>
      </c>
      <c r="M42" s="58">
        <f t="shared" si="51"/>
        <v>12915738.646761322</v>
      </c>
      <c r="N42" s="58">
        <f t="shared" si="51"/>
        <v>13295358.510597022</v>
      </c>
      <c r="O42" s="58">
        <f t="shared" si="51"/>
        <v>13686366.970347794</v>
      </c>
      <c r="P42" s="58">
        <f t="shared" si="51"/>
        <v>14089105.683891086</v>
      </c>
      <c r="Q42" s="58">
        <f t="shared" si="51"/>
        <v>14503926.558840679</v>
      </c>
      <c r="R42" s="58">
        <f t="shared" si="51"/>
        <v>14931192.060038758</v>
      </c>
      <c r="S42" s="58">
        <f t="shared" si="51"/>
        <v>15371275.526272783</v>
      </c>
      <c r="T42" s="58">
        <f t="shared" si="51"/>
        <v>15824561.496493828</v>
      </c>
      <c r="U42" s="58">
        <f t="shared" si="51"/>
        <v>16291446.045821503</v>
      </c>
      <c r="V42" s="58">
        <f t="shared" si="51"/>
        <v>16772337.131629009</v>
      </c>
      <c r="W42" s="58">
        <f t="shared" si="51"/>
        <v>17267654.950010739</v>
      </c>
      <c r="X42" s="58">
        <f t="shared" si="51"/>
        <v>17777832.302943923</v>
      </c>
      <c r="Y42" s="58">
        <f t="shared" si="51"/>
        <v>18303314.976465102</v>
      </c>
      <c r="Z42" s="58">
        <f t="shared" si="51"/>
        <v>18844562.130191915</v>
      </c>
    </row>
    <row r="44" spans="1:26">
      <c r="B44" s="15" t="s">
        <v>585</v>
      </c>
      <c r="F44" s="16">
        <f>+F33*Assumptions!$O$96*F37</f>
        <v>0</v>
      </c>
      <c r="G44" s="16">
        <f>+G33*Assumptions!$O$96*G37</f>
        <v>0</v>
      </c>
      <c r="H44" s="16">
        <f>+H33*Assumptions!$O$96*H37</f>
        <v>0</v>
      </c>
      <c r="I44" s="16">
        <f>+I33*Assumptions!$O$96*I37</f>
        <v>1382706.347166186</v>
      </c>
      <c r="J44" s="16">
        <f>+J33*Assumptions!$O$96*J37</f>
        <v>2820720.9482190195</v>
      </c>
      <c r="K44" s="16">
        <f>+K33*Assumptions!$O$96*K37</f>
        <v>2877135.3671833999</v>
      </c>
      <c r="L44" s="16">
        <f>+L33*Assumptions!$O$96*L37</f>
        <v>2934678.0745270681</v>
      </c>
      <c r="M44" s="16">
        <f>+M33*Assumptions!$O$96*M37</f>
        <v>2993371.6360176094</v>
      </c>
      <c r="N44" s="16">
        <f>+N33*Assumptions!$O$96*N37</f>
        <v>3053239.0687379618</v>
      </c>
      <c r="O44" s="16">
        <f>+O33*Assumptions!$O$96*O37</f>
        <v>3114303.8501127209</v>
      </c>
      <c r="P44" s="16">
        <f>+P33*Assumptions!$O$96*P37</f>
        <v>3176589.9271149756</v>
      </c>
      <c r="Q44" s="16">
        <f>+Q33*Assumptions!$O$96*Q37</f>
        <v>3240121.7256572749</v>
      </c>
      <c r="R44" s="16">
        <f>+R33*Assumptions!$O$96*R37</f>
        <v>3304924.1601704205</v>
      </c>
      <c r="S44" s="16">
        <f>+S33*Assumptions!$O$96*S37</f>
        <v>3371022.6433738288</v>
      </c>
      <c r="T44" s="16">
        <f>+T33*Assumptions!$O$96*T37</f>
        <v>3438443.0962413056</v>
      </c>
      <c r="U44" s="16">
        <f>+U33*Assumptions!$O$96*U37</f>
        <v>3507211.9581661317</v>
      </c>
      <c r="V44" s="16">
        <f>+V33*Assumptions!$O$96*V37</f>
        <v>3577356.1973294546</v>
      </c>
      <c r="W44" s="16">
        <f>+W33*Assumptions!$O$96*W37</f>
        <v>3648903.321276044</v>
      </c>
      <c r="X44" s="16">
        <f>+X33*Assumptions!$O$96*X37</f>
        <v>3721881.3877015649</v>
      </c>
      <c r="Y44" s="16">
        <f>+Y33*Assumptions!$O$96*Y37</f>
        <v>3796319.0154555961</v>
      </c>
      <c r="Z44" s="16">
        <f>+Z33*Assumptions!$O$96*Z37</f>
        <v>3872245.3957647085</v>
      </c>
    </row>
    <row r="45" spans="1:26" s="15" customFormat="1">
      <c r="B45" s="15" t="s">
        <v>592</v>
      </c>
      <c r="F45" s="681"/>
      <c r="G45" s="681">
        <v>0</v>
      </c>
      <c r="H45" s="681">
        <v>0</v>
      </c>
      <c r="I45" s="681">
        <f>('Parcel x Block Info'!$P$16*0.3)*I34</f>
        <v>440665.42235399998</v>
      </c>
      <c r="J45" s="681">
        <f>('Parcel x Block Info'!$P$16*0.3)</f>
        <v>881330.84470799996</v>
      </c>
      <c r="K45" s="681">
        <f t="shared" ref="K45:Z45" si="52">J45*1.02</f>
        <v>898957.46160216001</v>
      </c>
      <c r="L45" s="681">
        <f t="shared" si="52"/>
        <v>916936.61083420319</v>
      </c>
      <c r="M45" s="681">
        <f t="shared" si="52"/>
        <v>935275.34305088723</v>
      </c>
      <c r="N45" s="681">
        <f t="shared" si="52"/>
        <v>953980.84991190501</v>
      </c>
      <c r="O45" s="681">
        <f t="shared" si="52"/>
        <v>973060.46691014315</v>
      </c>
      <c r="P45" s="681">
        <f t="shared" si="52"/>
        <v>992521.67624834599</v>
      </c>
      <c r="Q45" s="681">
        <f t="shared" si="52"/>
        <v>1012372.1097733129</v>
      </c>
      <c r="R45" s="681">
        <f t="shared" si="52"/>
        <v>1032619.5519687792</v>
      </c>
      <c r="S45" s="681">
        <f t="shared" si="52"/>
        <v>1053271.9430081549</v>
      </c>
      <c r="T45" s="681">
        <f t="shared" si="52"/>
        <v>1074337.381868318</v>
      </c>
      <c r="U45" s="681">
        <f t="shared" si="52"/>
        <v>1095824.1295056844</v>
      </c>
      <c r="V45" s="681">
        <f t="shared" si="52"/>
        <v>1117740.6120957981</v>
      </c>
      <c r="W45" s="681">
        <f t="shared" si="52"/>
        <v>1140095.4243377142</v>
      </c>
      <c r="X45" s="681">
        <f t="shared" si="52"/>
        <v>1162897.3328244686</v>
      </c>
      <c r="Y45" s="681">
        <f t="shared" si="52"/>
        <v>1186155.2794809579</v>
      </c>
      <c r="Z45" s="681">
        <f t="shared" si="52"/>
        <v>1209878.385070577</v>
      </c>
    </row>
    <row r="46" spans="1:26" s="15" customFormat="1">
      <c r="B46" s="701" t="s">
        <v>586</v>
      </c>
      <c r="C46" s="701"/>
      <c r="D46" s="701"/>
      <c r="E46" s="701"/>
      <c r="F46" s="702">
        <v>0</v>
      </c>
      <c r="G46" s="702">
        <v>0</v>
      </c>
      <c r="H46" s="702">
        <f t="shared" ref="H46" si="53">+SUM(H44:H45)</f>
        <v>0</v>
      </c>
      <c r="I46" s="702">
        <f t="shared" ref="I46:Z46" si="54">+SUM(I44:I45)</f>
        <v>1823371.7695201859</v>
      </c>
      <c r="J46" s="702">
        <f t="shared" si="54"/>
        <v>3702051.7929270193</v>
      </c>
      <c r="K46" s="702">
        <f t="shared" si="54"/>
        <v>3776092.8287855601</v>
      </c>
      <c r="L46" s="702">
        <f t="shared" si="54"/>
        <v>3851614.6853612713</v>
      </c>
      <c r="M46" s="702">
        <f t="shared" si="54"/>
        <v>3928646.9790684967</v>
      </c>
      <c r="N46" s="702">
        <f t="shared" si="54"/>
        <v>4007219.9186498667</v>
      </c>
      <c r="O46" s="702">
        <f t="shared" si="54"/>
        <v>4087364.3170228638</v>
      </c>
      <c r="P46" s="702">
        <f t="shared" si="54"/>
        <v>4169111.6033633216</v>
      </c>
      <c r="Q46" s="702">
        <f t="shared" si="54"/>
        <v>4252493.8354305876</v>
      </c>
      <c r="R46" s="702">
        <f t="shared" si="54"/>
        <v>4337543.7121391995</v>
      </c>
      <c r="S46" s="702">
        <f t="shared" si="54"/>
        <v>4424294.5863819839</v>
      </c>
      <c r="T46" s="702">
        <f t="shared" si="54"/>
        <v>4512780.4781096233</v>
      </c>
      <c r="U46" s="702">
        <f t="shared" si="54"/>
        <v>4603036.0876718163</v>
      </c>
      <c r="V46" s="702">
        <f t="shared" si="54"/>
        <v>4695096.8094252525</v>
      </c>
      <c r="W46" s="702">
        <f t="shared" si="54"/>
        <v>4788998.7456137585</v>
      </c>
      <c r="X46" s="702">
        <f t="shared" si="54"/>
        <v>4884778.720526034</v>
      </c>
      <c r="Y46" s="702">
        <f t="shared" si="54"/>
        <v>4982474.2949365545</v>
      </c>
      <c r="Z46" s="702">
        <f t="shared" si="54"/>
        <v>5082123.7808352858</v>
      </c>
    </row>
    <row r="47" spans="1:26">
      <c r="B47" s="15"/>
    </row>
    <row r="48" spans="1:26">
      <c r="A48" s="49"/>
      <c r="B48" s="653" t="s">
        <v>587</v>
      </c>
      <c r="C48" s="653"/>
      <c r="D48" s="653"/>
      <c r="E48" s="653"/>
      <c r="F48" s="544">
        <v>0</v>
      </c>
      <c r="G48" s="544">
        <v>0</v>
      </c>
      <c r="H48" s="544">
        <f t="shared" ref="H48" si="55">+H42-H46</f>
        <v>0</v>
      </c>
      <c r="I48" s="544">
        <f t="shared" ref="I48:Z48" si="56">+I42-I46</f>
        <v>3928955.35909109</v>
      </c>
      <c r="J48" s="544">
        <f t="shared" si="56"/>
        <v>8139889.7964450717</v>
      </c>
      <c r="K48" s="544">
        <f t="shared" si="56"/>
        <v>8413254.7127005495</v>
      </c>
      <c r="L48" s="544">
        <f t="shared" si="56"/>
        <v>8695560.9868022837</v>
      </c>
      <c r="M48" s="544">
        <f t="shared" si="56"/>
        <v>8987091.6676928252</v>
      </c>
      <c r="N48" s="544">
        <f t="shared" si="56"/>
        <v>9288138.5919471551</v>
      </c>
      <c r="O48" s="544">
        <f t="shared" si="56"/>
        <v>9599002.65332493</v>
      </c>
      <c r="P48" s="544">
        <f t="shared" si="56"/>
        <v>9919994.0805277638</v>
      </c>
      <c r="Q48" s="544">
        <f t="shared" si="56"/>
        <v>10251432.723410092</v>
      </c>
      <c r="R48" s="544">
        <f t="shared" si="56"/>
        <v>10593648.34789956</v>
      </c>
      <c r="S48" s="544">
        <f t="shared" si="56"/>
        <v>10946980.939890798</v>
      </c>
      <c r="T48" s="544">
        <f t="shared" si="56"/>
        <v>11311781.018384203</v>
      </c>
      <c r="U48" s="544">
        <f t="shared" si="56"/>
        <v>11688409.958149686</v>
      </c>
      <c r="V48" s="544">
        <f t="shared" si="56"/>
        <v>12077240.322203755</v>
      </c>
      <c r="W48" s="544">
        <f t="shared" si="56"/>
        <v>12478656.204396982</v>
      </c>
      <c r="X48" s="544">
        <f t="shared" si="56"/>
        <v>12893053.582417889</v>
      </c>
      <c r="Y48" s="544">
        <f t="shared" si="56"/>
        <v>13320840.681528548</v>
      </c>
      <c r="Z48" s="544">
        <f t="shared" si="56"/>
        <v>13762438.349356629</v>
      </c>
    </row>
    <row r="49" spans="2:26">
      <c r="B49" s="654" t="s">
        <v>588</v>
      </c>
      <c r="C49" s="655"/>
      <c r="D49" s="655"/>
      <c r="E49" s="655"/>
      <c r="F49" s="656" t="str">
        <f>+IFERROR(F48/F42,"")</f>
        <v/>
      </c>
      <c r="G49" s="656" t="str">
        <f t="shared" ref="G49:H49" si="57">+IFERROR(G48/G42,"")</f>
        <v/>
      </c>
      <c r="H49" s="656" t="str">
        <f t="shared" si="57"/>
        <v/>
      </c>
      <c r="I49" s="657">
        <f t="shared" ref="I49:Z49" si="58">+IFERROR(I48/I42,"")</f>
        <v>0.68302015362600155</v>
      </c>
      <c r="J49" s="657">
        <f t="shared" si="58"/>
        <v>0.68737797218578267</v>
      </c>
      <c r="K49" s="657">
        <f t="shared" si="58"/>
        <v>0.69021370373322011</v>
      </c>
      <c r="L49" s="657">
        <f t="shared" si="58"/>
        <v>0.69302934891505164</v>
      </c>
      <c r="M49" s="657">
        <f t="shared" si="58"/>
        <v>0.69582483150867858</v>
      </c>
      <c r="N49" s="657">
        <f t="shared" si="58"/>
        <v>0.69860008547675301</v>
      </c>
      <c r="O49" s="657">
        <f t="shared" si="58"/>
        <v>0.70135505456792546</v>
      </c>
      <c r="P49" s="657">
        <f t="shared" si="58"/>
        <v>0.70408969192912541</v>
      </c>
      <c r="Q49" s="657">
        <f t="shared" si="58"/>
        <v>0.7068039597291994</v>
      </c>
      <c r="R49" s="657">
        <f t="shared" si="58"/>
        <v>0.70949782879372192</v>
      </c>
      <c r="S49" s="657">
        <f t="shared" si="58"/>
        <v>0.71217127825079163</v>
      </c>
      <c r="T49" s="657">
        <f t="shared" si="58"/>
        <v>0.71482429518761081</v>
      </c>
      <c r="U49" s="657">
        <f t="shared" si="58"/>
        <v>0.71745687431764704</v>
      </c>
      <c r="V49" s="657">
        <f t="shared" si="58"/>
        <v>0.72006901765817033</v>
      </c>
      <c r="W49" s="657">
        <f t="shared" si="58"/>
        <v>0.72266073421795007</v>
      </c>
      <c r="X49" s="657">
        <f t="shared" si="58"/>
        <v>0.72523203969489924</v>
      </c>
      <c r="Y49" s="657">
        <f t="shared" si="58"/>
        <v>0.7277829561834479</v>
      </c>
      <c r="Z49" s="657">
        <f t="shared" si="58"/>
        <v>0.73031351189142601</v>
      </c>
    </row>
    <row r="50" spans="2:26">
      <c r="B50" s="654" t="s">
        <v>589</v>
      </c>
      <c r="C50" s="655"/>
      <c r="D50" s="655"/>
      <c r="E50" s="655"/>
      <c r="F50" s="658">
        <v>0</v>
      </c>
      <c r="G50" s="658">
        <v>0</v>
      </c>
      <c r="H50" s="658">
        <f>+H48/Assumptions!$O$129</f>
        <v>0</v>
      </c>
      <c r="I50" s="658">
        <f>+I48/Assumptions!$O$129</f>
        <v>71435551.983474359</v>
      </c>
      <c r="J50" s="658">
        <f>+J48/Assumptions!$O$129</f>
        <v>147997996.29900131</v>
      </c>
      <c r="K50" s="658">
        <f>+K48/Assumptions!$O$129</f>
        <v>152968267.50364634</v>
      </c>
      <c r="L50" s="658">
        <f>+L48/Assumptions!$O$129</f>
        <v>158101108.8509506</v>
      </c>
      <c r="M50" s="658">
        <f>+M48/Assumptions!$O$129</f>
        <v>163401666.6853241</v>
      </c>
      <c r="N50" s="658">
        <f>+N48/Assumptions!$O$129</f>
        <v>168875247.1263119</v>
      </c>
      <c r="O50" s="658">
        <f>+O48/Assumptions!$O$129</f>
        <v>174527320.96954417</v>
      </c>
      <c r="P50" s="658">
        <f>+P48/Assumptions!$O$129</f>
        <v>180363528.73686844</v>
      </c>
      <c r="Q50" s="658">
        <f>+Q48/Assumptions!$O$129</f>
        <v>186389685.88018349</v>
      </c>
      <c r="R50" s="658">
        <f>+R48/Assumptions!$O$129</f>
        <v>192611788.14362836</v>
      </c>
      <c r="S50" s="658">
        <f>+S48/Assumptions!$O$129</f>
        <v>199036017.0889236</v>
      </c>
      <c r="T50" s="658">
        <f>+T48/Assumptions!$O$129</f>
        <v>205668745.7888037</v>
      </c>
      <c r="U50" s="658">
        <f>+U48/Assumptions!$O$129</f>
        <v>212516544.69363067</v>
      </c>
      <c r="V50" s="658">
        <f>+V48/Assumptions!$O$129</f>
        <v>219586187.67643192</v>
      </c>
      <c r="W50" s="658">
        <f>+W48/Assumptions!$O$129</f>
        <v>226884658.2617633</v>
      </c>
      <c r="X50" s="658">
        <f>+X48/Assumptions!$O$129</f>
        <v>234419156.04396161</v>
      </c>
      <c r="Y50" s="658">
        <f>+Y48/Assumptions!$O$129</f>
        <v>242197103.30051905</v>
      </c>
      <c r="Z50" s="658">
        <f>+Z48/Assumptions!$O$129</f>
        <v>250226151.80648416</v>
      </c>
    </row>
    <row r="52" spans="2:26">
      <c r="B52" s="73" t="s">
        <v>29</v>
      </c>
      <c r="C52" s="74"/>
      <c r="D52" s="74"/>
      <c r="E52" s="74"/>
      <c r="F52" s="75">
        <f>+Assumptions!$G$22</f>
        <v>44926</v>
      </c>
      <c r="G52" s="75">
        <f>+EOMONTH(F52,12)</f>
        <v>45291</v>
      </c>
      <c r="H52" s="75">
        <f t="shared" ref="H52:Z52" si="59">+EOMONTH(G52,12)</f>
        <v>45657</v>
      </c>
      <c r="I52" s="75">
        <f t="shared" si="59"/>
        <v>46022</v>
      </c>
      <c r="J52" s="75">
        <f t="shared" si="59"/>
        <v>46387</v>
      </c>
      <c r="K52" s="75">
        <f t="shared" si="59"/>
        <v>46752</v>
      </c>
      <c r="L52" s="75">
        <f t="shared" si="59"/>
        <v>47118</v>
      </c>
      <c r="M52" s="75">
        <f t="shared" si="59"/>
        <v>47483</v>
      </c>
      <c r="N52" s="75">
        <f t="shared" si="59"/>
        <v>47848</v>
      </c>
      <c r="O52" s="75">
        <f t="shared" si="59"/>
        <v>48213</v>
      </c>
      <c r="P52" s="75">
        <f t="shared" si="59"/>
        <v>48579</v>
      </c>
      <c r="Q52" s="75">
        <f t="shared" si="59"/>
        <v>48944</v>
      </c>
      <c r="R52" s="75">
        <f t="shared" si="59"/>
        <v>49309</v>
      </c>
      <c r="S52" s="75">
        <f t="shared" si="59"/>
        <v>49674</v>
      </c>
      <c r="T52" s="75">
        <f t="shared" si="59"/>
        <v>50040</v>
      </c>
      <c r="U52" s="75">
        <f t="shared" si="59"/>
        <v>50405</v>
      </c>
      <c r="V52" s="75">
        <f t="shared" si="59"/>
        <v>50770</v>
      </c>
      <c r="W52" s="75">
        <f t="shared" si="59"/>
        <v>51135</v>
      </c>
      <c r="X52" s="75">
        <f t="shared" si="59"/>
        <v>51501</v>
      </c>
      <c r="Y52" s="75">
        <f t="shared" si="59"/>
        <v>51866</v>
      </c>
      <c r="Z52" s="75">
        <f t="shared" si="59"/>
        <v>52231</v>
      </c>
    </row>
    <row r="53" spans="2:26">
      <c r="B53" s="15" t="s">
        <v>575</v>
      </c>
      <c r="C53" s="15"/>
      <c r="D53" s="20"/>
      <c r="E53" s="20"/>
      <c r="F53" s="22">
        <f>+IF(AND(F52&gt;=Assumptions!$G$26,F52&lt;Assumptions!$G$28),Assumptions!$G$137/ROUNDUP((Assumptions!$G$27/12),0),0)</f>
        <v>0</v>
      </c>
      <c r="G53" s="22">
        <f>+IF(AND(G52&gt;=Assumptions!$G$26,G52&lt;Assumptions!$G$28),Assumptions!$G$137/ROUNDUP((Assumptions!$G$27/12),0),0)</f>
        <v>0</v>
      </c>
      <c r="H53" s="22">
        <f>+IF(AND(H52&gt;=Assumptions!$G$26,H52&lt;Assumptions!$G$28),Assumptions!$G$137/ROUNDUP((Assumptions!$G$27/12),0),0)</f>
        <v>0</v>
      </c>
      <c r="I53" s="22">
        <f>+IF(AND(I52&gt;=Assumptions!$G$26,I52&lt;Assumptions!$G$28),Assumptions!$G$137/ROUNDUP((Assumptions!$G$27/12),0),0)</f>
        <v>53875.35</v>
      </c>
      <c r="J53" s="22">
        <f>+IF(AND(J52&gt;=Assumptions!$G$26,J52&lt;Assumptions!$G$28),Assumptions!$G$137/ROUNDUP((Assumptions!$G$27/12),0),0)</f>
        <v>53875.35</v>
      </c>
      <c r="K53" s="22">
        <f>+IF(AND(K52&gt;=Assumptions!$G$26,K52&lt;Assumptions!$G$28),Assumptions!$G$137/ROUNDUP((Assumptions!$G$27/12),0),0)</f>
        <v>0</v>
      </c>
      <c r="L53" s="22">
        <f>+IF(AND(L52&gt;=Assumptions!$G$26,L52&lt;Assumptions!$G$28),Assumptions!$G$137/ROUNDUP((Assumptions!$G$27/12),0),0)</f>
        <v>0</v>
      </c>
      <c r="M53" s="22">
        <f>+IF(AND(M52&gt;=Assumptions!$G$26,M52&lt;Assumptions!$G$28),Assumptions!$G$137/ROUNDUP((Assumptions!$G$27/12),0),0)</f>
        <v>0</v>
      </c>
      <c r="N53" s="22">
        <f>+IF(AND(N52&gt;=Assumptions!$G$26,N52&lt;Assumptions!$G$28),Assumptions!$G$137/ROUNDUP((Assumptions!$G$27/12),0),0)</f>
        <v>0</v>
      </c>
      <c r="O53" s="22">
        <f>+IF(AND(O52&gt;=Assumptions!$G$26,O52&lt;Assumptions!$G$28),Assumptions!$G$137/ROUNDUP((Assumptions!$G$27/12),0),0)</f>
        <v>0</v>
      </c>
      <c r="P53" s="22">
        <f>+IF(AND(P52&gt;=Assumptions!$G$26,P52&lt;Assumptions!$G$28),Assumptions!$G$137/ROUNDUP((Assumptions!$G$27/12),0),0)</f>
        <v>0</v>
      </c>
      <c r="Q53" s="22">
        <f>+IF(AND(Q52&gt;=Assumptions!$G$26,Q52&lt;Assumptions!$G$28),Assumptions!$G$137/ROUNDUP((Assumptions!$G$27/12),0),0)</f>
        <v>0</v>
      </c>
      <c r="R53" s="22">
        <f>+IF(AND(R52&gt;=Assumptions!$G$26,R52&lt;Assumptions!$G$28),Assumptions!$G$137/ROUNDUP((Assumptions!$G$27/12),0),0)</f>
        <v>0</v>
      </c>
      <c r="S53" s="22">
        <f>+IF(AND(S52&gt;=Assumptions!$G$26,S52&lt;Assumptions!$G$28),Assumptions!$G$137/ROUNDUP((Assumptions!$G$27/12),0),0)</f>
        <v>0</v>
      </c>
      <c r="T53" s="22">
        <f>+IF(AND(T52&gt;=Assumptions!$G$26,T52&lt;Assumptions!$G$28),Assumptions!$G$137/ROUNDUP((Assumptions!$G$27/12),0),0)</f>
        <v>0</v>
      </c>
      <c r="U53" s="22">
        <f>+IF(AND(U52&gt;=Assumptions!$G$26,U52&lt;Assumptions!$G$28),Assumptions!$G$137/ROUNDUP((Assumptions!$G$27/12),0),0)</f>
        <v>0</v>
      </c>
      <c r="V53" s="22">
        <f>+IF(AND(V52&gt;=Assumptions!$G$26,V52&lt;Assumptions!$G$28),Assumptions!$G$137/ROUNDUP((Assumptions!$G$27/12),0),0)</f>
        <v>0</v>
      </c>
      <c r="W53" s="22">
        <f>+IF(AND(W52&gt;=Assumptions!$G$26,W52&lt;Assumptions!$G$28),Assumptions!$G$137/ROUNDUP((Assumptions!$G$27/12),0),0)</f>
        <v>0</v>
      </c>
      <c r="X53" s="22">
        <f>+IF(AND(X52&gt;=Assumptions!$G$26,X52&lt;Assumptions!$G$28),Assumptions!$G$137/ROUNDUP((Assumptions!$G$27/12),0),0)</f>
        <v>0</v>
      </c>
      <c r="Y53" s="22">
        <f>+IF(AND(Y52&gt;=Assumptions!$G$26,Y52&lt;Assumptions!$G$28),Assumptions!$G$137/ROUNDUP((Assumptions!$G$27/12),0),0)</f>
        <v>0</v>
      </c>
      <c r="Z53" s="22">
        <f>+IF(AND(Z52&gt;=Assumptions!$G$26,Z52&lt;Assumptions!$G$28),Assumptions!$G$137/ROUNDUP((Assumptions!$G$27/12),0),0)</f>
        <v>0</v>
      </c>
    </row>
    <row r="54" spans="2:26">
      <c r="B54" s="15" t="s">
        <v>576</v>
      </c>
      <c r="C54" s="15"/>
      <c r="D54" s="22">
        <v>0</v>
      </c>
      <c r="E54" s="22"/>
      <c r="F54" s="22">
        <f>+D54+F53</f>
        <v>0</v>
      </c>
      <c r="G54" s="22">
        <f t="shared" ref="G54:Z54" si="60">+F54+G53</f>
        <v>0</v>
      </c>
      <c r="H54" s="22">
        <f t="shared" si="60"/>
        <v>0</v>
      </c>
      <c r="I54" s="22">
        <f t="shared" si="60"/>
        <v>53875.35</v>
      </c>
      <c r="J54" s="22">
        <f t="shared" si="60"/>
        <v>107750.7</v>
      </c>
      <c r="K54" s="22">
        <f t="shared" si="60"/>
        <v>107750.7</v>
      </c>
      <c r="L54" s="22">
        <f t="shared" si="60"/>
        <v>107750.7</v>
      </c>
      <c r="M54" s="22">
        <f t="shared" si="60"/>
        <v>107750.7</v>
      </c>
      <c r="N54" s="22">
        <f t="shared" si="60"/>
        <v>107750.7</v>
      </c>
      <c r="O54" s="22">
        <f t="shared" si="60"/>
        <v>107750.7</v>
      </c>
      <c r="P54" s="22">
        <f t="shared" si="60"/>
        <v>107750.7</v>
      </c>
      <c r="Q54" s="22">
        <f t="shared" si="60"/>
        <v>107750.7</v>
      </c>
      <c r="R54" s="22">
        <f t="shared" si="60"/>
        <v>107750.7</v>
      </c>
      <c r="S54" s="22">
        <f t="shared" si="60"/>
        <v>107750.7</v>
      </c>
      <c r="T54" s="22">
        <f t="shared" si="60"/>
        <v>107750.7</v>
      </c>
      <c r="U54" s="22">
        <f t="shared" si="60"/>
        <v>107750.7</v>
      </c>
      <c r="V54" s="22">
        <f t="shared" si="60"/>
        <v>107750.7</v>
      </c>
      <c r="W54" s="22">
        <f t="shared" si="60"/>
        <v>107750.7</v>
      </c>
      <c r="X54" s="22">
        <f t="shared" si="60"/>
        <v>107750.7</v>
      </c>
      <c r="Y54" s="22">
        <f t="shared" si="60"/>
        <v>107750.7</v>
      </c>
      <c r="Z54" s="22">
        <f t="shared" si="60"/>
        <v>107750.7</v>
      </c>
    </row>
    <row r="55" spans="2:26">
      <c r="B55" s="15" t="s">
        <v>579</v>
      </c>
      <c r="C55" s="15"/>
      <c r="D55" s="22"/>
      <c r="E55" s="22"/>
      <c r="F55" s="49">
        <f t="shared" ref="F55:Z55" si="61">+F54/SUM($F53:$Z53)</f>
        <v>0</v>
      </c>
      <c r="G55" s="49">
        <f t="shared" si="61"/>
        <v>0</v>
      </c>
      <c r="H55" s="49">
        <f t="shared" si="61"/>
        <v>0</v>
      </c>
      <c r="I55" s="49">
        <f t="shared" si="61"/>
        <v>0.5</v>
      </c>
      <c r="J55" s="49">
        <f t="shared" si="61"/>
        <v>1</v>
      </c>
      <c r="K55" s="49">
        <f t="shared" si="61"/>
        <v>1</v>
      </c>
      <c r="L55" s="49">
        <f t="shared" si="61"/>
        <v>1</v>
      </c>
      <c r="M55" s="49">
        <f t="shared" si="61"/>
        <v>1</v>
      </c>
      <c r="N55" s="49">
        <f t="shared" si="61"/>
        <v>1</v>
      </c>
      <c r="O55" s="49">
        <f t="shared" si="61"/>
        <v>1</v>
      </c>
      <c r="P55" s="49">
        <f t="shared" si="61"/>
        <v>1</v>
      </c>
      <c r="Q55" s="49">
        <f t="shared" si="61"/>
        <v>1</v>
      </c>
      <c r="R55" s="49">
        <f t="shared" si="61"/>
        <v>1</v>
      </c>
      <c r="S55" s="49">
        <f t="shared" si="61"/>
        <v>1</v>
      </c>
      <c r="T55" s="49">
        <f t="shared" si="61"/>
        <v>1</v>
      </c>
      <c r="U55" s="49">
        <f t="shared" si="61"/>
        <v>1</v>
      </c>
      <c r="V55" s="49">
        <f t="shared" si="61"/>
        <v>1</v>
      </c>
      <c r="W55" s="49">
        <f t="shared" si="61"/>
        <v>1</v>
      </c>
      <c r="X55" s="49">
        <f t="shared" si="61"/>
        <v>1</v>
      </c>
      <c r="Y55" s="49">
        <f t="shared" si="61"/>
        <v>1</v>
      </c>
      <c r="Z55" s="49">
        <f t="shared" si="61"/>
        <v>1</v>
      </c>
    </row>
    <row r="56" spans="2:26">
      <c r="B56" s="15"/>
      <c r="C56" s="15"/>
      <c r="D56" s="20"/>
      <c r="E56" s="20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>
      <c r="B57" s="15" t="s">
        <v>580</v>
      </c>
      <c r="C57" s="15"/>
      <c r="D57" s="22"/>
      <c r="E57" s="22"/>
      <c r="F57" s="49">
        <v>1</v>
      </c>
      <c r="G57" s="49">
        <f>+IF(MOD(G$1,Assumptions!$O$66)=(Assumptions!$O$66-1),F57*(1+Assumptions!$O$65),'Phase II Pro Forma'!F57)</f>
        <v>1</v>
      </c>
      <c r="H57" s="49">
        <f>+IF(MOD(H$1,Assumptions!$O$66)=(Assumptions!$O$66-1),G57*(1+Assumptions!$O$65),'Phase II Pro Forma'!G57)</f>
        <v>1</v>
      </c>
      <c r="I57" s="49">
        <f>+IF(MOD(I$1,Assumptions!$O$66)=(Assumptions!$O$66-1),H57*(1+Assumptions!$O$65),'Phase II Pro Forma'!H57)</f>
        <v>1</v>
      </c>
      <c r="J57" s="49">
        <f>+IF(MOD(J$1,Assumptions!$O$66)=(Assumptions!$O$66-1),I57*(1+Assumptions!$O$65),'Phase II Pro Forma'!I57)</f>
        <v>1</v>
      </c>
      <c r="K57" s="49">
        <f>+IF(MOD(K$1,Assumptions!$O$66)=(Assumptions!$O$66-1),J57*(1+Assumptions!$O$65),'Phase II Pro Forma'!J57)</f>
        <v>1</v>
      </c>
      <c r="L57" s="49">
        <f>+IF(MOD(L$1,Assumptions!$O$66)=(Assumptions!$O$66-1),K57*(1+Assumptions!$O$65),'Phase II Pro Forma'!K57)</f>
        <v>1.1000000000000001</v>
      </c>
      <c r="M57" s="49">
        <f>+IF(MOD(M$1,Assumptions!$O$66)=(Assumptions!$O$66-1),L57*(1+Assumptions!$O$65),'Phase II Pro Forma'!L57)</f>
        <v>1.1000000000000001</v>
      </c>
      <c r="N57" s="49">
        <f>+IF(MOD(N$1,Assumptions!$O$66)=(Assumptions!$O$66-1),M57*(1+Assumptions!$O$65),'Phase II Pro Forma'!M57)</f>
        <v>1.1000000000000001</v>
      </c>
      <c r="O57" s="49">
        <f>+IF(MOD(O$1,Assumptions!$O$66)=(Assumptions!$O$66-1),N57*(1+Assumptions!$O$65),'Phase II Pro Forma'!N57)</f>
        <v>1.1000000000000001</v>
      </c>
      <c r="P57" s="49">
        <f>+IF(MOD(P$1,Assumptions!$O$66)=(Assumptions!$O$66-1),O57*(1+Assumptions!$O$65),'Phase II Pro Forma'!O57)</f>
        <v>1.1000000000000001</v>
      </c>
      <c r="Q57" s="49">
        <f>+IF(MOD(Q$1,Assumptions!$O$66)=(Assumptions!$O$66-1),P57*(1+Assumptions!$O$65),'Phase II Pro Forma'!P57)</f>
        <v>1.2100000000000002</v>
      </c>
      <c r="R57" s="49">
        <f>+IF(MOD(R$1,Assumptions!$O$66)=(Assumptions!$O$66-1),Q57*(1+Assumptions!$O$65),'Phase II Pro Forma'!Q57)</f>
        <v>1.2100000000000002</v>
      </c>
      <c r="S57" s="49">
        <f>+IF(MOD(S$1,Assumptions!$O$66)=(Assumptions!$O$66-1),R57*(1+Assumptions!$O$65),'Phase II Pro Forma'!R57)</f>
        <v>1.2100000000000002</v>
      </c>
      <c r="T57" s="49">
        <f>+IF(MOD(T$1,Assumptions!$O$66)=(Assumptions!$O$66-1),S57*(1+Assumptions!$O$65),'Phase II Pro Forma'!S57)</f>
        <v>1.2100000000000002</v>
      </c>
      <c r="U57" s="49">
        <f>+IF(MOD(U$1,Assumptions!$O$66)=(Assumptions!$O$66-1),T57*(1+Assumptions!$O$65),'Phase II Pro Forma'!T57)</f>
        <v>1.2100000000000002</v>
      </c>
      <c r="V57" s="49">
        <f>+IF(MOD(V$1,Assumptions!$O$66)=(Assumptions!$O$66-1),U57*(1+Assumptions!$O$65),'Phase II Pro Forma'!U57)</f>
        <v>1.3310000000000004</v>
      </c>
      <c r="W57" s="49">
        <f>+IF(MOD(W$1,Assumptions!$O$66)=(Assumptions!$O$66-1),V57*(1+Assumptions!$O$65),'Phase II Pro Forma'!V57)</f>
        <v>1.3310000000000004</v>
      </c>
      <c r="X57" s="49">
        <f>+IF(MOD(X$1,Assumptions!$O$66)=(Assumptions!$O$66-1),W57*(1+Assumptions!$O$65),'Phase II Pro Forma'!W57)</f>
        <v>1.3310000000000004</v>
      </c>
      <c r="Y57" s="49">
        <f>+IF(MOD(Y$1,Assumptions!$O$66)=(Assumptions!$O$66-1),X57*(1+Assumptions!$O$65),'Phase II Pro Forma'!X57)</f>
        <v>1.3310000000000004</v>
      </c>
      <c r="Z57" s="49">
        <f>+IF(MOD(Z$1,Assumptions!$O$66)=(Assumptions!$O$66-1),Y57*(1+Assumptions!$O$65),'Phase II Pro Forma'!Y57)</f>
        <v>1.3310000000000004</v>
      </c>
    </row>
    <row r="58" spans="2:26">
      <c r="B58" s="15" t="s">
        <v>581</v>
      </c>
      <c r="C58" s="15"/>
      <c r="D58" s="22"/>
      <c r="E58" s="22"/>
      <c r="F58" s="49">
        <v>1</v>
      </c>
      <c r="G58" s="49">
        <f>+F58*(1+Assumptions!$O$78)</f>
        <v>1.02</v>
      </c>
      <c r="H58" s="49">
        <f>+G58*(1+Assumptions!$O$78)</f>
        <v>1.0404</v>
      </c>
      <c r="I58" s="49">
        <f>+H58*(1+Assumptions!$O$78)</f>
        <v>1.0612079999999999</v>
      </c>
      <c r="J58" s="49">
        <f>+I58*(1+Assumptions!$O$78)</f>
        <v>1.08243216</v>
      </c>
      <c r="K58" s="49">
        <f>+J58*(1+Assumptions!$O$78)</f>
        <v>1.1040808032</v>
      </c>
      <c r="L58" s="49">
        <f>+K58*(1+Assumptions!$O$78)</f>
        <v>1.1261624192640001</v>
      </c>
      <c r="M58" s="49">
        <f>+L58*(1+Assumptions!$O$78)</f>
        <v>1.14868566764928</v>
      </c>
      <c r="N58" s="49">
        <f>+M58*(1+Assumptions!$O$78)</f>
        <v>1.1716593810022657</v>
      </c>
      <c r="O58" s="49">
        <f>+N58*(1+Assumptions!$O$78)</f>
        <v>1.1950925686223111</v>
      </c>
      <c r="P58" s="49">
        <f>+O58*(1+Assumptions!$O$78)</f>
        <v>1.2189944199947573</v>
      </c>
      <c r="Q58" s="49">
        <f>+P58*(1+Assumptions!$O$78)</f>
        <v>1.2433743083946525</v>
      </c>
      <c r="R58" s="49">
        <f>+Q58*(1+Assumptions!$O$78)</f>
        <v>1.2682417945625455</v>
      </c>
      <c r="S58" s="49">
        <f>+R58*(1+Assumptions!$O$78)</f>
        <v>1.2936066304537963</v>
      </c>
      <c r="T58" s="49">
        <f>+S58*(1+Assumptions!$O$78)</f>
        <v>1.3194787630628724</v>
      </c>
      <c r="U58" s="49">
        <f>+T58*(1+Assumptions!$O$78)</f>
        <v>1.3458683383241299</v>
      </c>
      <c r="V58" s="49">
        <f>+U58*(1+Assumptions!$O$78)</f>
        <v>1.3727857050906125</v>
      </c>
      <c r="W58" s="49">
        <f>+V58*(1+Assumptions!$O$78)</f>
        <v>1.4002414191924248</v>
      </c>
      <c r="X58" s="49">
        <f>+W58*(1+Assumptions!$O$78)</f>
        <v>1.4282462475762734</v>
      </c>
      <c r="Y58" s="49">
        <f>+X58*(1+Assumptions!$O$78)</f>
        <v>1.4568111725277988</v>
      </c>
      <c r="Z58" s="49">
        <f>+Y58*(1+Assumptions!$O$78)</f>
        <v>1.4859473959783549</v>
      </c>
    </row>
    <row r="59" spans="2:26">
      <c r="B59" s="15"/>
      <c r="C59" s="15"/>
      <c r="D59" s="20"/>
      <c r="E59" s="20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>
      <c r="B60" s="15" t="s">
        <v>582</v>
      </c>
      <c r="C60" s="15"/>
      <c r="D60" s="20"/>
      <c r="E60" s="20"/>
      <c r="F60" s="16">
        <f>+F55*Assumptions!$G$136*F57</f>
        <v>0</v>
      </c>
      <c r="G60" s="16">
        <f>+G55*Assumptions!$G$136*G57</f>
        <v>0</v>
      </c>
      <c r="H60" s="16">
        <f>+H55*Assumptions!$G$136*H57</f>
        <v>0</v>
      </c>
      <c r="I60" s="16">
        <f>+I55*Assumptions!$G$136*I57</f>
        <v>3755478.2473800001</v>
      </c>
      <c r="J60" s="16">
        <f>+J55*Assumptions!$G$136*J57</f>
        <v>7510956.4947600001</v>
      </c>
      <c r="K60" s="16">
        <f>+K55*Assumptions!$G$136*K57</f>
        <v>7510956.4947600001</v>
      </c>
      <c r="L60" s="16">
        <f>+L55*Assumptions!$G$136*L57</f>
        <v>8262052.1442360012</v>
      </c>
      <c r="M60" s="16">
        <f>+M55*Assumptions!$G$136*M57</f>
        <v>8262052.1442360012</v>
      </c>
      <c r="N60" s="16">
        <f>+N55*Assumptions!$G$136*N57</f>
        <v>8262052.1442360012</v>
      </c>
      <c r="O60" s="16">
        <f>+O55*Assumptions!$G$136*O57</f>
        <v>8262052.1442360012</v>
      </c>
      <c r="P60" s="16">
        <f>+P55*Assumptions!$G$136*P57</f>
        <v>8262052.1442360012</v>
      </c>
      <c r="Q60" s="16">
        <f>+Q55*Assumptions!$G$136*Q57</f>
        <v>9088257.3586596008</v>
      </c>
      <c r="R60" s="16">
        <f>+R55*Assumptions!$G$136*R57</f>
        <v>9088257.3586596008</v>
      </c>
      <c r="S60" s="16">
        <f>+S55*Assumptions!$G$136*S57</f>
        <v>9088257.3586596008</v>
      </c>
      <c r="T60" s="16">
        <f>+T55*Assumptions!$G$136*T57</f>
        <v>9088257.3586596008</v>
      </c>
      <c r="U60" s="16">
        <f>+U55*Assumptions!$G$136*U57</f>
        <v>9088257.3586596008</v>
      </c>
      <c r="V60" s="16">
        <f>+V55*Assumptions!$G$136*V57</f>
        <v>9997083.0945255626</v>
      </c>
      <c r="W60" s="16">
        <f>+W55*Assumptions!$G$136*W57</f>
        <v>9997083.0945255626</v>
      </c>
      <c r="X60" s="16">
        <f>+X55*Assumptions!$G$136*X57</f>
        <v>9997083.0945255626</v>
      </c>
      <c r="Y60" s="16">
        <f>+Y55*Assumptions!$G$136*Y57</f>
        <v>9997083.0945255626</v>
      </c>
      <c r="Z60" s="16">
        <f>+Z55*Assumptions!$G$136*Z57</f>
        <v>9997083.0945255626</v>
      </c>
    </row>
    <row r="61" spans="2:26">
      <c r="B61" s="15" t="s">
        <v>583</v>
      </c>
      <c r="C61" s="15"/>
      <c r="D61" s="20"/>
      <c r="E61" s="20"/>
      <c r="F61" s="22">
        <f>-F60*Assumptions!$O$56</f>
        <v>0</v>
      </c>
      <c r="G61" s="22">
        <f>-G60*Assumptions!$O$56</f>
        <v>0</v>
      </c>
      <c r="H61" s="22">
        <f>-H60*Assumptions!$O$56</f>
        <v>0</v>
      </c>
      <c r="I61" s="22">
        <f>-I60*Assumptions!$O$56</f>
        <v>-187773.91236900003</v>
      </c>
      <c r="J61" s="22">
        <f>-J60*Assumptions!$O$56</f>
        <v>-375547.82473800005</v>
      </c>
      <c r="K61" s="22">
        <f>-K60*Assumptions!$O$56</f>
        <v>-375547.82473800005</v>
      </c>
      <c r="L61" s="22">
        <f>-L60*Assumptions!$O$56</f>
        <v>-413102.60721180006</v>
      </c>
      <c r="M61" s="22">
        <f>-M60*Assumptions!$O$56</f>
        <v>-413102.60721180006</v>
      </c>
      <c r="N61" s="22">
        <f>-N60*Assumptions!$O$56</f>
        <v>-413102.60721180006</v>
      </c>
      <c r="O61" s="22">
        <f>-O60*Assumptions!$O$56</f>
        <v>-413102.60721180006</v>
      </c>
      <c r="P61" s="22">
        <f>-P60*Assumptions!$O$56</f>
        <v>-413102.60721180006</v>
      </c>
      <c r="Q61" s="22">
        <f>-Q60*Assumptions!$O$56</f>
        <v>-454412.86793298007</v>
      </c>
      <c r="R61" s="22">
        <f>-R60*Assumptions!$O$56</f>
        <v>-454412.86793298007</v>
      </c>
      <c r="S61" s="22">
        <f>-S60*Assumptions!$O$56</f>
        <v>-454412.86793298007</v>
      </c>
      <c r="T61" s="22">
        <f>-T60*Assumptions!$O$56</f>
        <v>-454412.86793298007</v>
      </c>
      <c r="U61" s="22">
        <f>-U60*Assumptions!$O$56</f>
        <v>-454412.86793298007</v>
      </c>
      <c r="V61" s="22">
        <f>-V60*Assumptions!$O$56</f>
        <v>-499854.15472627815</v>
      </c>
      <c r="W61" s="22">
        <f>-W60*Assumptions!$O$56</f>
        <v>-499854.15472627815</v>
      </c>
      <c r="X61" s="22">
        <f>-X60*Assumptions!$O$56</f>
        <v>-499854.15472627815</v>
      </c>
      <c r="Y61" s="22">
        <f>-Y60*Assumptions!$O$56</f>
        <v>-499854.15472627815</v>
      </c>
      <c r="Z61" s="22">
        <f>-Z60*Assumptions!$O$56</f>
        <v>-499854.15472627815</v>
      </c>
    </row>
    <row r="62" spans="2:26">
      <c r="B62" s="15" t="s">
        <v>593</v>
      </c>
      <c r="C62" s="15"/>
      <c r="D62" s="20"/>
      <c r="E62" s="20"/>
      <c r="F62" s="76">
        <f>+F67*Assumptions!$O$89</f>
        <v>0</v>
      </c>
      <c r="G62" s="76">
        <f>+G67*Assumptions!$O$89</f>
        <v>0</v>
      </c>
      <c r="H62" s="76">
        <f>+H67*Assumptions!$O$89</f>
        <v>0</v>
      </c>
      <c r="I62" s="76">
        <f>+I67*Assumptions!$O$89</f>
        <v>493720.92414987099</v>
      </c>
      <c r="J62" s="76">
        <f>+J67*Assumptions!$O$89</f>
        <v>1002431.4987043136</v>
      </c>
      <c r="K62" s="76">
        <f>+K67*Assumptions!$O$89</f>
        <v>1022480.1286784001</v>
      </c>
      <c r="L62" s="76">
        <f>+L67*Assumptions!$O$89</f>
        <v>1042929.7312519681</v>
      </c>
      <c r="M62" s="76">
        <f>+M67*Assumptions!$O$89</f>
        <v>1063788.3258770076</v>
      </c>
      <c r="N62" s="76">
        <f>+N67*Assumptions!$O$89</f>
        <v>1085064.0923945475</v>
      </c>
      <c r="O62" s="76">
        <f>+O67*Assumptions!$O$89</f>
        <v>1106765.3742424385</v>
      </c>
      <c r="P62" s="76">
        <f>+P67*Assumptions!$O$89</f>
        <v>1128900.6817272874</v>
      </c>
      <c r="Q62" s="76">
        <f>+Q67*Assumptions!$O$89</f>
        <v>1151478.6953618333</v>
      </c>
      <c r="R62" s="76">
        <f>+R67*Assumptions!$O$89</f>
        <v>1174508.2692690699</v>
      </c>
      <c r="S62" s="76">
        <f>+S67*Assumptions!$O$89</f>
        <v>1197998.4346544512</v>
      </c>
      <c r="T62" s="76">
        <f>+T67*Assumptions!$O$89</f>
        <v>1221958.4033475404</v>
      </c>
      <c r="U62" s="76">
        <f>+U67*Assumptions!$O$89</f>
        <v>1246397.5714144912</v>
      </c>
      <c r="V62" s="76">
        <f>+V67*Assumptions!$O$89</f>
        <v>1271325.5228427809</v>
      </c>
      <c r="W62" s="76">
        <f>+W67*Assumptions!$O$89</f>
        <v>1296752.0332996366</v>
      </c>
      <c r="X62" s="76">
        <f>+X67*Assumptions!$O$89</f>
        <v>1322687.0739656296</v>
      </c>
      <c r="Y62" s="76">
        <f>+Y67*Assumptions!$O$89</f>
        <v>1349140.8154449419</v>
      </c>
      <c r="Z62" s="76">
        <f>+Z67*Assumptions!$O$89</f>
        <v>1376123.6317538412</v>
      </c>
    </row>
    <row r="63" spans="2:26">
      <c r="B63" s="62" t="s">
        <v>584</v>
      </c>
      <c r="C63" s="62"/>
      <c r="D63" s="62"/>
      <c r="E63" s="62"/>
      <c r="F63" s="58">
        <f t="shared" ref="F63:Z63" si="62">+SUM(F60:F62)</f>
        <v>0</v>
      </c>
      <c r="G63" s="58">
        <f t="shared" si="62"/>
        <v>0</v>
      </c>
      <c r="H63" s="58">
        <f t="shared" si="62"/>
        <v>0</v>
      </c>
      <c r="I63" s="58">
        <f t="shared" si="62"/>
        <v>4061425.2591608707</v>
      </c>
      <c r="J63" s="58">
        <f t="shared" si="62"/>
        <v>8137840.1687263129</v>
      </c>
      <c r="K63" s="58">
        <f t="shared" si="62"/>
        <v>8157888.7987003997</v>
      </c>
      <c r="L63" s="58">
        <f t="shared" si="62"/>
        <v>8891879.2682761699</v>
      </c>
      <c r="M63" s="58">
        <f t="shared" si="62"/>
        <v>8912737.8629012089</v>
      </c>
      <c r="N63" s="58">
        <f t="shared" si="62"/>
        <v>8934013.6294187494</v>
      </c>
      <c r="O63" s="58">
        <f t="shared" si="62"/>
        <v>8955714.9112666398</v>
      </c>
      <c r="P63" s="58">
        <f t="shared" si="62"/>
        <v>8977850.2187514883</v>
      </c>
      <c r="Q63" s="58">
        <f t="shared" si="62"/>
        <v>9785323.186088454</v>
      </c>
      <c r="R63" s="58">
        <f t="shared" si="62"/>
        <v>9808352.7599956896</v>
      </c>
      <c r="S63" s="58">
        <f t="shared" si="62"/>
        <v>9831842.9253810719</v>
      </c>
      <c r="T63" s="58">
        <f t="shared" si="62"/>
        <v>9855802.8940741606</v>
      </c>
      <c r="U63" s="58">
        <f t="shared" si="62"/>
        <v>9880242.0621411111</v>
      </c>
      <c r="V63" s="58">
        <f t="shared" si="62"/>
        <v>10768554.462642066</v>
      </c>
      <c r="W63" s="58">
        <f t="shared" si="62"/>
        <v>10793980.973098921</v>
      </c>
      <c r="X63" s="58">
        <f t="shared" si="62"/>
        <v>10819916.013764914</v>
      </c>
      <c r="Y63" s="58">
        <f t="shared" si="62"/>
        <v>10846369.755244227</v>
      </c>
      <c r="Z63" s="58">
        <f t="shared" si="62"/>
        <v>10873352.571553126</v>
      </c>
    </row>
    <row r="65" spans="2:26">
      <c r="B65" s="15" t="s">
        <v>585</v>
      </c>
      <c r="F65" s="16">
        <f>+F54*Assumptions!$O$121*'Phase II Pro Forma'!F58</f>
        <v>0</v>
      </c>
      <c r="G65" s="16">
        <f>+G54*Assumptions!$O$121*'Phase II Pro Forma'!G58</f>
        <v>0</v>
      </c>
      <c r="H65" s="16">
        <f>+H54*Assumptions!$O$121*'Phase II Pro Forma'!H58</f>
        <v>0</v>
      </c>
      <c r="I65" s="16">
        <f>+I54*Assumptions!$O$121*'Phase II Pro Forma'!I58</f>
        <v>416379.1779047678</v>
      </c>
      <c r="J65" s="16">
        <f>+J54*Assumptions!$O$121*'Phase II Pro Forma'!J58</f>
        <v>849413.52292572637</v>
      </c>
      <c r="K65" s="16">
        <f>+K54*Assumptions!$O$121*'Phase II Pro Forma'!K58</f>
        <v>866401.79338424094</v>
      </c>
      <c r="L65" s="16">
        <f>+L54*Assumptions!$O$121*'Phase II Pro Forma'!L58</f>
        <v>883729.82925192581</v>
      </c>
      <c r="M65" s="16">
        <f>+M54*Assumptions!$O$121*'Phase II Pro Forma'!M58</f>
        <v>901404.42583696428</v>
      </c>
      <c r="N65" s="16">
        <f>+N54*Assumptions!$O$121*'Phase II Pro Forma'!N58</f>
        <v>919432.51435370359</v>
      </c>
      <c r="O65" s="16">
        <f>+O54*Assumptions!$O$121*'Phase II Pro Forma'!O58</f>
        <v>937821.16464077774</v>
      </c>
      <c r="P65" s="16">
        <f>+P54*Assumptions!$O$121*'Phase II Pro Forma'!P58</f>
        <v>956577.58793359331</v>
      </c>
      <c r="Q65" s="16">
        <f>+Q54*Assumptions!$O$121*'Phase II Pro Forma'!Q58</f>
        <v>975709.13969226519</v>
      </c>
      <c r="R65" s="16">
        <f>+R54*Assumptions!$O$121*'Phase II Pro Forma'!R58</f>
        <v>995223.3224861105</v>
      </c>
      <c r="S65" s="16">
        <f>+S54*Assumptions!$O$121*'Phase II Pro Forma'!S58</f>
        <v>1015127.7889358326</v>
      </c>
      <c r="T65" s="16">
        <f>+T54*Assumptions!$O$121*'Phase II Pro Forma'!T58</f>
        <v>1035430.3447145494</v>
      </c>
      <c r="U65" s="16">
        <f>+U54*Assumptions!$O$121*'Phase II Pro Forma'!U58</f>
        <v>1056138.9516088404</v>
      </c>
      <c r="V65" s="16">
        <f>+V54*Assumptions!$O$121*'Phase II Pro Forma'!V58</f>
        <v>1077261.7306410172</v>
      </c>
      <c r="W65" s="16">
        <f>+W54*Assumptions!$O$121*'Phase II Pro Forma'!W58</f>
        <v>1098806.9652538376</v>
      </c>
      <c r="X65" s="16">
        <f>+X54*Assumptions!$O$121*'Phase II Pro Forma'!X58</f>
        <v>1120783.1045589144</v>
      </c>
      <c r="Y65" s="16">
        <f>+Y54*Assumptions!$O$121*'Phase II Pro Forma'!Y58</f>
        <v>1143198.7666500926</v>
      </c>
      <c r="Z65" s="16">
        <f>+Z54*Assumptions!$O$121*'Phase II Pro Forma'!Z58</f>
        <v>1166062.7419830947</v>
      </c>
    </row>
    <row r="66" spans="2:26" s="659" customFormat="1">
      <c r="B66" s="659" t="s">
        <v>595</v>
      </c>
      <c r="F66" s="698"/>
      <c r="G66" s="698">
        <v>0</v>
      </c>
      <c r="H66" s="698">
        <v>0</v>
      </c>
      <c r="I66" s="698">
        <f>('Parcel x Block Info'!$P$16*0.09)*I55</f>
        <v>132199.62670619998</v>
      </c>
      <c r="J66" s="698">
        <f>('Parcel x Block Info'!$P$16*0.09)</f>
        <v>264399.25341239996</v>
      </c>
      <c r="K66" s="698">
        <f t="shared" ref="K66:Z66" si="63">J66*1.02</f>
        <v>269687.23848064797</v>
      </c>
      <c r="L66" s="698">
        <f t="shared" si="63"/>
        <v>275080.98325026094</v>
      </c>
      <c r="M66" s="698">
        <f t="shared" si="63"/>
        <v>280582.60291526618</v>
      </c>
      <c r="N66" s="698">
        <f t="shared" si="63"/>
        <v>286194.25497357151</v>
      </c>
      <c r="O66" s="698">
        <f t="shared" si="63"/>
        <v>291918.14007304295</v>
      </c>
      <c r="P66" s="698">
        <f t="shared" si="63"/>
        <v>297756.50287450379</v>
      </c>
      <c r="Q66" s="698">
        <f t="shared" si="63"/>
        <v>303711.63293199387</v>
      </c>
      <c r="R66" s="698">
        <f t="shared" si="63"/>
        <v>309785.86559063377</v>
      </c>
      <c r="S66" s="698">
        <f t="shared" si="63"/>
        <v>315981.58290244645</v>
      </c>
      <c r="T66" s="698">
        <f t="shared" si="63"/>
        <v>322301.2145604954</v>
      </c>
      <c r="U66" s="698">
        <f t="shared" si="63"/>
        <v>328747.23885170533</v>
      </c>
      <c r="V66" s="698">
        <f t="shared" si="63"/>
        <v>335322.18362873944</v>
      </c>
      <c r="W66" s="698">
        <f t="shared" si="63"/>
        <v>342028.62730131426</v>
      </c>
      <c r="X66" s="698">
        <f t="shared" si="63"/>
        <v>348869.19984734058</v>
      </c>
      <c r="Y66" s="698">
        <f t="shared" si="63"/>
        <v>355846.58384428738</v>
      </c>
      <c r="Z66" s="698">
        <f t="shared" si="63"/>
        <v>362963.51552117313</v>
      </c>
    </row>
    <row r="67" spans="2:26">
      <c r="B67" s="62" t="s">
        <v>586</v>
      </c>
      <c r="C67" s="62"/>
      <c r="D67" s="62"/>
      <c r="E67" s="62"/>
      <c r="F67" s="58">
        <f>+SUM(F65:F66)</f>
        <v>0</v>
      </c>
      <c r="G67" s="58">
        <f t="shared" ref="G67" si="64">+SUM(G65:G66)</f>
        <v>0</v>
      </c>
      <c r="H67" s="58">
        <f t="shared" ref="H67" si="65">+SUM(H65:H66)</f>
        <v>0</v>
      </c>
      <c r="I67" s="58">
        <f t="shared" ref="I67:Z67" si="66">+SUM(I65:I66)</f>
        <v>548578.80461096775</v>
      </c>
      <c r="J67" s="58">
        <f t="shared" si="66"/>
        <v>1113812.7763381263</v>
      </c>
      <c r="K67" s="58">
        <f t="shared" si="66"/>
        <v>1136089.031864889</v>
      </c>
      <c r="L67" s="58">
        <f t="shared" si="66"/>
        <v>1158810.8125021867</v>
      </c>
      <c r="M67" s="58">
        <f t="shared" si="66"/>
        <v>1181987.0287522306</v>
      </c>
      <c r="N67" s="58">
        <f t="shared" si="66"/>
        <v>1205626.769327275</v>
      </c>
      <c r="O67" s="58">
        <f t="shared" si="66"/>
        <v>1229739.3047138206</v>
      </c>
      <c r="P67" s="58">
        <f t="shared" si="66"/>
        <v>1254334.090808097</v>
      </c>
      <c r="Q67" s="58">
        <f t="shared" si="66"/>
        <v>1279420.7726242591</v>
      </c>
      <c r="R67" s="58">
        <f t="shared" si="66"/>
        <v>1305009.1880767443</v>
      </c>
      <c r="S67" s="58">
        <f t="shared" si="66"/>
        <v>1331109.3718382791</v>
      </c>
      <c r="T67" s="58">
        <f t="shared" si="66"/>
        <v>1357731.5592750448</v>
      </c>
      <c r="U67" s="58">
        <f t="shared" si="66"/>
        <v>1384886.1904605457</v>
      </c>
      <c r="V67" s="58">
        <f t="shared" si="66"/>
        <v>1412583.9142697565</v>
      </c>
      <c r="W67" s="58">
        <f t="shared" si="66"/>
        <v>1440835.5925551518</v>
      </c>
      <c r="X67" s="58">
        <f t="shared" si="66"/>
        <v>1469652.304406255</v>
      </c>
      <c r="Y67" s="58">
        <f t="shared" si="66"/>
        <v>1499045.3504943799</v>
      </c>
      <c r="Z67" s="58">
        <f t="shared" si="66"/>
        <v>1529026.2575042679</v>
      </c>
    </row>
    <row r="68" spans="2:26">
      <c r="B68" s="15"/>
    </row>
    <row r="69" spans="2:26">
      <c r="B69" s="653" t="s">
        <v>587</v>
      </c>
      <c r="C69" s="653"/>
      <c r="D69" s="653"/>
      <c r="E69" s="653"/>
      <c r="F69" s="544">
        <f>+F63-F67</f>
        <v>0</v>
      </c>
      <c r="G69" s="544">
        <f t="shared" ref="G69:H69" si="67">+G63-G67</f>
        <v>0</v>
      </c>
      <c r="H69" s="544">
        <f t="shared" si="67"/>
        <v>0</v>
      </c>
      <c r="I69" s="544">
        <f t="shared" ref="I69:Z69" si="68">+I63-I67</f>
        <v>3512846.4545499031</v>
      </c>
      <c r="J69" s="544">
        <f t="shared" si="68"/>
        <v>7024027.3923881864</v>
      </c>
      <c r="K69" s="544">
        <f t="shared" si="68"/>
        <v>7021799.7668355107</v>
      </c>
      <c r="L69" s="544">
        <f t="shared" si="68"/>
        <v>7733068.4557739832</v>
      </c>
      <c r="M69" s="544">
        <f t="shared" si="68"/>
        <v>7730750.8341489788</v>
      </c>
      <c r="N69" s="544">
        <f t="shared" si="68"/>
        <v>7728386.8600914739</v>
      </c>
      <c r="O69" s="544">
        <f t="shared" si="68"/>
        <v>7725975.6065528188</v>
      </c>
      <c r="P69" s="544">
        <f t="shared" si="68"/>
        <v>7723516.127943391</v>
      </c>
      <c r="Q69" s="544">
        <f t="shared" si="68"/>
        <v>8505902.4134641942</v>
      </c>
      <c r="R69" s="544">
        <f t="shared" si="68"/>
        <v>8503343.5719189458</v>
      </c>
      <c r="S69" s="544">
        <f t="shared" si="68"/>
        <v>8500733.5535427928</v>
      </c>
      <c r="T69" s="544">
        <f t="shared" si="68"/>
        <v>8498071.3347991165</v>
      </c>
      <c r="U69" s="544">
        <f t="shared" si="68"/>
        <v>8495355.8716805652</v>
      </c>
      <c r="V69" s="544">
        <f t="shared" si="68"/>
        <v>9355970.5483723097</v>
      </c>
      <c r="W69" s="544">
        <f t="shared" si="68"/>
        <v>9353145.3805437684</v>
      </c>
      <c r="X69" s="544">
        <f t="shared" si="68"/>
        <v>9350263.7093586586</v>
      </c>
      <c r="Y69" s="544">
        <f t="shared" si="68"/>
        <v>9347324.4047498479</v>
      </c>
      <c r="Z69" s="544">
        <f t="shared" si="68"/>
        <v>9344326.3140488584</v>
      </c>
    </row>
    <row r="70" spans="2:26">
      <c r="B70" s="654" t="s">
        <v>588</v>
      </c>
      <c r="C70" s="655"/>
      <c r="D70" s="655"/>
      <c r="E70" s="655"/>
      <c r="F70" s="656" t="str">
        <f>+IFERROR(F69/F63,"")</f>
        <v/>
      </c>
      <c r="G70" s="656" t="str">
        <f t="shared" ref="G70:H70" si="69">+IFERROR(G69/G63,"")</f>
        <v/>
      </c>
      <c r="H70" s="656" t="str">
        <f t="shared" si="69"/>
        <v/>
      </c>
      <c r="I70" s="657">
        <f t="shared" ref="I70:Z70" si="70">+IFERROR(I69/I63,"")</f>
        <v>0.86492948420665772</v>
      </c>
      <c r="J70" s="657">
        <f t="shared" si="70"/>
        <v>0.86313164755698879</v>
      </c>
      <c r="K70" s="657">
        <f t="shared" si="70"/>
        <v>0.86073737214389645</v>
      </c>
      <c r="L70" s="657">
        <f t="shared" si="70"/>
        <v>0.86967762634424073</v>
      </c>
      <c r="M70" s="657">
        <f t="shared" si="70"/>
        <v>0.86738227389451372</v>
      </c>
      <c r="N70" s="657">
        <f t="shared" si="70"/>
        <v>0.86505205618253411</v>
      </c>
      <c r="O70" s="657">
        <f t="shared" si="70"/>
        <v>0.86268664010655804</v>
      </c>
      <c r="P70" s="657">
        <f t="shared" si="70"/>
        <v>0.86028569643674313</v>
      </c>
      <c r="Q70" s="657">
        <f t="shared" si="70"/>
        <v>0.86925104584760371</v>
      </c>
      <c r="R70" s="657">
        <f t="shared" si="70"/>
        <v>0.86694919931924252</v>
      </c>
      <c r="S70" s="657">
        <f t="shared" si="70"/>
        <v>0.86461242496032997</v>
      </c>
      <c r="T70" s="657">
        <f t="shared" si="70"/>
        <v>0.86224039037028777</v>
      </c>
      <c r="U70" s="657">
        <f t="shared" si="70"/>
        <v>0.85983276707691991</v>
      </c>
      <c r="V70" s="657">
        <f t="shared" si="70"/>
        <v>0.86882325578885744</v>
      </c>
      <c r="W70" s="657">
        <f t="shared" si="70"/>
        <v>0.86651490343126925</v>
      </c>
      <c r="X70" s="657">
        <f t="shared" si="70"/>
        <v>0.86417156080171154</v>
      </c>
      <c r="Y70" s="657">
        <f t="shared" si="70"/>
        <v>0.86179289621123323</v>
      </c>
      <c r="Z70" s="657">
        <f t="shared" si="70"/>
        <v>0.85937858195599148</v>
      </c>
    </row>
    <row r="71" spans="2:26">
      <c r="B71" s="654" t="s">
        <v>589</v>
      </c>
      <c r="C71" s="655"/>
      <c r="D71" s="655"/>
      <c r="E71" s="655"/>
      <c r="F71" s="658">
        <f>+F69/Assumptions!$O$130</f>
        <v>0</v>
      </c>
      <c r="G71" s="658">
        <f>+G69/Assumptions!$O$130</f>
        <v>0</v>
      </c>
      <c r="H71" s="658">
        <f>+H69/Assumptions!$O$130</f>
        <v>0</v>
      </c>
      <c r="I71" s="658">
        <f>+I69/Assumptions!$O$130</f>
        <v>58547440.909165055</v>
      </c>
      <c r="J71" s="658">
        <f>+J69/Assumptions!$O$130</f>
        <v>117067123.20646977</v>
      </c>
      <c r="K71" s="658">
        <f>+K69/Assumptions!$O$130</f>
        <v>117029996.11392519</v>
      </c>
      <c r="L71" s="658">
        <f>+L69/Assumptions!$O$130</f>
        <v>128884474.26289973</v>
      </c>
      <c r="M71" s="658">
        <f>+M69/Assumptions!$O$130</f>
        <v>128845847.23581631</v>
      </c>
      <c r="N71" s="658">
        <f>+N69/Assumptions!$O$130</f>
        <v>128806447.66819124</v>
      </c>
      <c r="O71" s="658">
        <f>+O69/Assumptions!$O$130</f>
        <v>128766260.10921365</v>
      </c>
      <c r="P71" s="658">
        <f>+P69/Assumptions!$O$130</f>
        <v>128725268.79905652</v>
      </c>
      <c r="Q71" s="658">
        <f>+Q69/Assumptions!$O$130</f>
        <v>141765040.22440323</v>
      </c>
      <c r="R71" s="658">
        <f>+R69/Assumptions!$O$130</f>
        <v>141722392.86531577</v>
      </c>
      <c r="S71" s="658">
        <f>+S69/Assumptions!$O$130</f>
        <v>141678892.55904657</v>
      </c>
      <c r="T71" s="658">
        <f>+T69/Assumptions!$O$130</f>
        <v>141634522.24665195</v>
      </c>
      <c r="U71" s="658">
        <f>+U69/Assumptions!$O$130</f>
        <v>141589264.52800941</v>
      </c>
      <c r="V71" s="658">
        <f>+V69/Assumptions!$O$130</f>
        <v>155932842.47287184</v>
      </c>
      <c r="W71" s="658">
        <f>+W69/Assumptions!$O$130</f>
        <v>155885756.34239614</v>
      </c>
      <c r="X71" s="658">
        <f>+X69/Assumptions!$O$130</f>
        <v>155837728.48931098</v>
      </c>
      <c r="Y71" s="658">
        <f>+Y69/Assumptions!$O$130</f>
        <v>155788740.07916415</v>
      </c>
      <c r="Z71" s="658">
        <f>+Z69/Assumptions!$O$130</f>
        <v>155738771.90081432</v>
      </c>
    </row>
    <row r="73" spans="2:26">
      <c r="B73" s="73" t="s">
        <v>143</v>
      </c>
      <c r="C73" s="74"/>
      <c r="D73" s="74"/>
      <c r="E73" s="74"/>
      <c r="F73" s="75">
        <f>+Assumptions!$G$22</f>
        <v>44926</v>
      </c>
      <c r="G73" s="75">
        <f>+EOMONTH(F73,12)</f>
        <v>45291</v>
      </c>
      <c r="H73" s="75">
        <f t="shared" ref="H73:Z73" si="71">+EOMONTH(G73,12)</f>
        <v>45657</v>
      </c>
      <c r="I73" s="75">
        <f t="shared" si="71"/>
        <v>46022</v>
      </c>
      <c r="J73" s="75">
        <f t="shared" si="71"/>
        <v>46387</v>
      </c>
      <c r="K73" s="75">
        <f t="shared" si="71"/>
        <v>46752</v>
      </c>
      <c r="L73" s="75">
        <f t="shared" si="71"/>
        <v>47118</v>
      </c>
      <c r="M73" s="75">
        <f t="shared" si="71"/>
        <v>47483</v>
      </c>
      <c r="N73" s="75">
        <f t="shared" si="71"/>
        <v>47848</v>
      </c>
      <c r="O73" s="75">
        <f t="shared" si="71"/>
        <v>48213</v>
      </c>
      <c r="P73" s="75">
        <f t="shared" si="71"/>
        <v>48579</v>
      </c>
      <c r="Q73" s="75">
        <f t="shared" si="71"/>
        <v>48944</v>
      </c>
      <c r="R73" s="75">
        <f t="shared" si="71"/>
        <v>49309</v>
      </c>
      <c r="S73" s="75">
        <f t="shared" si="71"/>
        <v>49674</v>
      </c>
      <c r="T73" s="75">
        <f t="shared" si="71"/>
        <v>50040</v>
      </c>
      <c r="U73" s="75">
        <f t="shared" si="71"/>
        <v>50405</v>
      </c>
      <c r="V73" s="75">
        <f t="shared" si="71"/>
        <v>50770</v>
      </c>
      <c r="W73" s="75">
        <f t="shared" si="71"/>
        <v>51135</v>
      </c>
      <c r="X73" s="75">
        <f t="shared" si="71"/>
        <v>51501</v>
      </c>
      <c r="Y73" s="75">
        <f t="shared" si="71"/>
        <v>51866</v>
      </c>
      <c r="Z73" s="75">
        <f t="shared" si="71"/>
        <v>52231</v>
      </c>
    </row>
    <row r="74" spans="2:26">
      <c r="B74" s="15" t="s">
        <v>575</v>
      </c>
      <c r="C74" s="15"/>
      <c r="D74" s="20"/>
      <c r="E74" s="20"/>
      <c r="F74" s="22">
        <f>+IF(AND(F73&gt;=Assumptions!$G$26,F73&lt;Assumptions!$G$28),Assumptions!$G$154/ROUNDUP((Assumptions!$G$27/12),0),0)</f>
        <v>0</v>
      </c>
      <c r="G74" s="22">
        <f>+IF(AND(G73&gt;=Assumptions!$G$26,G73&lt;Assumptions!$G$28),Assumptions!$G$154/ROUNDUP((Assumptions!$G$27/12),0),0)</f>
        <v>0</v>
      </c>
      <c r="H74" s="22">
        <f>+IF(AND(H73&gt;=Assumptions!$G$26,H73&lt;Assumptions!$G$28),Assumptions!$G$154/ROUNDUP((Assumptions!$G$27/12),0),0)</f>
        <v>0</v>
      </c>
      <c r="I74" s="22">
        <f>+IF(AND(I73&gt;=Assumptions!$G$26,I73&lt;Assumptions!$G$28),Assumptions!$G$154/ROUNDUP((Assumptions!$G$27/12),0),0)</f>
        <v>5.0000000000000002E-5</v>
      </c>
      <c r="J74" s="22">
        <f>+IF(AND(J73&gt;=Assumptions!$G$26,J73&lt;Assumptions!$G$28),Assumptions!$G$154/ROUNDUP((Assumptions!$G$27/12),0),0)</f>
        <v>5.0000000000000002E-5</v>
      </c>
      <c r="K74" s="22">
        <f>+IF(AND(K73&gt;=Assumptions!$G$26,K73&lt;Assumptions!$G$28),Assumptions!$G$154/ROUNDUP((Assumptions!$G$27/12),0),0)</f>
        <v>0</v>
      </c>
      <c r="L74" s="22">
        <f>+IF(AND(L73&gt;=Assumptions!$G$26,L73&lt;Assumptions!$G$28),Assumptions!$G$154/ROUNDUP((Assumptions!$G$27/12),0),0)</f>
        <v>0</v>
      </c>
      <c r="M74" s="22">
        <f>+IF(AND(M73&gt;=Assumptions!$G$26,M73&lt;Assumptions!$G$28),Assumptions!$G$154/ROUNDUP((Assumptions!$G$27/12),0),0)</f>
        <v>0</v>
      </c>
      <c r="N74" s="22">
        <f>+IF(AND(N73&gt;=Assumptions!$G$26,N73&lt;Assumptions!$G$28),Assumptions!$G$154/ROUNDUP((Assumptions!$G$27/12),0),0)</f>
        <v>0</v>
      </c>
      <c r="O74" s="22">
        <f>+IF(AND(O73&gt;=Assumptions!$G$26,O73&lt;Assumptions!$G$28),Assumptions!$G$154/ROUNDUP((Assumptions!$G$27/12),0),0)</f>
        <v>0</v>
      </c>
      <c r="P74" s="22">
        <f>+IF(AND(P73&gt;=Assumptions!$G$26,P73&lt;Assumptions!$G$28),Assumptions!$G$154/ROUNDUP((Assumptions!$G$27/12),0),0)</f>
        <v>0</v>
      </c>
      <c r="Q74" s="22">
        <f>+IF(AND(Q73&gt;=Assumptions!$G$26,Q73&lt;Assumptions!$G$28),Assumptions!$G$154/ROUNDUP((Assumptions!$G$27/12),0),0)</f>
        <v>0</v>
      </c>
      <c r="R74" s="22">
        <f>+IF(AND(R73&gt;=Assumptions!$G$26,R73&lt;Assumptions!$G$28),Assumptions!$G$154/ROUNDUP((Assumptions!$G$27/12),0),0)</f>
        <v>0</v>
      </c>
      <c r="S74" s="22">
        <f>+IF(AND(S73&gt;=Assumptions!$G$26,S73&lt;Assumptions!$G$28),Assumptions!$G$154/ROUNDUP((Assumptions!$G$27/12),0),0)</f>
        <v>0</v>
      </c>
      <c r="T74" s="22">
        <f>+IF(AND(T73&gt;=Assumptions!$G$26,T73&lt;Assumptions!$G$28),Assumptions!$G$154/ROUNDUP((Assumptions!$G$27/12),0),0)</f>
        <v>0</v>
      </c>
      <c r="U74" s="22">
        <f>+IF(AND(U73&gt;=Assumptions!$G$26,U73&lt;Assumptions!$G$28),Assumptions!$G$154/ROUNDUP((Assumptions!$G$27/12),0),0)</f>
        <v>0</v>
      </c>
      <c r="V74" s="22">
        <f>+IF(AND(V73&gt;=Assumptions!$G$26,V73&lt;Assumptions!$G$28),Assumptions!$G$154/ROUNDUP((Assumptions!$G$27/12),0),0)</f>
        <v>0</v>
      </c>
      <c r="W74" s="22">
        <f>+IF(AND(W73&gt;=Assumptions!$G$26,W73&lt;Assumptions!$G$28),Assumptions!$G$154/ROUNDUP((Assumptions!$G$27/12),0),0)</f>
        <v>0</v>
      </c>
      <c r="X74" s="22">
        <f>+IF(AND(X73&gt;=Assumptions!$G$26,X73&lt;Assumptions!$G$28),Assumptions!$G$154/ROUNDUP((Assumptions!$G$27/12),0),0)</f>
        <v>0</v>
      </c>
      <c r="Y74" s="22">
        <f>+IF(AND(Y73&gt;=Assumptions!$G$26,Y73&lt;Assumptions!$G$28),Assumptions!$G$154/ROUNDUP((Assumptions!$G$27/12),0),0)</f>
        <v>0</v>
      </c>
      <c r="Z74" s="22">
        <f>+IF(AND(Z73&gt;=Assumptions!$G$26,Z73&lt;Assumptions!$G$28),Assumptions!$G$154/ROUNDUP((Assumptions!$G$27/12),0),0)</f>
        <v>0</v>
      </c>
    </row>
    <row r="75" spans="2:26">
      <c r="B75" s="15" t="s">
        <v>576</v>
      </c>
      <c r="C75" s="15"/>
      <c r="D75" s="22">
        <v>0</v>
      </c>
      <c r="E75" s="22"/>
      <c r="F75" s="22">
        <f>+D75+F74</f>
        <v>0</v>
      </c>
      <c r="G75" s="22">
        <f t="shared" ref="G75:Z75" si="72">+F75+G74</f>
        <v>0</v>
      </c>
      <c r="H75" s="22">
        <f t="shared" si="72"/>
        <v>0</v>
      </c>
      <c r="I75" s="22">
        <f t="shared" si="72"/>
        <v>5.0000000000000002E-5</v>
      </c>
      <c r="J75" s="22">
        <f t="shared" si="72"/>
        <v>1E-4</v>
      </c>
      <c r="K75" s="22">
        <f t="shared" si="72"/>
        <v>1E-4</v>
      </c>
      <c r="L75" s="22">
        <f t="shared" si="72"/>
        <v>1E-4</v>
      </c>
      <c r="M75" s="22">
        <f t="shared" si="72"/>
        <v>1E-4</v>
      </c>
      <c r="N75" s="22">
        <f t="shared" si="72"/>
        <v>1E-4</v>
      </c>
      <c r="O75" s="22">
        <f t="shared" si="72"/>
        <v>1E-4</v>
      </c>
      <c r="P75" s="22">
        <f t="shared" si="72"/>
        <v>1E-4</v>
      </c>
      <c r="Q75" s="22">
        <f t="shared" si="72"/>
        <v>1E-4</v>
      </c>
      <c r="R75" s="22">
        <f t="shared" si="72"/>
        <v>1E-4</v>
      </c>
      <c r="S75" s="22">
        <f t="shared" si="72"/>
        <v>1E-4</v>
      </c>
      <c r="T75" s="22">
        <f t="shared" si="72"/>
        <v>1E-4</v>
      </c>
      <c r="U75" s="22">
        <f t="shared" si="72"/>
        <v>1E-4</v>
      </c>
      <c r="V75" s="22">
        <f t="shared" si="72"/>
        <v>1E-4</v>
      </c>
      <c r="W75" s="22">
        <f t="shared" si="72"/>
        <v>1E-4</v>
      </c>
      <c r="X75" s="22">
        <f t="shared" si="72"/>
        <v>1E-4</v>
      </c>
      <c r="Y75" s="22">
        <f t="shared" si="72"/>
        <v>1E-4</v>
      </c>
      <c r="Z75" s="22">
        <f t="shared" si="72"/>
        <v>1E-4</v>
      </c>
    </row>
    <row r="76" spans="2:26">
      <c r="B76" s="15" t="s">
        <v>579</v>
      </c>
      <c r="C76" s="15"/>
      <c r="D76" s="22"/>
      <c r="E76" s="22"/>
      <c r="F76" s="49">
        <f t="shared" ref="F76:Z76" si="73">+F75/SUM($F74:$Z74)</f>
        <v>0</v>
      </c>
      <c r="G76" s="49">
        <f t="shared" si="73"/>
        <v>0</v>
      </c>
      <c r="H76" s="49">
        <f t="shared" si="73"/>
        <v>0</v>
      </c>
      <c r="I76" s="49">
        <f t="shared" si="73"/>
        <v>0.5</v>
      </c>
      <c r="J76" s="49">
        <f t="shared" si="73"/>
        <v>1</v>
      </c>
      <c r="K76" s="49">
        <f t="shared" si="73"/>
        <v>1</v>
      </c>
      <c r="L76" s="49">
        <f t="shared" si="73"/>
        <v>1</v>
      </c>
      <c r="M76" s="49">
        <f t="shared" si="73"/>
        <v>1</v>
      </c>
      <c r="N76" s="49">
        <f t="shared" si="73"/>
        <v>1</v>
      </c>
      <c r="O76" s="49">
        <f t="shared" si="73"/>
        <v>1</v>
      </c>
      <c r="P76" s="49">
        <f t="shared" si="73"/>
        <v>1</v>
      </c>
      <c r="Q76" s="49">
        <f t="shared" si="73"/>
        <v>1</v>
      </c>
      <c r="R76" s="49">
        <f t="shared" si="73"/>
        <v>1</v>
      </c>
      <c r="S76" s="49">
        <f t="shared" si="73"/>
        <v>1</v>
      </c>
      <c r="T76" s="49">
        <f t="shared" si="73"/>
        <v>1</v>
      </c>
      <c r="U76" s="49">
        <f t="shared" si="73"/>
        <v>1</v>
      </c>
      <c r="V76" s="49">
        <f t="shared" si="73"/>
        <v>1</v>
      </c>
      <c r="W76" s="49">
        <f t="shared" si="73"/>
        <v>1</v>
      </c>
      <c r="X76" s="49">
        <f t="shared" si="73"/>
        <v>1</v>
      </c>
      <c r="Y76" s="49">
        <f t="shared" si="73"/>
        <v>1</v>
      </c>
      <c r="Z76" s="49">
        <f t="shared" si="73"/>
        <v>1</v>
      </c>
    </row>
    <row r="77" spans="2:26">
      <c r="B77" s="15"/>
      <c r="C77" s="15"/>
      <c r="D77" s="20"/>
      <c r="E77" s="20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26">
      <c r="B78" s="15" t="s">
        <v>580</v>
      </c>
      <c r="C78" s="15"/>
      <c r="D78" s="22"/>
      <c r="E78" s="22"/>
      <c r="F78" s="49">
        <v>1</v>
      </c>
      <c r="G78" s="49">
        <f>+IF(MOD(G$1,Assumptions!$O$69)=(Assumptions!$O$69-1),F78*(1+Assumptions!$O$68),'Phase II Pro Forma'!F78)</f>
        <v>1</v>
      </c>
      <c r="H78" s="49">
        <f>+IF(MOD(H$1,Assumptions!$O$69)=(Assumptions!$O$69-1),G78*(1+Assumptions!$O$68),'Phase II Pro Forma'!G78)</f>
        <v>1</v>
      </c>
      <c r="I78" s="49">
        <f>+IF(MOD(I$1,Assumptions!$O$69)=(Assumptions!$O$69-1),H78*(1+Assumptions!$O$68),'Phase II Pro Forma'!H78)</f>
        <v>1</v>
      </c>
      <c r="J78" s="49">
        <f>+IF(MOD(J$1,Assumptions!$O$69)=(Assumptions!$O$69-1),I78*(1+Assumptions!$O$68),'Phase II Pro Forma'!I78)</f>
        <v>1</v>
      </c>
      <c r="K78" s="49">
        <f>+IF(MOD(K$1,Assumptions!$O$69)=(Assumptions!$O$69-1),J78*(1+Assumptions!$O$68),'Phase II Pro Forma'!J78)</f>
        <v>1</v>
      </c>
      <c r="L78" s="49">
        <f>+IF(MOD(L$1,Assumptions!$O$69)=(Assumptions!$O$69-1),K78*(1+Assumptions!$O$68),'Phase II Pro Forma'!K78)</f>
        <v>1.05</v>
      </c>
      <c r="M78" s="49">
        <f>+IF(MOD(M$1,Assumptions!$O$69)=(Assumptions!$O$69-1),L78*(1+Assumptions!$O$68),'Phase II Pro Forma'!L78)</f>
        <v>1.05</v>
      </c>
      <c r="N78" s="49">
        <f>+IF(MOD(N$1,Assumptions!$O$69)=(Assumptions!$O$69-1),M78*(1+Assumptions!$O$68),'Phase II Pro Forma'!M78)</f>
        <v>1.05</v>
      </c>
      <c r="O78" s="49">
        <f>+IF(MOD(O$1,Assumptions!$O$69)=(Assumptions!$O$69-1),N78*(1+Assumptions!$O$68),'Phase II Pro Forma'!N78)</f>
        <v>1.05</v>
      </c>
      <c r="P78" s="49">
        <f>+IF(MOD(P$1,Assumptions!$O$69)=(Assumptions!$O$69-1),O78*(1+Assumptions!$O$68),'Phase II Pro Forma'!O78)</f>
        <v>1.05</v>
      </c>
      <c r="Q78" s="49">
        <f>+IF(MOD(Q$1,Assumptions!$O$69)=(Assumptions!$O$69-1),P78*(1+Assumptions!$O$68),'Phase II Pro Forma'!P78)</f>
        <v>1.1025</v>
      </c>
      <c r="R78" s="49">
        <f>+IF(MOD(R$1,Assumptions!$O$69)=(Assumptions!$O$69-1),Q78*(1+Assumptions!$O$68),'Phase II Pro Forma'!Q78)</f>
        <v>1.1025</v>
      </c>
      <c r="S78" s="49">
        <f>+IF(MOD(S$1,Assumptions!$O$69)=(Assumptions!$O$69-1),R78*(1+Assumptions!$O$68),'Phase II Pro Forma'!R78)</f>
        <v>1.1025</v>
      </c>
      <c r="T78" s="49">
        <f>+IF(MOD(T$1,Assumptions!$O$69)=(Assumptions!$O$69-1),S78*(1+Assumptions!$O$68),'Phase II Pro Forma'!S78)</f>
        <v>1.1025</v>
      </c>
      <c r="U78" s="49">
        <f>+IF(MOD(U$1,Assumptions!$O$69)=(Assumptions!$O$69-1),T78*(1+Assumptions!$O$68),'Phase II Pro Forma'!T78)</f>
        <v>1.1025</v>
      </c>
      <c r="V78" s="49">
        <f>+IF(MOD(V$1,Assumptions!$O$69)=(Assumptions!$O$69-1),U78*(1+Assumptions!$O$68),'Phase II Pro Forma'!U78)</f>
        <v>1.1576250000000001</v>
      </c>
      <c r="W78" s="49">
        <f>+IF(MOD(W$1,Assumptions!$O$69)=(Assumptions!$O$69-1),V78*(1+Assumptions!$O$68),'Phase II Pro Forma'!V78)</f>
        <v>1.1576250000000001</v>
      </c>
      <c r="X78" s="49">
        <f>+IF(MOD(X$1,Assumptions!$O$69)=(Assumptions!$O$69-1),W78*(1+Assumptions!$O$68),'Phase II Pro Forma'!W78)</f>
        <v>1.1576250000000001</v>
      </c>
      <c r="Y78" s="49">
        <f>+IF(MOD(Y$1,Assumptions!$O$69)=(Assumptions!$O$69-1),X78*(1+Assumptions!$O$68),'Phase II Pro Forma'!X78)</f>
        <v>1.1576250000000001</v>
      </c>
      <c r="Z78" s="49">
        <f>+IF(MOD(Z$1,Assumptions!$O$69)=(Assumptions!$O$69-1),Y78*(1+Assumptions!$O$68),'Phase II Pro Forma'!Y78)</f>
        <v>1.1576250000000001</v>
      </c>
    </row>
    <row r="79" spans="2:26">
      <c r="B79" s="15" t="s">
        <v>581</v>
      </c>
      <c r="C79" s="15"/>
      <c r="D79" s="22"/>
      <c r="E79" s="22"/>
      <c r="F79" s="49">
        <v>1</v>
      </c>
      <c r="G79" s="49">
        <f>+F79*(1+Assumptions!$O$79)</f>
        <v>1.02</v>
      </c>
      <c r="H79" s="49">
        <f>+G79*(1+Assumptions!$O$79)</f>
        <v>1.0404</v>
      </c>
      <c r="I79" s="49">
        <f>+H79*(1+Assumptions!$O$79)</f>
        <v>1.0612079999999999</v>
      </c>
      <c r="J79" s="49">
        <f>+I79*(1+Assumptions!$O$79)</f>
        <v>1.08243216</v>
      </c>
      <c r="K79" s="49">
        <f>+J79*(1+Assumptions!$O$79)</f>
        <v>1.1040808032</v>
      </c>
      <c r="L79" s="49">
        <f>+K79*(1+Assumptions!$O$79)</f>
        <v>1.1261624192640001</v>
      </c>
      <c r="M79" s="49">
        <f>+L79*(1+Assumptions!$O$79)</f>
        <v>1.14868566764928</v>
      </c>
      <c r="N79" s="49">
        <f>+M79*(1+Assumptions!$O$79)</f>
        <v>1.1716593810022657</v>
      </c>
      <c r="O79" s="49">
        <f>+N79*(1+Assumptions!$O$79)</f>
        <v>1.1950925686223111</v>
      </c>
      <c r="P79" s="49">
        <f>+O79*(1+Assumptions!$O$79)</f>
        <v>1.2189944199947573</v>
      </c>
      <c r="Q79" s="49">
        <f>+P79*(1+Assumptions!$O$79)</f>
        <v>1.2433743083946525</v>
      </c>
      <c r="R79" s="49">
        <f>+Q79*(1+Assumptions!$O$79)</f>
        <v>1.2682417945625455</v>
      </c>
      <c r="S79" s="49">
        <f>+R79*(1+Assumptions!$O$79)</f>
        <v>1.2936066304537963</v>
      </c>
      <c r="T79" s="49">
        <f>+S79*(1+Assumptions!$O$79)</f>
        <v>1.3194787630628724</v>
      </c>
      <c r="U79" s="49">
        <f>+T79*(1+Assumptions!$O$79)</f>
        <v>1.3458683383241299</v>
      </c>
      <c r="V79" s="49">
        <f>+U79*(1+Assumptions!$O$79)</f>
        <v>1.3727857050906125</v>
      </c>
      <c r="W79" s="49">
        <f>+V79*(1+Assumptions!$O$79)</f>
        <v>1.4002414191924248</v>
      </c>
      <c r="X79" s="49">
        <f>+W79*(1+Assumptions!$O$79)</f>
        <v>1.4282462475762734</v>
      </c>
      <c r="Y79" s="49">
        <f>+X79*(1+Assumptions!$O$79)</f>
        <v>1.4568111725277988</v>
      </c>
      <c r="Z79" s="49">
        <f>+Y79*(1+Assumptions!$O$79)</f>
        <v>1.4859473959783549</v>
      </c>
    </row>
    <row r="80" spans="2:26">
      <c r="B80" s="15"/>
      <c r="C80" s="15"/>
      <c r="D80" s="20"/>
      <c r="E80" s="20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>
      <c r="B81" s="15" t="s">
        <v>582</v>
      </c>
      <c r="C81" s="15"/>
      <c r="D81" s="20"/>
      <c r="E81" s="20"/>
      <c r="F81" s="16">
        <f>+F76*Assumptions!$G$153*F78</f>
        <v>0</v>
      </c>
      <c r="G81" s="16">
        <f>+G76*Assumptions!$G$153*G78</f>
        <v>0</v>
      </c>
      <c r="H81" s="16">
        <f>+H76*Assumptions!$G$153*H78</f>
        <v>0</v>
      </c>
      <c r="I81" s="16">
        <f>+I76*Assumptions!$G$153*I78</f>
        <v>0</v>
      </c>
      <c r="J81" s="16">
        <f>+J76*Assumptions!$G$153*J78</f>
        <v>0</v>
      </c>
      <c r="K81" s="16">
        <f>+K76*Assumptions!$G$153*K78</f>
        <v>0</v>
      </c>
      <c r="L81" s="16">
        <f>+L76*Assumptions!$G$153*L78</f>
        <v>0</v>
      </c>
      <c r="M81" s="16">
        <f>+M76*Assumptions!$G$153*M78</f>
        <v>0</v>
      </c>
      <c r="N81" s="16">
        <f>+N76*Assumptions!$G$153*N78</f>
        <v>0</v>
      </c>
      <c r="O81" s="16">
        <f>+O76*Assumptions!$G$153*O78</f>
        <v>0</v>
      </c>
      <c r="P81" s="16">
        <f>+P76*Assumptions!$G$153*P78</f>
        <v>0</v>
      </c>
      <c r="Q81" s="16">
        <f>+Q76*Assumptions!$G$153*Q78</f>
        <v>0</v>
      </c>
      <c r="R81" s="16">
        <f>+R76*Assumptions!$G$153*R78</f>
        <v>0</v>
      </c>
      <c r="S81" s="16">
        <f>+S76*Assumptions!$G$153*S78</f>
        <v>0</v>
      </c>
      <c r="T81" s="16">
        <f>+T76*Assumptions!$G$153*T78</f>
        <v>0</v>
      </c>
      <c r="U81" s="16">
        <f>+U76*Assumptions!$G$153*U78</f>
        <v>0</v>
      </c>
      <c r="V81" s="16">
        <f>+V76*Assumptions!$G$153*V78</f>
        <v>0</v>
      </c>
      <c r="W81" s="16">
        <f>+W76*Assumptions!$G$153*W78</f>
        <v>0</v>
      </c>
      <c r="X81" s="16">
        <f>+X76*Assumptions!$G$153*X78</f>
        <v>0</v>
      </c>
      <c r="Y81" s="16">
        <f>+Y76*Assumptions!$G$153*Y78</f>
        <v>0</v>
      </c>
      <c r="Z81" s="16">
        <f>+Z76*Assumptions!$G$153*Z78</f>
        <v>0</v>
      </c>
    </row>
    <row r="82" spans="2:26">
      <c r="B82" s="15" t="s">
        <v>583</v>
      </c>
      <c r="C82" s="15"/>
      <c r="D82" s="20"/>
      <c r="E82" s="20"/>
      <c r="F82" s="22">
        <f>-F81*Assumptions!$O$57</f>
        <v>0</v>
      </c>
      <c r="G82" s="22">
        <f>-G81*Assumptions!$O$57</f>
        <v>0</v>
      </c>
      <c r="H82" s="22">
        <f>-H81*Assumptions!$O$57</f>
        <v>0</v>
      </c>
      <c r="I82" s="22">
        <f>-I81*Assumptions!$O$57</f>
        <v>0</v>
      </c>
      <c r="J82" s="22">
        <f>-J81*Assumptions!$O$57</f>
        <v>0</v>
      </c>
      <c r="K82" s="22">
        <f>-K81*Assumptions!$O$57</f>
        <v>0</v>
      </c>
      <c r="L82" s="22">
        <f>-L81*Assumptions!$O$57</f>
        <v>0</v>
      </c>
      <c r="M82" s="22">
        <f>-M81*Assumptions!$O$57</f>
        <v>0</v>
      </c>
      <c r="N82" s="22">
        <f>-N81*Assumptions!$O$57</f>
        <v>0</v>
      </c>
      <c r="O82" s="22">
        <f>-O81*Assumptions!$O$57</f>
        <v>0</v>
      </c>
      <c r="P82" s="22">
        <f>-P81*Assumptions!$O$57</f>
        <v>0</v>
      </c>
      <c r="Q82" s="22">
        <f>-Q81*Assumptions!$O$57</f>
        <v>0</v>
      </c>
      <c r="R82" s="22">
        <f>-R81*Assumptions!$O$57</f>
        <v>0</v>
      </c>
      <c r="S82" s="22">
        <f>-S81*Assumptions!$O$57</f>
        <v>0</v>
      </c>
      <c r="T82" s="22">
        <f>-T81*Assumptions!$O$57</f>
        <v>0</v>
      </c>
      <c r="U82" s="22">
        <f>-U81*Assumptions!$O$57</f>
        <v>0</v>
      </c>
      <c r="V82" s="22">
        <f>-V81*Assumptions!$O$57</f>
        <v>0</v>
      </c>
      <c r="W82" s="22">
        <f>-W81*Assumptions!$O$57</f>
        <v>0</v>
      </c>
      <c r="X82" s="22">
        <f>-X81*Assumptions!$O$57</f>
        <v>0</v>
      </c>
      <c r="Y82" s="22">
        <f>-Y81*Assumptions!$O$57</f>
        <v>0</v>
      </c>
      <c r="Z82" s="22">
        <f>-Z81*Assumptions!$O$57</f>
        <v>0</v>
      </c>
    </row>
    <row r="83" spans="2:26">
      <c r="B83" s="15" t="s">
        <v>593</v>
      </c>
      <c r="C83" s="15"/>
      <c r="D83" s="20"/>
      <c r="E83" s="20"/>
      <c r="F83" s="76">
        <f ca="1">+F88*Assumptions!$O$90</f>
        <v>0</v>
      </c>
      <c r="G83" s="76">
        <f ca="1">+G88*Assumptions!$O$90</f>
        <v>0</v>
      </c>
      <c r="H83" s="76">
        <f ca="1">+H88*Assumptions!$O$90</f>
        <v>0</v>
      </c>
      <c r="I83" s="76">
        <f ca="1">+I88*Assumptions!$O$90</f>
        <v>3.8642828111999997E-4</v>
      </c>
      <c r="J83" s="76">
        <f ca="1">+J88*Assumptions!$O$90</f>
        <v>7.8831369348479998E-4</v>
      </c>
      <c r="K83" s="76">
        <f ca="1">+K88*Assumptions!$O$90</f>
        <v>8.0407996735449596E-4</v>
      </c>
      <c r="L83" s="76">
        <f ca="1">+L88*Assumptions!$O$90</f>
        <v>8.2016156670158596E-4</v>
      </c>
      <c r="M83" s="76">
        <f ca="1">+M88*Assumptions!$O$90</f>
        <v>8.3656479803561766E-4</v>
      </c>
      <c r="N83" s="76">
        <f ca="1">+N88*Assumptions!$O$90</f>
        <v>8.5329609399633006E-4</v>
      </c>
      <c r="O83" s="76">
        <f ca="1">+O88*Assumptions!$O$90</f>
        <v>8.7036201587625665E-4</v>
      </c>
      <c r="P83" s="76">
        <f ca="1">+P88*Assumptions!$O$90</f>
        <v>8.8776925619378185E-4</v>
      </c>
      <c r="Q83" s="76">
        <f ca="1">+Q88*Assumptions!$O$90</f>
        <v>9.0552464131765751E-4</v>
      </c>
      <c r="R83" s="76">
        <f ca="1">+R88*Assumptions!$O$90</f>
        <v>9.2363513414401059E-4</v>
      </c>
      <c r="S83" s="76">
        <f ca="1">+S88*Assumptions!$O$90</f>
        <v>9.4210783682689074E-4</v>
      </c>
      <c r="T83" s="76">
        <f ca="1">+T88*Assumptions!$O$90</f>
        <v>9.6094999356342869E-4</v>
      </c>
      <c r="U83" s="76">
        <f ca="1">+U88*Assumptions!$O$90</f>
        <v>9.8016899343469736E-4</v>
      </c>
      <c r="V83" s="76">
        <f ca="1">+V88*Assumptions!$O$90</f>
        <v>9.9977237330339114E-4</v>
      </c>
      <c r="W83" s="76">
        <f ca="1">+W88*Assumptions!$O$90</f>
        <v>1.0197678207694591E-3</v>
      </c>
      <c r="X83" s="76">
        <f ca="1">+X88*Assumptions!$O$90</f>
        <v>1.0401631771848484E-3</v>
      </c>
      <c r="Y83" s="76">
        <f ca="1">+Y88*Assumptions!$O$90</f>
        <v>1.0609664407285452E-3</v>
      </c>
      <c r="Z83" s="76">
        <f ca="1">+Z88*Assumptions!$O$90</f>
        <v>1.0821857695431163E-3</v>
      </c>
    </row>
    <row r="84" spans="2:26">
      <c r="B84" s="62" t="s">
        <v>584</v>
      </c>
      <c r="C84" s="62"/>
      <c r="D84" s="62"/>
      <c r="E84" s="62"/>
      <c r="F84" s="58">
        <f t="shared" ref="F84:Z84" ca="1" si="74">+SUM(F81:F83)</f>
        <v>0</v>
      </c>
      <c r="G84" s="58">
        <f t="shared" ca="1" si="74"/>
        <v>0</v>
      </c>
      <c r="H84" s="58">
        <f t="shared" ca="1" si="74"/>
        <v>0</v>
      </c>
      <c r="I84" s="58">
        <f t="shared" ca="1" si="74"/>
        <v>3.8642828111999997E-4</v>
      </c>
      <c r="J84" s="58">
        <f t="shared" ca="1" si="74"/>
        <v>7.8831369348479998E-4</v>
      </c>
      <c r="K84" s="58">
        <f t="shared" ca="1" si="74"/>
        <v>8.0407996735449596E-4</v>
      </c>
      <c r="L84" s="58">
        <f t="shared" ca="1" si="74"/>
        <v>8.2016156670158596E-4</v>
      </c>
      <c r="M84" s="58">
        <f t="shared" ca="1" si="74"/>
        <v>8.3656479803561766E-4</v>
      </c>
      <c r="N84" s="58">
        <f t="shared" ca="1" si="74"/>
        <v>8.5329609399633006E-4</v>
      </c>
      <c r="O84" s="58">
        <f t="shared" ca="1" si="74"/>
        <v>8.7036201587625665E-4</v>
      </c>
      <c r="P84" s="58">
        <f t="shared" ca="1" si="74"/>
        <v>8.8776925619378185E-4</v>
      </c>
      <c r="Q84" s="58">
        <f t="shared" ca="1" si="74"/>
        <v>9.0552464131765751E-4</v>
      </c>
      <c r="R84" s="58">
        <f t="shared" ca="1" si="74"/>
        <v>9.2363513414401059E-4</v>
      </c>
      <c r="S84" s="58">
        <f t="shared" ca="1" si="74"/>
        <v>9.4210783682689074E-4</v>
      </c>
      <c r="T84" s="58">
        <f t="shared" ca="1" si="74"/>
        <v>9.6094999356342869E-4</v>
      </c>
      <c r="U84" s="58">
        <f t="shared" ca="1" si="74"/>
        <v>9.8016899343469736E-4</v>
      </c>
      <c r="V84" s="58">
        <f t="shared" ca="1" si="74"/>
        <v>9.9977237330339114E-4</v>
      </c>
      <c r="W84" s="58">
        <f t="shared" ca="1" si="74"/>
        <v>1.0197678207694591E-3</v>
      </c>
      <c r="X84" s="58">
        <f t="shared" ca="1" si="74"/>
        <v>1.0401631771848484E-3</v>
      </c>
      <c r="Y84" s="58">
        <f t="shared" ca="1" si="74"/>
        <v>1.0609664407285452E-3</v>
      </c>
      <c r="Z84" s="58">
        <f t="shared" ca="1" si="74"/>
        <v>1.0821857695431163E-3</v>
      </c>
    </row>
    <row r="86" spans="2:26">
      <c r="B86" s="15" t="s">
        <v>585</v>
      </c>
      <c r="F86" s="16">
        <f>+F75*Assumptions!$O$122*'Phase II Pro Forma'!F79</f>
        <v>0</v>
      </c>
      <c r="G86" s="16">
        <f>+G75*Assumptions!$O$122*'Phase II Pro Forma'!G79</f>
        <v>0</v>
      </c>
      <c r="H86" s="16">
        <f>+H75*Assumptions!$O$122*'Phase II Pro Forma'!H79</f>
        <v>0</v>
      </c>
      <c r="I86" s="16">
        <f>+I75*Assumptions!$O$122*'Phase II Pro Forma'!I79</f>
        <v>3.8642828111999997E-4</v>
      </c>
      <c r="J86" s="16">
        <f>+J75*Assumptions!$O$122*'Phase II Pro Forma'!J79</f>
        <v>7.8831369348479998E-4</v>
      </c>
      <c r="K86" s="16">
        <f>+K75*Assumptions!$O$122*'Phase II Pro Forma'!K79</f>
        <v>8.0407996735449596E-4</v>
      </c>
      <c r="L86" s="16">
        <f>+L75*Assumptions!$O$122*'Phase II Pro Forma'!L79</f>
        <v>8.2016156670158596E-4</v>
      </c>
      <c r="M86" s="16">
        <f>+M75*Assumptions!$O$122*'Phase II Pro Forma'!M79</f>
        <v>8.3656479803561766E-4</v>
      </c>
      <c r="N86" s="16">
        <f>+N75*Assumptions!$O$122*'Phase II Pro Forma'!N79</f>
        <v>8.5329609399633006E-4</v>
      </c>
      <c r="O86" s="16">
        <f>+O75*Assumptions!$O$122*'Phase II Pro Forma'!O79</f>
        <v>8.7036201587625665E-4</v>
      </c>
      <c r="P86" s="16">
        <f>+P75*Assumptions!$O$122*'Phase II Pro Forma'!P79</f>
        <v>8.8776925619378185E-4</v>
      </c>
      <c r="Q86" s="16">
        <f>+Q75*Assumptions!$O$122*'Phase II Pro Forma'!Q79</f>
        <v>9.0552464131765751E-4</v>
      </c>
      <c r="R86" s="16">
        <f>+R75*Assumptions!$O$122*'Phase II Pro Forma'!R79</f>
        <v>9.2363513414401059E-4</v>
      </c>
      <c r="S86" s="16">
        <f>+S75*Assumptions!$O$122*'Phase II Pro Forma'!S79</f>
        <v>9.4210783682689074E-4</v>
      </c>
      <c r="T86" s="16">
        <f>+T75*Assumptions!$O$122*'Phase II Pro Forma'!T79</f>
        <v>9.6094999356342869E-4</v>
      </c>
      <c r="U86" s="16">
        <f>+U75*Assumptions!$O$122*'Phase II Pro Forma'!U79</f>
        <v>9.8016899343469736E-4</v>
      </c>
      <c r="V86" s="16">
        <f>+V75*Assumptions!$O$122*'Phase II Pro Forma'!V79</f>
        <v>9.9977237330339114E-4</v>
      </c>
      <c r="W86" s="16">
        <f>+W75*Assumptions!$O$122*'Phase II Pro Forma'!W79</f>
        <v>1.0197678207694591E-3</v>
      </c>
      <c r="X86" s="16">
        <f>+X75*Assumptions!$O$122*'Phase II Pro Forma'!X79</f>
        <v>1.0401631771848484E-3</v>
      </c>
      <c r="Y86" s="16">
        <f>+Y75*Assumptions!$O$122*'Phase II Pro Forma'!Y79</f>
        <v>1.0609664407285452E-3</v>
      </c>
      <c r="Z86" s="16">
        <f>+Z75*Assumptions!$O$122*'Phase II Pro Forma'!Z79</f>
        <v>1.0821857695431163E-3</v>
      </c>
    </row>
    <row r="87" spans="2:26">
      <c r="B87" s="15" t="s">
        <v>595</v>
      </c>
      <c r="F87" s="76">
        <f ca="1">+IFERROR(INDEX(#REF!,MATCH('Phase II Pro Forma'!F$6,#REF!,0)),0)*'Loan Sizing'!$K$18*F76</f>
        <v>0</v>
      </c>
      <c r="G87" s="76">
        <f ca="1">+IFERROR(INDEX(#REF!,MATCH('Phase II Pro Forma'!G$6,#REF!,0)),0)*'Loan Sizing'!$K$18*G76</f>
        <v>0</v>
      </c>
      <c r="H87" s="76">
        <f ca="1">+IFERROR(INDEX(#REF!,MATCH('Phase II Pro Forma'!H$6,#REF!,0)),0)*'Loan Sizing'!$K$18*H76</f>
        <v>0</v>
      </c>
      <c r="I87" s="76">
        <f ca="1">+IFERROR(INDEX(#REF!,MATCH('Phase II Pro Forma'!I$6,#REF!,0)),0)*'Loan Sizing'!$K$18*I76</f>
        <v>0</v>
      </c>
      <c r="J87" s="76">
        <f ca="1">+IFERROR(INDEX(#REF!,MATCH('Phase II Pro Forma'!J$6,#REF!,0)),0)*'Loan Sizing'!$K$18*J76</f>
        <v>0</v>
      </c>
      <c r="K87" s="76">
        <f ca="1">+IFERROR(INDEX(#REF!,MATCH('Phase II Pro Forma'!K$6,#REF!,0)),0)*'Loan Sizing'!$K$18*K76</f>
        <v>0</v>
      </c>
      <c r="L87" s="76">
        <f ca="1">+IFERROR(INDEX(#REF!,MATCH('Phase II Pro Forma'!L$6,#REF!,0)),0)*'Loan Sizing'!$K$18*L76</f>
        <v>0</v>
      </c>
      <c r="M87" s="76">
        <f ca="1">+IFERROR(INDEX(#REF!,MATCH('Phase II Pro Forma'!M$6,#REF!,0)),0)*'Loan Sizing'!$K$18*M76</f>
        <v>0</v>
      </c>
      <c r="N87" s="76">
        <f ca="1">+IFERROR(INDEX(#REF!,MATCH('Phase II Pro Forma'!N$6,#REF!,0)),0)*'Loan Sizing'!$K$18*N76</f>
        <v>0</v>
      </c>
      <c r="O87" s="76">
        <f ca="1">+IFERROR(INDEX(#REF!,MATCH('Phase II Pro Forma'!O$6,#REF!,0)),0)*'Loan Sizing'!$K$18*O76</f>
        <v>0</v>
      </c>
      <c r="P87" s="76">
        <f ca="1">+IFERROR(INDEX(#REF!,MATCH('Phase II Pro Forma'!P$6,#REF!,0)),0)*'Loan Sizing'!$K$18*P76</f>
        <v>0</v>
      </c>
      <c r="Q87" s="76">
        <f ca="1">+IFERROR(INDEX(#REF!,MATCH('Phase II Pro Forma'!Q$6,#REF!,0)),0)*'Loan Sizing'!$K$18*Q76</f>
        <v>0</v>
      </c>
      <c r="R87" s="76">
        <f ca="1">+IFERROR(INDEX(#REF!,MATCH('Phase II Pro Forma'!R$6,#REF!,0)),0)*'Loan Sizing'!$K$18*R76</f>
        <v>0</v>
      </c>
      <c r="S87" s="76">
        <f ca="1">+IFERROR(INDEX(#REF!,MATCH('Phase II Pro Forma'!S$6,#REF!,0)),0)*'Loan Sizing'!$K$18*S76</f>
        <v>0</v>
      </c>
      <c r="T87" s="76">
        <f ca="1">+IFERROR(INDEX(#REF!,MATCH('Phase II Pro Forma'!T$6,#REF!,0)),0)*'Loan Sizing'!$K$18*T76</f>
        <v>0</v>
      </c>
      <c r="U87" s="76">
        <f ca="1">+IFERROR(INDEX(#REF!,MATCH('Phase II Pro Forma'!U$6,#REF!,0)),0)*'Loan Sizing'!$K$18*U76</f>
        <v>0</v>
      </c>
      <c r="V87" s="76">
        <f ca="1">+IFERROR(INDEX(#REF!,MATCH('Phase II Pro Forma'!V$6,#REF!,0)),0)*'Loan Sizing'!$K$18*V76</f>
        <v>0</v>
      </c>
      <c r="W87" s="76">
        <f ca="1">+IFERROR(INDEX(#REF!,MATCH('Phase II Pro Forma'!W$6,#REF!,0)),0)*'Loan Sizing'!$K$18*W76</f>
        <v>0</v>
      </c>
      <c r="X87" s="76">
        <f ca="1">+IFERROR(INDEX(#REF!,MATCH('Phase II Pro Forma'!X$6,#REF!,0)),0)*'Loan Sizing'!$K$18*X76</f>
        <v>0</v>
      </c>
      <c r="Y87" s="76">
        <f ca="1">+IFERROR(INDEX(#REF!,MATCH('Phase II Pro Forma'!Y$6,#REF!,0)),0)*'Loan Sizing'!$K$18*Y76</f>
        <v>0</v>
      </c>
      <c r="Z87" s="76">
        <f ca="1">+IFERROR(INDEX(#REF!,MATCH('Phase II Pro Forma'!Z$6,#REF!,0)),0)*'Loan Sizing'!$K$18*Z76</f>
        <v>0</v>
      </c>
    </row>
    <row r="88" spans="2:26">
      <c r="B88" s="62" t="s">
        <v>586</v>
      </c>
      <c r="C88" s="62"/>
      <c r="D88" s="62"/>
      <c r="E88" s="62"/>
      <c r="F88" s="58">
        <f ca="1">+SUM(F86:F87)</f>
        <v>0</v>
      </c>
      <c r="G88" s="58">
        <f t="shared" ref="G88" ca="1" si="75">+SUM(G86:G87)</f>
        <v>0</v>
      </c>
      <c r="H88" s="58">
        <f t="shared" ref="H88:Z88" ca="1" si="76">+SUM(H86:H87)</f>
        <v>0</v>
      </c>
      <c r="I88" s="58">
        <f t="shared" ca="1" si="76"/>
        <v>3.8642828111999997E-4</v>
      </c>
      <c r="J88" s="58">
        <f t="shared" ca="1" si="76"/>
        <v>7.8831369348479998E-4</v>
      </c>
      <c r="K88" s="58">
        <f t="shared" ca="1" si="76"/>
        <v>8.0407996735449596E-4</v>
      </c>
      <c r="L88" s="58">
        <f t="shared" ca="1" si="76"/>
        <v>8.2016156670158596E-4</v>
      </c>
      <c r="M88" s="58">
        <f t="shared" ca="1" si="76"/>
        <v>8.3656479803561766E-4</v>
      </c>
      <c r="N88" s="58">
        <f t="shared" ca="1" si="76"/>
        <v>8.5329609399633006E-4</v>
      </c>
      <c r="O88" s="58">
        <f t="shared" ca="1" si="76"/>
        <v>8.7036201587625665E-4</v>
      </c>
      <c r="P88" s="58">
        <f t="shared" ca="1" si="76"/>
        <v>8.8776925619378185E-4</v>
      </c>
      <c r="Q88" s="58">
        <f t="shared" ca="1" si="76"/>
        <v>9.0552464131765751E-4</v>
      </c>
      <c r="R88" s="58">
        <f t="shared" ca="1" si="76"/>
        <v>9.2363513414401059E-4</v>
      </c>
      <c r="S88" s="58">
        <f t="shared" ca="1" si="76"/>
        <v>9.4210783682689074E-4</v>
      </c>
      <c r="T88" s="58">
        <f t="shared" ca="1" si="76"/>
        <v>9.6094999356342869E-4</v>
      </c>
      <c r="U88" s="58">
        <f t="shared" ca="1" si="76"/>
        <v>9.8016899343469736E-4</v>
      </c>
      <c r="V88" s="58">
        <f t="shared" ca="1" si="76"/>
        <v>9.9977237330339114E-4</v>
      </c>
      <c r="W88" s="58">
        <f t="shared" ca="1" si="76"/>
        <v>1.0197678207694591E-3</v>
      </c>
      <c r="X88" s="58">
        <f t="shared" ca="1" si="76"/>
        <v>1.0401631771848484E-3</v>
      </c>
      <c r="Y88" s="58">
        <f t="shared" ca="1" si="76"/>
        <v>1.0609664407285452E-3</v>
      </c>
      <c r="Z88" s="58">
        <f t="shared" ca="1" si="76"/>
        <v>1.0821857695431163E-3</v>
      </c>
    </row>
    <row r="89" spans="2:26">
      <c r="B89" s="15"/>
    </row>
    <row r="90" spans="2:26">
      <c r="B90" s="653" t="s">
        <v>587</v>
      </c>
      <c r="C90" s="653"/>
      <c r="D90" s="653"/>
      <c r="E90" s="653"/>
      <c r="F90" s="544">
        <f ca="1">+F84-F88</f>
        <v>0</v>
      </c>
      <c r="G90" s="544">
        <f t="shared" ref="G90:Z90" ca="1" si="77">+G84-G88</f>
        <v>0</v>
      </c>
      <c r="H90" s="544">
        <f t="shared" ca="1" si="77"/>
        <v>0</v>
      </c>
      <c r="I90" s="544">
        <f t="shared" ca="1" si="77"/>
        <v>0</v>
      </c>
      <c r="J90" s="544">
        <f t="shared" ca="1" si="77"/>
        <v>0</v>
      </c>
      <c r="K90" s="544">
        <f t="shared" ca="1" si="77"/>
        <v>0</v>
      </c>
      <c r="L90" s="544">
        <f t="shared" ca="1" si="77"/>
        <v>0</v>
      </c>
      <c r="M90" s="544">
        <f t="shared" ca="1" si="77"/>
        <v>0</v>
      </c>
      <c r="N90" s="544">
        <f t="shared" ca="1" si="77"/>
        <v>0</v>
      </c>
      <c r="O90" s="544">
        <f t="shared" ca="1" si="77"/>
        <v>0</v>
      </c>
      <c r="P90" s="544">
        <f t="shared" ca="1" si="77"/>
        <v>0</v>
      </c>
      <c r="Q90" s="544">
        <f t="shared" ca="1" si="77"/>
        <v>0</v>
      </c>
      <c r="R90" s="544">
        <f t="shared" ca="1" si="77"/>
        <v>0</v>
      </c>
      <c r="S90" s="544">
        <f t="shared" ca="1" si="77"/>
        <v>0</v>
      </c>
      <c r="T90" s="544">
        <f t="shared" ca="1" si="77"/>
        <v>0</v>
      </c>
      <c r="U90" s="544">
        <f t="shared" ca="1" si="77"/>
        <v>0</v>
      </c>
      <c r="V90" s="544">
        <f t="shared" ca="1" si="77"/>
        <v>0</v>
      </c>
      <c r="W90" s="544">
        <f t="shared" ca="1" si="77"/>
        <v>0</v>
      </c>
      <c r="X90" s="544">
        <f t="shared" ca="1" si="77"/>
        <v>0</v>
      </c>
      <c r="Y90" s="544">
        <f t="shared" ca="1" si="77"/>
        <v>0</v>
      </c>
      <c r="Z90" s="544">
        <f t="shared" ca="1" si="77"/>
        <v>0</v>
      </c>
    </row>
    <row r="91" spans="2:26">
      <c r="B91" s="654" t="s">
        <v>588</v>
      </c>
      <c r="C91" s="655"/>
      <c r="D91" s="655"/>
      <c r="E91" s="655"/>
      <c r="F91" s="656" t="str">
        <f ca="1">+IFERROR(F90/F84,"")</f>
        <v/>
      </c>
      <c r="G91" s="656" t="str">
        <f t="shared" ref="G91:Z91" ca="1" si="78">+IFERROR(G90/G84,"")</f>
        <v/>
      </c>
      <c r="H91" s="656" t="str">
        <f t="shared" ca="1" si="78"/>
        <v/>
      </c>
      <c r="I91" s="657">
        <f t="shared" ca="1" si="78"/>
        <v>0</v>
      </c>
      <c r="J91" s="657">
        <f t="shared" ca="1" si="78"/>
        <v>0</v>
      </c>
      <c r="K91" s="657">
        <f t="shared" ca="1" si="78"/>
        <v>0</v>
      </c>
      <c r="L91" s="657">
        <f t="shared" ca="1" si="78"/>
        <v>0</v>
      </c>
      <c r="M91" s="657">
        <f t="shared" ca="1" si="78"/>
        <v>0</v>
      </c>
      <c r="N91" s="657">
        <f t="shared" ca="1" si="78"/>
        <v>0</v>
      </c>
      <c r="O91" s="657">
        <f t="shared" ca="1" si="78"/>
        <v>0</v>
      </c>
      <c r="P91" s="657">
        <f t="shared" ca="1" si="78"/>
        <v>0</v>
      </c>
      <c r="Q91" s="657">
        <f t="shared" ca="1" si="78"/>
        <v>0</v>
      </c>
      <c r="R91" s="657">
        <f t="shared" ca="1" si="78"/>
        <v>0</v>
      </c>
      <c r="S91" s="657">
        <f t="shared" ca="1" si="78"/>
        <v>0</v>
      </c>
      <c r="T91" s="657">
        <f t="shared" ca="1" si="78"/>
        <v>0</v>
      </c>
      <c r="U91" s="657">
        <f t="shared" ca="1" si="78"/>
        <v>0</v>
      </c>
      <c r="V91" s="657">
        <f t="shared" ca="1" si="78"/>
        <v>0</v>
      </c>
      <c r="W91" s="657">
        <f t="shared" ca="1" si="78"/>
        <v>0</v>
      </c>
      <c r="X91" s="657">
        <f t="shared" ca="1" si="78"/>
        <v>0</v>
      </c>
      <c r="Y91" s="657">
        <f t="shared" ca="1" si="78"/>
        <v>0</v>
      </c>
      <c r="Z91" s="657">
        <f t="shared" ca="1" si="78"/>
        <v>0</v>
      </c>
    </row>
    <row r="92" spans="2:26">
      <c r="B92" s="654" t="s">
        <v>589</v>
      </c>
      <c r="C92" s="655"/>
      <c r="D92" s="655"/>
      <c r="E92" s="655"/>
      <c r="F92" s="658">
        <f ca="1">+F90/Assumptions!$O$132</f>
        <v>0</v>
      </c>
      <c r="G92" s="658">
        <f ca="1">+G90/Assumptions!$O$132</f>
        <v>0</v>
      </c>
      <c r="H92" s="658">
        <f ca="1">+H90/Assumptions!$O$132</f>
        <v>0</v>
      </c>
      <c r="I92" s="658">
        <f ca="1">+I90/Assumptions!$O$132</f>
        <v>0</v>
      </c>
      <c r="J92" s="658">
        <f ca="1">+J90/Assumptions!$O$132</f>
        <v>0</v>
      </c>
      <c r="K92" s="658">
        <f ca="1">+K90/Assumptions!$O$132</f>
        <v>0</v>
      </c>
      <c r="L92" s="658">
        <f ca="1">+L90/Assumptions!$O$132</f>
        <v>0</v>
      </c>
      <c r="M92" s="658">
        <f ca="1">+M90/Assumptions!$O$132</f>
        <v>0</v>
      </c>
      <c r="N92" s="658">
        <f ca="1">+N90/Assumptions!$O$132</f>
        <v>0</v>
      </c>
      <c r="O92" s="658">
        <f ca="1">+O90/Assumptions!$O$132</f>
        <v>0</v>
      </c>
      <c r="P92" s="658">
        <f ca="1">+P90/Assumptions!$O$132</f>
        <v>0</v>
      </c>
      <c r="Q92" s="658">
        <f ca="1">+Q90/Assumptions!$O$132</f>
        <v>0</v>
      </c>
      <c r="R92" s="658">
        <f ca="1">+R90/Assumptions!$O$132</f>
        <v>0</v>
      </c>
      <c r="S92" s="658">
        <f ca="1">+S90/Assumptions!$O$132</f>
        <v>0</v>
      </c>
      <c r="T92" s="658">
        <f ca="1">+T90/Assumptions!$O$132</f>
        <v>0</v>
      </c>
      <c r="U92" s="658">
        <f ca="1">+U90/Assumptions!$O$132</f>
        <v>0</v>
      </c>
      <c r="V92" s="658">
        <f ca="1">+V90/Assumptions!$O$132</f>
        <v>0</v>
      </c>
      <c r="W92" s="658">
        <f ca="1">+W90/Assumptions!$O$132</f>
        <v>0</v>
      </c>
      <c r="X92" s="658">
        <f ca="1">+X90/Assumptions!$O$132</f>
        <v>0</v>
      </c>
      <c r="Y92" s="658">
        <f ca="1">+Y90/Assumptions!$O$132</f>
        <v>0</v>
      </c>
      <c r="Z92" s="658">
        <f ca="1">+Z90/Assumptions!$O$132</f>
        <v>0</v>
      </c>
    </row>
    <row r="94" spans="2:26">
      <c r="B94" s="73" t="s">
        <v>35</v>
      </c>
      <c r="C94" s="74"/>
      <c r="D94" s="74"/>
      <c r="E94" s="74"/>
      <c r="F94" s="75">
        <f>+Assumptions!$G$22</f>
        <v>44926</v>
      </c>
      <c r="G94" s="75">
        <f>+EOMONTH(F94,12)</f>
        <v>45291</v>
      </c>
      <c r="H94" s="75">
        <f t="shared" ref="H94:Z94" si="79">+EOMONTH(G94,12)</f>
        <v>45657</v>
      </c>
      <c r="I94" s="75">
        <f t="shared" si="79"/>
        <v>46022</v>
      </c>
      <c r="J94" s="75">
        <f t="shared" si="79"/>
        <v>46387</v>
      </c>
      <c r="K94" s="75">
        <f t="shared" si="79"/>
        <v>46752</v>
      </c>
      <c r="L94" s="75">
        <f t="shared" si="79"/>
        <v>47118</v>
      </c>
      <c r="M94" s="75">
        <f t="shared" si="79"/>
        <v>47483</v>
      </c>
      <c r="N94" s="75">
        <f t="shared" si="79"/>
        <v>47848</v>
      </c>
      <c r="O94" s="75">
        <f t="shared" si="79"/>
        <v>48213</v>
      </c>
      <c r="P94" s="75">
        <f t="shared" si="79"/>
        <v>48579</v>
      </c>
      <c r="Q94" s="75">
        <f t="shared" si="79"/>
        <v>48944</v>
      </c>
      <c r="R94" s="75">
        <f t="shared" si="79"/>
        <v>49309</v>
      </c>
      <c r="S94" s="75">
        <f t="shared" si="79"/>
        <v>49674</v>
      </c>
      <c r="T94" s="75">
        <f t="shared" si="79"/>
        <v>50040</v>
      </c>
      <c r="U94" s="75">
        <f t="shared" si="79"/>
        <v>50405</v>
      </c>
      <c r="V94" s="75">
        <f t="shared" si="79"/>
        <v>50770</v>
      </c>
      <c r="W94" s="75">
        <f t="shared" si="79"/>
        <v>51135</v>
      </c>
      <c r="X94" s="75">
        <f t="shared" si="79"/>
        <v>51501</v>
      </c>
      <c r="Y94" s="75">
        <f t="shared" si="79"/>
        <v>51866</v>
      </c>
      <c r="Z94" s="75">
        <f t="shared" si="79"/>
        <v>52231</v>
      </c>
    </row>
    <row r="95" spans="2:26">
      <c r="B95" s="15" t="s">
        <v>575</v>
      </c>
      <c r="C95" s="15"/>
      <c r="D95" s="20"/>
      <c r="E95" s="20"/>
      <c r="F95" s="22">
        <f>+IF(AND(F94&gt;=Assumptions!$G$26,F94&lt;Assumptions!$G$28),Assumptions!$G$172/ROUNDUP((Assumptions!$G$27/12),0),0)</f>
        <v>0</v>
      </c>
      <c r="G95" s="22">
        <f>+IF(AND(G94&gt;=Assumptions!$G$26,G94&lt;Assumptions!$G$28),Assumptions!$G$172/ROUNDUP((Assumptions!$G$27/12),0),0)</f>
        <v>0</v>
      </c>
      <c r="H95" s="22">
        <f>+IF(AND(H94&gt;=Assumptions!$G$26,H94&lt;Assumptions!$G$28),Assumptions!$G$172/ROUNDUP((Assumptions!$G$27/12),0),0)</f>
        <v>0</v>
      </c>
      <c r="I95" s="22">
        <f>+IF(AND(I94&gt;=Assumptions!$G$26,I94&lt;Assumptions!$G$28),Assumptions!$G$172/ROUNDUP((Assumptions!$G$27/12),0),0)</f>
        <v>140625</v>
      </c>
      <c r="J95" s="22">
        <f>+IF(AND(J94&gt;=Assumptions!$G$26,J94&lt;Assumptions!$G$28),Assumptions!$G$172/ROUNDUP((Assumptions!$G$27/12),0),0)</f>
        <v>140625</v>
      </c>
      <c r="K95" s="22">
        <f>+IF(AND(K94&gt;=Assumptions!$G$26,K94&lt;Assumptions!$G$28),Assumptions!$G$172/ROUNDUP((Assumptions!$G$27/12),0),0)</f>
        <v>0</v>
      </c>
      <c r="L95" s="22">
        <f>+IF(AND(L94&gt;=Assumptions!$G$26,L94&lt;Assumptions!$G$28),Assumptions!$G$172/ROUNDUP((Assumptions!$G$27/12),0),0)</f>
        <v>0</v>
      </c>
      <c r="M95" s="22">
        <f>+IF(AND(M94&gt;=Assumptions!$G$26,M94&lt;Assumptions!$G$28),Assumptions!$G$172/ROUNDUP((Assumptions!$G$27/12),0),0)</f>
        <v>0</v>
      </c>
      <c r="N95" s="22">
        <f>+IF(AND(N94&gt;=Assumptions!$G$26,N94&lt;Assumptions!$G$28),Assumptions!$G$172/ROUNDUP((Assumptions!$G$27/12),0),0)</f>
        <v>0</v>
      </c>
      <c r="O95" s="22">
        <f>+IF(AND(O94&gt;=Assumptions!$G$26,O94&lt;Assumptions!$G$28),Assumptions!$G$172/ROUNDUP((Assumptions!$G$27/12),0),0)</f>
        <v>0</v>
      </c>
      <c r="P95" s="22">
        <f>+IF(AND(P94&gt;=Assumptions!$G$26,P94&lt;Assumptions!$G$28),Assumptions!$G$172/ROUNDUP((Assumptions!$G$27/12),0),0)</f>
        <v>0</v>
      </c>
      <c r="Q95" s="22">
        <f>+IF(AND(Q94&gt;=Assumptions!$G$26,Q94&lt;Assumptions!$G$28),Assumptions!$G$172/ROUNDUP((Assumptions!$G$27/12),0),0)</f>
        <v>0</v>
      </c>
      <c r="R95" s="22">
        <f>+IF(AND(R94&gt;=Assumptions!$G$26,R94&lt;Assumptions!$G$28),Assumptions!$G$172/ROUNDUP((Assumptions!$G$27/12),0),0)</f>
        <v>0</v>
      </c>
      <c r="S95" s="22">
        <f>+IF(AND(S94&gt;=Assumptions!$G$26,S94&lt;Assumptions!$G$28),Assumptions!$G$172/ROUNDUP((Assumptions!$G$27/12),0),0)</f>
        <v>0</v>
      </c>
      <c r="T95" s="22">
        <f>+IF(AND(T94&gt;=Assumptions!$G$26,T94&lt;Assumptions!$G$28),Assumptions!$G$172/ROUNDUP((Assumptions!$G$27/12),0),0)</f>
        <v>0</v>
      </c>
      <c r="U95" s="22">
        <f>+IF(AND(U94&gt;=Assumptions!$G$26,U94&lt;Assumptions!$G$28),Assumptions!$G$172/ROUNDUP((Assumptions!$G$27/12),0),0)</f>
        <v>0</v>
      </c>
      <c r="V95" s="22">
        <f>+IF(AND(V94&gt;=Assumptions!$G$26,V94&lt;Assumptions!$G$28),Assumptions!$G$172/ROUNDUP((Assumptions!$G$27/12),0),0)</f>
        <v>0</v>
      </c>
      <c r="W95" s="22">
        <f>+IF(AND(W94&gt;=Assumptions!$G$26,W94&lt;Assumptions!$G$28),Assumptions!$G$172/ROUNDUP((Assumptions!$G$27/12),0),0)</f>
        <v>0</v>
      </c>
      <c r="X95" s="22">
        <f>+IF(AND(X94&gt;=Assumptions!$G$26,X94&lt;Assumptions!$G$28),Assumptions!$G$172/ROUNDUP((Assumptions!$G$27/12),0),0)</f>
        <v>0</v>
      </c>
      <c r="Y95" s="22">
        <f>+IF(AND(Y94&gt;=Assumptions!$G$26,Y94&lt;Assumptions!$G$28),Assumptions!$G$172/ROUNDUP((Assumptions!$G$27/12),0),0)</f>
        <v>0</v>
      </c>
      <c r="Z95" s="22">
        <f>+IF(AND(Z94&gt;=Assumptions!$G$26,Z94&lt;Assumptions!$G$28),Assumptions!$G$172/ROUNDUP((Assumptions!$G$27/12),0),0)</f>
        <v>0</v>
      </c>
    </row>
    <row r="96" spans="2:26">
      <c r="B96" s="15" t="s">
        <v>576</v>
      </c>
      <c r="C96" s="15"/>
      <c r="D96" s="22">
        <v>0</v>
      </c>
      <c r="E96" s="22"/>
      <c r="F96" s="22">
        <f>+D96+F95</f>
        <v>0</v>
      </c>
      <c r="G96" s="22">
        <f t="shared" ref="G96:Z96" si="80">+F96+G95</f>
        <v>0</v>
      </c>
      <c r="H96" s="22">
        <f t="shared" si="80"/>
        <v>0</v>
      </c>
      <c r="I96" s="22">
        <f t="shared" si="80"/>
        <v>140625</v>
      </c>
      <c r="J96" s="22">
        <f t="shared" si="80"/>
        <v>281250</v>
      </c>
      <c r="K96" s="22">
        <f t="shared" si="80"/>
        <v>281250</v>
      </c>
      <c r="L96" s="22">
        <f t="shared" si="80"/>
        <v>281250</v>
      </c>
      <c r="M96" s="22">
        <f t="shared" si="80"/>
        <v>281250</v>
      </c>
      <c r="N96" s="22">
        <f t="shared" si="80"/>
        <v>281250</v>
      </c>
      <c r="O96" s="22">
        <f t="shared" si="80"/>
        <v>281250</v>
      </c>
      <c r="P96" s="22">
        <f t="shared" si="80"/>
        <v>281250</v>
      </c>
      <c r="Q96" s="22">
        <f t="shared" si="80"/>
        <v>281250</v>
      </c>
      <c r="R96" s="22">
        <f t="shared" si="80"/>
        <v>281250</v>
      </c>
      <c r="S96" s="22">
        <f t="shared" si="80"/>
        <v>281250</v>
      </c>
      <c r="T96" s="22">
        <f t="shared" si="80"/>
        <v>281250</v>
      </c>
      <c r="U96" s="22">
        <f t="shared" si="80"/>
        <v>281250</v>
      </c>
      <c r="V96" s="22">
        <f t="shared" si="80"/>
        <v>281250</v>
      </c>
      <c r="W96" s="22">
        <f t="shared" si="80"/>
        <v>281250</v>
      </c>
      <c r="X96" s="22">
        <f t="shared" si="80"/>
        <v>281250</v>
      </c>
      <c r="Y96" s="22">
        <f t="shared" si="80"/>
        <v>281250</v>
      </c>
      <c r="Z96" s="22">
        <f t="shared" si="80"/>
        <v>281250</v>
      </c>
    </row>
    <row r="97" spans="2:26">
      <c r="B97" s="15" t="s">
        <v>579</v>
      </c>
      <c r="C97" s="15"/>
      <c r="D97" s="22"/>
      <c r="E97" s="22"/>
      <c r="F97" s="49">
        <f t="shared" ref="F97:Z97" si="81">+F96/SUM($F95:$Z95)</f>
        <v>0</v>
      </c>
      <c r="G97" s="49">
        <f t="shared" si="81"/>
        <v>0</v>
      </c>
      <c r="H97" s="49">
        <f t="shared" si="81"/>
        <v>0</v>
      </c>
      <c r="I97" s="49">
        <f t="shared" si="81"/>
        <v>0.5</v>
      </c>
      <c r="J97" s="49">
        <f t="shared" si="81"/>
        <v>1</v>
      </c>
      <c r="K97" s="49">
        <f t="shared" si="81"/>
        <v>1</v>
      </c>
      <c r="L97" s="49">
        <f t="shared" si="81"/>
        <v>1</v>
      </c>
      <c r="M97" s="49">
        <f t="shared" si="81"/>
        <v>1</v>
      </c>
      <c r="N97" s="49">
        <f t="shared" si="81"/>
        <v>1</v>
      </c>
      <c r="O97" s="49">
        <f t="shared" si="81"/>
        <v>1</v>
      </c>
      <c r="P97" s="49">
        <f t="shared" si="81"/>
        <v>1</v>
      </c>
      <c r="Q97" s="49">
        <f t="shared" si="81"/>
        <v>1</v>
      </c>
      <c r="R97" s="49">
        <f t="shared" si="81"/>
        <v>1</v>
      </c>
      <c r="S97" s="49">
        <f t="shared" si="81"/>
        <v>1</v>
      </c>
      <c r="T97" s="49">
        <f t="shared" si="81"/>
        <v>1</v>
      </c>
      <c r="U97" s="49">
        <f t="shared" si="81"/>
        <v>1</v>
      </c>
      <c r="V97" s="49">
        <f t="shared" si="81"/>
        <v>1</v>
      </c>
      <c r="W97" s="49">
        <f t="shared" si="81"/>
        <v>1</v>
      </c>
      <c r="X97" s="49">
        <f t="shared" si="81"/>
        <v>1</v>
      </c>
      <c r="Y97" s="49">
        <f t="shared" si="81"/>
        <v>1</v>
      </c>
      <c r="Z97" s="49">
        <f t="shared" si="81"/>
        <v>1</v>
      </c>
    </row>
    <row r="98" spans="2:26">
      <c r="B98" s="15"/>
      <c r="C98" s="15"/>
      <c r="D98" s="20"/>
      <c r="E98" s="20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26">
      <c r="B99" s="15" t="s">
        <v>580</v>
      </c>
      <c r="C99" s="15"/>
      <c r="D99" s="22"/>
      <c r="E99" s="22"/>
      <c r="F99" s="49">
        <v>1</v>
      </c>
      <c r="G99" s="49">
        <f>+IF(MOD(G$1,Assumptions!$O$71)=(Assumptions!$O$71-1),F99*(1+Assumptions!$O$70),'Phase II Pro Forma'!F99)</f>
        <v>1</v>
      </c>
      <c r="H99" s="49">
        <f>+IF(MOD(H$1,Assumptions!$O$71)=(Assumptions!$O$71-1),G99*(1+Assumptions!$O$70),'Phase II Pro Forma'!G99)</f>
        <v>1</v>
      </c>
      <c r="I99" s="49">
        <f>+IF(MOD(I$1,Assumptions!$O$71)=(Assumptions!$O$71-1),H99*(1+Assumptions!$O$70),'Phase II Pro Forma'!H99)</f>
        <v>1</v>
      </c>
      <c r="J99" s="49">
        <f>+IF(MOD(J$1,Assumptions!$O$71)=(Assumptions!$O$71-1),I99*(1+Assumptions!$O$70),'Phase II Pro Forma'!I99)</f>
        <v>1</v>
      </c>
      <c r="K99" s="49">
        <f>+IF(MOD(K$1,Assumptions!$O$71)=(Assumptions!$O$71-1),J99*(1+Assumptions!$O$70),'Phase II Pro Forma'!J99)</f>
        <v>1</v>
      </c>
      <c r="L99" s="49">
        <f>+IF(MOD(L$1,Assumptions!$O$71)=(Assumptions!$O$71-1),K99*(1+Assumptions!$O$70),'Phase II Pro Forma'!K99)</f>
        <v>1.1000000000000001</v>
      </c>
      <c r="M99" s="49">
        <f>+IF(MOD(M$1,Assumptions!$O$71)=(Assumptions!$O$71-1),L99*(1+Assumptions!$O$70),'Phase II Pro Forma'!L99)</f>
        <v>1.1000000000000001</v>
      </c>
      <c r="N99" s="49">
        <f>+IF(MOD(N$1,Assumptions!$O$71)=(Assumptions!$O$71-1),M99*(1+Assumptions!$O$70),'Phase II Pro Forma'!M99)</f>
        <v>1.1000000000000001</v>
      </c>
      <c r="O99" s="49">
        <f>+IF(MOD(O$1,Assumptions!$O$71)=(Assumptions!$O$71-1),N99*(1+Assumptions!$O$70),'Phase II Pro Forma'!N99)</f>
        <v>1.1000000000000001</v>
      </c>
      <c r="P99" s="49">
        <f>+IF(MOD(P$1,Assumptions!$O$71)=(Assumptions!$O$71-1),O99*(1+Assumptions!$O$70),'Phase II Pro Forma'!O99)</f>
        <v>1.1000000000000001</v>
      </c>
      <c r="Q99" s="49">
        <f>+IF(MOD(Q$1,Assumptions!$O$71)=(Assumptions!$O$71-1),P99*(1+Assumptions!$O$70),'Phase II Pro Forma'!P99)</f>
        <v>1.2100000000000002</v>
      </c>
      <c r="R99" s="49">
        <f>+IF(MOD(R$1,Assumptions!$O$71)=(Assumptions!$O$71-1),Q99*(1+Assumptions!$O$70),'Phase II Pro Forma'!Q99)</f>
        <v>1.2100000000000002</v>
      </c>
      <c r="S99" s="49">
        <f>+IF(MOD(S$1,Assumptions!$O$71)=(Assumptions!$O$71-1),R99*(1+Assumptions!$O$70),'Phase II Pro Forma'!R99)</f>
        <v>1.2100000000000002</v>
      </c>
      <c r="T99" s="49">
        <f>+IF(MOD(T$1,Assumptions!$O$71)=(Assumptions!$O$71-1),S99*(1+Assumptions!$O$70),'Phase II Pro Forma'!S99)</f>
        <v>1.2100000000000002</v>
      </c>
      <c r="U99" s="49">
        <f>+IF(MOD(U$1,Assumptions!$O$71)=(Assumptions!$O$71-1),T99*(1+Assumptions!$O$70),'Phase II Pro Forma'!T99)</f>
        <v>1.2100000000000002</v>
      </c>
      <c r="V99" s="49">
        <f>+IF(MOD(V$1,Assumptions!$O$71)=(Assumptions!$O$71-1),U99*(1+Assumptions!$O$70),'Phase II Pro Forma'!U99)</f>
        <v>1.3310000000000004</v>
      </c>
      <c r="W99" s="49">
        <f>+IF(MOD(W$1,Assumptions!$O$71)=(Assumptions!$O$71-1),V99*(1+Assumptions!$O$70),'Phase II Pro Forma'!V99)</f>
        <v>1.3310000000000004</v>
      </c>
      <c r="X99" s="49">
        <f>+IF(MOD(X$1,Assumptions!$O$71)=(Assumptions!$O$71-1),W99*(1+Assumptions!$O$70),'Phase II Pro Forma'!W99)</f>
        <v>1.3310000000000004</v>
      </c>
      <c r="Y99" s="49">
        <f>+IF(MOD(Y$1,Assumptions!$O$71)=(Assumptions!$O$71-1),X99*(1+Assumptions!$O$70),'Phase II Pro Forma'!X99)</f>
        <v>1.3310000000000004</v>
      </c>
      <c r="Z99" s="49">
        <f>+IF(MOD(Z$1,Assumptions!$O$71)=(Assumptions!$O$71-1),Y99*(1+Assumptions!$O$70),'Phase II Pro Forma'!Y99)</f>
        <v>1.3310000000000004</v>
      </c>
    </row>
    <row r="100" spans="2:26">
      <c r="B100" s="15" t="s">
        <v>581</v>
      </c>
      <c r="C100" s="15"/>
      <c r="D100" s="22"/>
      <c r="E100" s="22"/>
      <c r="F100" s="49">
        <v>1</v>
      </c>
      <c r="G100" s="49">
        <f>+F100*(1+Assumptions!$O$80)</f>
        <v>1.02</v>
      </c>
      <c r="H100" s="49">
        <f>+G100*(1+Assumptions!$O$80)</f>
        <v>1.0404</v>
      </c>
      <c r="I100" s="49">
        <f>+H100*(1+Assumptions!$O$80)</f>
        <v>1.0612079999999999</v>
      </c>
      <c r="J100" s="49">
        <f>+I100*(1+Assumptions!$O$80)</f>
        <v>1.08243216</v>
      </c>
      <c r="K100" s="49">
        <f>+J100*(1+Assumptions!$O$80)</f>
        <v>1.1040808032</v>
      </c>
      <c r="L100" s="49">
        <f>+K100*(1+Assumptions!$O$80)</f>
        <v>1.1261624192640001</v>
      </c>
      <c r="M100" s="49">
        <f>+L100*(1+Assumptions!$O$80)</f>
        <v>1.14868566764928</v>
      </c>
      <c r="N100" s="49">
        <f>+M100*(1+Assumptions!$O$80)</f>
        <v>1.1716593810022657</v>
      </c>
      <c r="O100" s="49">
        <f>+N100*(1+Assumptions!$O$80)</f>
        <v>1.1950925686223111</v>
      </c>
      <c r="P100" s="49">
        <f>+O100*(1+Assumptions!$O$80)</f>
        <v>1.2189944199947573</v>
      </c>
      <c r="Q100" s="49">
        <f>+P100*(1+Assumptions!$O$80)</f>
        <v>1.2433743083946525</v>
      </c>
      <c r="R100" s="49">
        <f>+Q100*(1+Assumptions!$O$80)</f>
        <v>1.2682417945625455</v>
      </c>
      <c r="S100" s="49">
        <f>+R100*(1+Assumptions!$O$80)</f>
        <v>1.2936066304537963</v>
      </c>
      <c r="T100" s="49">
        <f>+S100*(1+Assumptions!$O$80)</f>
        <v>1.3194787630628724</v>
      </c>
      <c r="U100" s="49">
        <f>+T100*(1+Assumptions!$O$80)</f>
        <v>1.3458683383241299</v>
      </c>
      <c r="V100" s="49">
        <f>+U100*(1+Assumptions!$O$80)</f>
        <v>1.3727857050906125</v>
      </c>
      <c r="W100" s="49">
        <f>+V100*(1+Assumptions!$O$80)</f>
        <v>1.4002414191924248</v>
      </c>
      <c r="X100" s="49">
        <f>+W100*(1+Assumptions!$O$80)</f>
        <v>1.4282462475762734</v>
      </c>
      <c r="Y100" s="49">
        <f>+X100*(1+Assumptions!$O$80)</f>
        <v>1.4568111725277988</v>
      </c>
      <c r="Z100" s="49">
        <f>+Y100*(1+Assumptions!$O$80)</f>
        <v>1.4859473959783549</v>
      </c>
    </row>
    <row r="101" spans="2:26">
      <c r="B101" s="15"/>
      <c r="C101" s="15"/>
      <c r="D101" s="20"/>
      <c r="E101" s="20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>
      <c r="B102" s="15" t="s">
        <v>582</v>
      </c>
      <c r="C102" s="15"/>
      <c r="D102" s="20"/>
      <c r="E102" s="20"/>
      <c r="F102" s="16">
        <f>+F97*Assumptions!$G$171*F99</f>
        <v>0</v>
      </c>
      <c r="G102" s="16">
        <f>+G97*Assumptions!$G$171*G99</f>
        <v>0</v>
      </c>
      <c r="H102" s="16">
        <f>+H97*Assumptions!$G$171*H99</f>
        <v>0</v>
      </c>
      <c r="I102" s="16">
        <f>+I97*Assumptions!$G$171*I99</f>
        <v>6349691.25</v>
      </c>
      <c r="J102" s="16">
        <f>+J97*Assumptions!$G$171*J99</f>
        <v>12699382.5</v>
      </c>
      <c r="K102" s="16">
        <f>+K97*Assumptions!$G$171*K99</f>
        <v>12699382.5</v>
      </c>
      <c r="L102" s="16">
        <f>+L97*Assumptions!$G$171*L99</f>
        <v>13969320.750000002</v>
      </c>
      <c r="M102" s="16">
        <f>+M97*Assumptions!$G$171*M99</f>
        <v>13969320.750000002</v>
      </c>
      <c r="N102" s="16">
        <f>+N97*Assumptions!$G$171*N99</f>
        <v>13969320.750000002</v>
      </c>
      <c r="O102" s="16">
        <f>+O97*Assumptions!$G$171*O99</f>
        <v>13969320.750000002</v>
      </c>
      <c r="P102" s="16">
        <f>+P97*Assumptions!$G$171*P99</f>
        <v>13969320.750000002</v>
      </c>
      <c r="Q102" s="16">
        <f>+Q97*Assumptions!$G$171*Q99</f>
        <v>15366252.825000003</v>
      </c>
      <c r="R102" s="16">
        <f>+R97*Assumptions!$G$171*R99</f>
        <v>15366252.825000003</v>
      </c>
      <c r="S102" s="16">
        <f>+S97*Assumptions!$G$171*S99</f>
        <v>15366252.825000003</v>
      </c>
      <c r="T102" s="16">
        <f>+T97*Assumptions!$G$171*T99</f>
        <v>15366252.825000003</v>
      </c>
      <c r="U102" s="16">
        <f>+U97*Assumptions!$G$171*U99</f>
        <v>15366252.825000003</v>
      </c>
      <c r="V102" s="16">
        <f>+V97*Assumptions!$G$171*V99</f>
        <v>16902878.107500006</v>
      </c>
      <c r="W102" s="16">
        <f>+W97*Assumptions!$G$171*W99</f>
        <v>16902878.107500006</v>
      </c>
      <c r="X102" s="16">
        <f>+X97*Assumptions!$G$171*X99</f>
        <v>16902878.107500006</v>
      </c>
      <c r="Y102" s="16">
        <f>+Y97*Assumptions!$G$171*Y99</f>
        <v>16902878.107500006</v>
      </c>
      <c r="Z102" s="16">
        <f>+Z97*Assumptions!$G$171*Z99</f>
        <v>16902878.107500006</v>
      </c>
    </row>
    <row r="103" spans="2:26">
      <c r="B103" s="15" t="s">
        <v>583</v>
      </c>
      <c r="C103" s="15"/>
      <c r="D103" s="20"/>
      <c r="E103" s="20"/>
      <c r="F103" s="22">
        <f>-F102*Assumptions!$O$58</f>
        <v>0</v>
      </c>
      <c r="G103" s="22">
        <f>-G102*Assumptions!$O$58</f>
        <v>0</v>
      </c>
      <c r="H103" s="22">
        <f>-H102*Assumptions!$O$58</f>
        <v>0</v>
      </c>
      <c r="I103" s="22">
        <f>-I102*Assumptions!$O$58</f>
        <v>-317484.5625</v>
      </c>
      <c r="J103" s="22">
        <f>-J102*Assumptions!$O$58</f>
        <v>-634969.125</v>
      </c>
      <c r="K103" s="22">
        <f>-K102*Assumptions!$O$58</f>
        <v>-634969.125</v>
      </c>
      <c r="L103" s="22">
        <f>-L102*Assumptions!$O$58</f>
        <v>-698466.03750000009</v>
      </c>
      <c r="M103" s="22">
        <f>-M102*Assumptions!$O$58</f>
        <v>-698466.03750000009</v>
      </c>
      <c r="N103" s="22">
        <f>-N102*Assumptions!$O$58</f>
        <v>-698466.03750000009</v>
      </c>
      <c r="O103" s="22">
        <f>-O102*Assumptions!$O$58</f>
        <v>-698466.03750000009</v>
      </c>
      <c r="P103" s="22">
        <f>-P102*Assumptions!$O$58</f>
        <v>-698466.03750000009</v>
      </c>
      <c r="Q103" s="22">
        <f>-Q102*Assumptions!$O$58</f>
        <v>-768312.64125000022</v>
      </c>
      <c r="R103" s="22">
        <f>-R102*Assumptions!$O$58</f>
        <v>-768312.64125000022</v>
      </c>
      <c r="S103" s="22">
        <f>-S102*Assumptions!$O$58</f>
        <v>-768312.64125000022</v>
      </c>
      <c r="T103" s="22">
        <f>-T102*Assumptions!$O$58</f>
        <v>-768312.64125000022</v>
      </c>
      <c r="U103" s="22">
        <f>-U102*Assumptions!$O$58</f>
        <v>-768312.64125000022</v>
      </c>
      <c r="V103" s="22">
        <f>-V102*Assumptions!$O$58</f>
        <v>-845143.90537500032</v>
      </c>
      <c r="W103" s="22">
        <f>-W102*Assumptions!$O$58</f>
        <v>-845143.90537500032</v>
      </c>
      <c r="X103" s="22">
        <f>-X102*Assumptions!$O$58</f>
        <v>-845143.90537500032</v>
      </c>
      <c r="Y103" s="22">
        <f>-Y102*Assumptions!$O$58</f>
        <v>-845143.90537500032</v>
      </c>
      <c r="Z103" s="22">
        <f>-Z102*Assumptions!$O$58</f>
        <v>-845143.90537500032</v>
      </c>
    </row>
    <row r="104" spans="2:26" s="15" customFormat="1">
      <c r="B104" s="15" t="s">
        <v>593</v>
      </c>
      <c r="D104" s="7"/>
      <c r="E104" s="7"/>
      <c r="F104" s="700">
        <f>+F109*Assumptions!$O$91</f>
        <v>0</v>
      </c>
      <c r="G104" s="700">
        <f>+G109*Assumptions!$O$91</f>
        <v>0</v>
      </c>
      <c r="H104" s="700">
        <f>+H109*Assumptions!$O$91</f>
        <v>0</v>
      </c>
      <c r="I104" s="700">
        <f>+I109*Assumptions!$O$91</f>
        <v>1352073.3413367597</v>
      </c>
      <c r="J104" s="700">
        <f>+J109*Assumptions!$O$91</f>
        <v>2746067.25067002</v>
      </c>
      <c r="K104" s="700">
        <f>+K109*Assumptions!$O$91</f>
        <v>2800988.5956834201</v>
      </c>
      <c r="L104" s="700">
        <f>+L109*Assumptions!$O$91</f>
        <v>2857008.3675970891</v>
      </c>
      <c r="M104" s="700">
        <f>+M109*Assumptions!$O$91</f>
        <v>2914148.5349490307</v>
      </c>
      <c r="N104" s="700">
        <f>+N109*Assumptions!$O$91</f>
        <v>2972431.5056480118</v>
      </c>
      <c r="O104" s="700">
        <f>+O109*Assumptions!$O$91</f>
        <v>3031880.1357609718</v>
      </c>
      <c r="P104" s="700">
        <f>+P109*Assumptions!$O$91</f>
        <v>3092517.7384761912</v>
      </c>
      <c r="Q104" s="700">
        <f>+Q109*Assumptions!$O$91</f>
        <v>3154368.0932457154</v>
      </c>
      <c r="R104" s="700">
        <f>+R109*Assumptions!$O$91</f>
        <v>3217455.4551106291</v>
      </c>
      <c r="S104" s="700">
        <f>+S109*Assumptions!$O$91</f>
        <v>3281804.5642128414</v>
      </c>
      <c r="T104" s="700">
        <f>+T109*Assumptions!$O$91</f>
        <v>3347440.6554970988</v>
      </c>
      <c r="U104" s="700">
        <f>+U109*Assumptions!$O$91</f>
        <v>3414389.4686070411</v>
      </c>
      <c r="V104" s="700">
        <f>+V109*Assumptions!$O$91</f>
        <v>3482677.2579791816</v>
      </c>
      <c r="W104" s="700">
        <f>+W109*Assumptions!$O$91</f>
        <v>3552330.803138766</v>
      </c>
      <c r="X104" s="700">
        <f>+X109*Assumptions!$O$91</f>
        <v>3623377.4192015408</v>
      </c>
      <c r="Y104" s="700">
        <f>+Y109*Assumptions!$O$91</f>
        <v>3695844.967585572</v>
      </c>
      <c r="Z104" s="700">
        <f>+Z109*Assumptions!$O$91</f>
        <v>3769761.8669372834</v>
      </c>
    </row>
    <row r="105" spans="2:26" s="15" customFormat="1">
      <c r="B105" s="701" t="s">
        <v>584</v>
      </c>
      <c r="C105" s="701"/>
      <c r="D105" s="701"/>
      <c r="E105" s="701"/>
      <c r="F105" s="702">
        <v>0</v>
      </c>
      <c r="G105" s="702">
        <v>0</v>
      </c>
      <c r="H105" s="702">
        <v>0</v>
      </c>
      <c r="I105" s="702">
        <f t="shared" ref="I105:Z105" si="82">+SUM(I102:I104)</f>
        <v>7384280.0288367597</v>
      </c>
      <c r="J105" s="702">
        <f t="shared" si="82"/>
        <v>14810480.62567002</v>
      </c>
      <c r="K105" s="702">
        <f t="shared" si="82"/>
        <v>14865401.97068342</v>
      </c>
      <c r="L105" s="702">
        <f t="shared" si="82"/>
        <v>16127863.08009709</v>
      </c>
      <c r="M105" s="702">
        <f t="shared" si="82"/>
        <v>16185003.247449033</v>
      </c>
      <c r="N105" s="702">
        <f t="shared" si="82"/>
        <v>16243286.218148014</v>
      </c>
      <c r="O105" s="702">
        <f t="shared" si="82"/>
        <v>16302734.848260975</v>
      </c>
      <c r="P105" s="702">
        <f t="shared" si="82"/>
        <v>16363372.450976193</v>
      </c>
      <c r="Q105" s="702">
        <f t="shared" si="82"/>
        <v>17752308.276995718</v>
      </c>
      <c r="R105" s="702">
        <f t="shared" si="82"/>
        <v>17815395.638860632</v>
      </c>
      <c r="S105" s="702">
        <f t="shared" si="82"/>
        <v>17879744.747962844</v>
      </c>
      <c r="T105" s="702">
        <f t="shared" si="82"/>
        <v>17945380.839247104</v>
      </c>
      <c r="U105" s="702">
        <f t="shared" si="82"/>
        <v>18012329.652357046</v>
      </c>
      <c r="V105" s="702">
        <f t="shared" si="82"/>
        <v>19540411.460104186</v>
      </c>
      <c r="W105" s="702">
        <f t="shared" si="82"/>
        <v>19610065.005263772</v>
      </c>
      <c r="X105" s="702">
        <f t="shared" si="82"/>
        <v>19681111.621326547</v>
      </c>
      <c r="Y105" s="702">
        <f t="shared" si="82"/>
        <v>19753579.169710577</v>
      </c>
      <c r="Z105" s="702">
        <f t="shared" si="82"/>
        <v>19827496.069062289</v>
      </c>
    </row>
    <row r="106" spans="2:26" s="15" customFormat="1"/>
    <row r="107" spans="2:26" s="15" customFormat="1">
      <c r="B107" s="15" t="s">
        <v>585</v>
      </c>
      <c r="F107" s="7">
        <f>+F96*Assumptions!$O$123*'Phase II Pro Forma'!F100</f>
        <v>0</v>
      </c>
      <c r="G107" s="7">
        <f>+G96*Assumptions!$O$123*'Phase II Pro Forma'!G100</f>
        <v>0</v>
      </c>
      <c r="H107" s="7">
        <f>+H96*Assumptions!$O$123*'Phase II Pro Forma'!H100</f>
        <v>0</v>
      </c>
      <c r="I107" s="7">
        <f>+I96*Assumptions!$O$123*'Phase II Pro Forma'!I100</f>
        <v>1164460.2221249999</v>
      </c>
      <c r="J107" s="7">
        <f>+J96*Assumptions!$O$123*'Phase II Pro Forma'!J100</f>
        <v>2375498.853135</v>
      </c>
      <c r="K107" s="7">
        <f>+K96*Assumptions!$O$123*'Phase II Pro Forma'!K100</f>
        <v>2423008.8301976998</v>
      </c>
      <c r="L107" s="7">
        <f>+L96*Assumptions!$O$123*'Phase II Pro Forma'!L100</f>
        <v>2471469.0068016541</v>
      </c>
      <c r="M107" s="7">
        <f>+M96*Assumptions!$O$123*'Phase II Pro Forma'!M100</f>
        <v>2520898.3869376872</v>
      </c>
      <c r="N107" s="7">
        <f>+N96*Assumptions!$O$123*'Phase II Pro Forma'!N100</f>
        <v>2571316.3546764413</v>
      </c>
      <c r="O107" s="7">
        <f>+O96*Assumptions!$O$123*'Phase II Pro Forma'!O100</f>
        <v>2622742.6817699699</v>
      </c>
      <c r="P107" s="7">
        <f>+P96*Assumptions!$O$123*'Phase II Pro Forma'!P100</f>
        <v>2675197.5354053695</v>
      </c>
      <c r="Q107" s="7">
        <f>+Q96*Assumptions!$O$123*'Phase II Pro Forma'!Q100</f>
        <v>2728701.486113477</v>
      </c>
      <c r="R107" s="7">
        <f>+R96*Assumptions!$O$123*'Phase II Pro Forma'!R100</f>
        <v>2783275.5158357462</v>
      </c>
      <c r="S107" s="7">
        <f>+S96*Assumptions!$O$123*'Phase II Pro Forma'!S100</f>
        <v>2838941.0261524608</v>
      </c>
      <c r="T107" s="7">
        <f>+T96*Assumptions!$O$123*'Phase II Pro Forma'!T100</f>
        <v>2895719.8466755105</v>
      </c>
      <c r="U107" s="7">
        <f>+U96*Assumptions!$O$123*'Phase II Pro Forma'!U100</f>
        <v>2953634.243609021</v>
      </c>
      <c r="V107" s="7">
        <f>+V96*Assumptions!$O$123*'Phase II Pro Forma'!V100</f>
        <v>3012706.9284812012</v>
      </c>
      <c r="W107" s="7">
        <f>+W96*Assumptions!$O$123*'Phase II Pro Forma'!W100</f>
        <v>3072961.0670508258</v>
      </c>
      <c r="X107" s="7">
        <f>+X96*Assumptions!$O$123*'Phase II Pro Forma'!X100</f>
        <v>3134420.288391842</v>
      </c>
      <c r="Y107" s="7">
        <f>+Y96*Assumptions!$O$123*'Phase II Pro Forma'!Y100</f>
        <v>3197108.6941596791</v>
      </c>
      <c r="Z107" s="7">
        <f>+Z96*Assumptions!$O$123*'Phase II Pro Forma'!Z100</f>
        <v>3261050.8680428728</v>
      </c>
    </row>
    <row r="108" spans="2:26" s="659" customFormat="1">
      <c r="B108" s="659" t="s">
        <v>595</v>
      </c>
      <c r="F108" s="698"/>
      <c r="G108" s="698">
        <v>0</v>
      </c>
      <c r="H108" s="698">
        <v>0</v>
      </c>
      <c r="I108" s="698">
        <f>('Parcel x Block Info'!$P$16*0.23)*I97</f>
        <v>337843.49047139997</v>
      </c>
      <c r="J108" s="698">
        <f>('Parcel x Block Info'!$P$16*0.23)</f>
        <v>675686.98094279994</v>
      </c>
      <c r="K108" s="698">
        <f t="shared" ref="K108:Z108" si="83">J108*1.02</f>
        <v>689200.72056165594</v>
      </c>
      <c r="L108" s="698">
        <f t="shared" si="83"/>
        <v>702984.73497288907</v>
      </c>
      <c r="M108" s="698">
        <f t="shared" si="83"/>
        <v>717044.42967234692</v>
      </c>
      <c r="N108" s="698">
        <f t="shared" si="83"/>
        <v>731385.31826579385</v>
      </c>
      <c r="O108" s="698">
        <f t="shared" si="83"/>
        <v>746013.02463110979</v>
      </c>
      <c r="P108" s="698">
        <f t="shared" si="83"/>
        <v>760933.28512373194</v>
      </c>
      <c r="Q108" s="698">
        <f t="shared" si="83"/>
        <v>776151.95082620659</v>
      </c>
      <c r="R108" s="698">
        <f t="shared" si="83"/>
        <v>791674.98984273069</v>
      </c>
      <c r="S108" s="698">
        <f t="shared" si="83"/>
        <v>807508.48963958537</v>
      </c>
      <c r="T108" s="698">
        <f t="shared" si="83"/>
        <v>823658.65943237708</v>
      </c>
      <c r="U108" s="698">
        <f t="shared" si="83"/>
        <v>840131.83262102469</v>
      </c>
      <c r="V108" s="698">
        <f t="shared" si="83"/>
        <v>856934.4692734452</v>
      </c>
      <c r="W108" s="698">
        <f t="shared" si="83"/>
        <v>874073.15865891415</v>
      </c>
      <c r="X108" s="698">
        <f t="shared" si="83"/>
        <v>891554.62183209241</v>
      </c>
      <c r="Y108" s="698">
        <f t="shared" si="83"/>
        <v>909385.71426873433</v>
      </c>
      <c r="Z108" s="698">
        <f t="shared" si="83"/>
        <v>927573.42855410906</v>
      </c>
    </row>
    <row r="109" spans="2:26" s="15" customFormat="1">
      <c r="B109" s="701" t="s">
        <v>586</v>
      </c>
      <c r="C109" s="701"/>
      <c r="D109" s="701"/>
      <c r="E109" s="701"/>
      <c r="F109" s="702">
        <f>+SUM(F107:F108)</f>
        <v>0</v>
      </c>
      <c r="G109" s="702">
        <f t="shared" ref="G109" si="84">+SUM(G107:G108)</f>
        <v>0</v>
      </c>
      <c r="H109" s="702">
        <f t="shared" ref="H109" si="85">+SUM(H107:H108)</f>
        <v>0</v>
      </c>
      <c r="I109" s="702">
        <f t="shared" ref="I109:Z109" si="86">+SUM(I107:I108)</f>
        <v>1502303.7125963997</v>
      </c>
      <c r="J109" s="702">
        <f t="shared" si="86"/>
        <v>3051185.8340777997</v>
      </c>
      <c r="K109" s="702">
        <f t="shared" si="86"/>
        <v>3112209.5507593555</v>
      </c>
      <c r="L109" s="702">
        <f t="shared" si="86"/>
        <v>3174453.7417745432</v>
      </c>
      <c r="M109" s="702">
        <f t="shared" si="86"/>
        <v>3237942.8166100341</v>
      </c>
      <c r="N109" s="702">
        <f t="shared" si="86"/>
        <v>3302701.6729422351</v>
      </c>
      <c r="O109" s="702">
        <f t="shared" si="86"/>
        <v>3368755.7064010799</v>
      </c>
      <c r="P109" s="702">
        <f t="shared" si="86"/>
        <v>3436130.8205291014</v>
      </c>
      <c r="Q109" s="702">
        <f t="shared" si="86"/>
        <v>3504853.4369396837</v>
      </c>
      <c r="R109" s="702">
        <f t="shared" si="86"/>
        <v>3574950.5056784768</v>
      </c>
      <c r="S109" s="702">
        <f t="shared" si="86"/>
        <v>3646449.5157920462</v>
      </c>
      <c r="T109" s="702">
        <f t="shared" si="86"/>
        <v>3719378.5061078877</v>
      </c>
      <c r="U109" s="702">
        <f t="shared" si="86"/>
        <v>3793766.0762300454</v>
      </c>
      <c r="V109" s="702">
        <f t="shared" si="86"/>
        <v>3869641.3977546464</v>
      </c>
      <c r="W109" s="702">
        <f t="shared" si="86"/>
        <v>3947034.2257097401</v>
      </c>
      <c r="X109" s="702">
        <f t="shared" si="86"/>
        <v>4025974.9102239343</v>
      </c>
      <c r="Y109" s="702">
        <f t="shared" si="86"/>
        <v>4106494.4084284133</v>
      </c>
      <c r="Z109" s="702">
        <f t="shared" si="86"/>
        <v>4188624.2965969816</v>
      </c>
    </row>
    <row r="110" spans="2:26">
      <c r="B110" s="15"/>
    </row>
    <row r="111" spans="2:26">
      <c r="B111" s="653" t="s">
        <v>587</v>
      </c>
      <c r="C111" s="653"/>
      <c r="D111" s="653"/>
      <c r="E111" s="653"/>
      <c r="F111" s="544">
        <f>+F105-F109</f>
        <v>0</v>
      </c>
      <c r="G111" s="544">
        <f t="shared" ref="G111:H111" si="87">+G105-G109</f>
        <v>0</v>
      </c>
      <c r="H111" s="544">
        <f t="shared" si="87"/>
        <v>0</v>
      </c>
      <c r="I111" s="544">
        <f t="shared" ref="I111:Z111" si="88">+I105-I109</f>
        <v>5881976.31624036</v>
      </c>
      <c r="J111" s="544">
        <f t="shared" si="88"/>
        <v>11759294.79159222</v>
      </c>
      <c r="K111" s="544">
        <f t="shared" si="88"/>
        <v>11753192.419924065</v>
      </c>
      <c r="L111" s="544">
        <f t="shared" si="88"/>
        <v>12953409.338322546</v>
      </c>
      <c r="M111" s="544">
        <f t="shared" si="88"/>
        <v>12947060.430838998</v>
      </c>
      <c r="N111" s="544">
        <f t="shared" si="88"/>
        <v>12940584.545205779</v>
      </c>
      <c r="O111" s="544">
        <f t="shared" si="88"/>
        <v>12933979.141859895</v>
      </c>
      <c r="P111" s="544">
        <f t="shared" si="88"/>
        <v>12927241.630447092</v>
      </c>
      <c r="Q111" s="544">
        <f t="shared" si="88"/>
        <v>14247454.840056036</v>
      </c>
      <c r="R111" s="544">
        <f t="shared" si="88"/>
        <v>14240445.133182155</v>
      </c>
      <c r="S111" s="544">
        <f t="shared" si="88"/>
        <v>14233295.232170798</v>
      </c>
      <c r="T111" s="544">
        <f t="shared" si="88"/>
        <v>14226002.333139217</v>
      </c>
      <c r="U111" s="544">
        <f t="shared" si="88"/>
        <v>14218563.576127</v>
      </c>
      <c r="V111" s="544">
        <f t="shared" si="88"/>
        <v>15670770.062349539</v>
      </c>
      <c r="W111" s="544">
        <f t="shared" si="88"/>
        <v>15663030.779554032</v>
      </c>
      <c r="X111" s="544">
        <f t="shared" si="88"/>
        <v>15655136.711102612</v>
      </c>
      <c r="Y111" s="544">
        <f t="shared" si="88"/>
        <v>15647084.761282163</v>
      </c>
      <c r="Z111" s="544">
        <f t="shared" si="88"/>
        <v>15638871.772465307</v>
      </c>
    </row>
    <row r="112" spans="2:26">
      <c r="B112" s="654" t="s">
        <v>588</v>
      </c>
      <c r="C112" s="655"/>
      <c r="D112" s="655"/>
      <c r="E112" s="655"/>
      <c r="F112" s="656" t="str">
        <f>+IFERROR(F111/F105,"")</f>
        <v/>
      </c>
      <c r="G112" s="656" t="str">
        <f t="shared" ref="G112:H112" si="89">+IFERROR(G111/G105,"")</f>
        <v/>
      </c>
      <c r="H112" s="656" t="str">
        <f t="shared" si="89"/>
        <v/>
      </c>
      <c r="I112" s="657">
        <f t="shared" ref="I112:Z112" si="90">+IFERROR(I111/I105,"")</f>
        <v>0.79655379986543429</v>
      </c>
      <c r="J112" s="657">
        <f t="shared" si="90"/>
        <v>0.79398468481911499</v>
      </c>
      <c r="K112" s="657">
        <f t="shared" si="90"/>
        <v>0.79064074036497278</v>
      </c>
      <c r="L112" s="657">
        <f t="shared" si="90"/>
        <v>0.80316959996442172</v>
      </c>
      <c r="M112" s="657">
        <f t="shared" si="90"/>
        <v>0.79994178764713086</v>
      </c>
      <c r="N112" s="657">
        <f t="shared" si="90"/>
        <v>0.79667281431929393</v>
      </c>
      <c r="O112" s="657">
        <f t="shared" si="90"/>
        <v>0.79336254084016911</v>
      </c>
      <c r="P112" s="657">
        <f t="shared" si="90"/>
        <v>0.79001084093003626</v>
      </c>
      <c r="Q112" s="657">
        <f t="shared" si="90"/>
        <v>0.80256914299525561</v>
      </c>
      <c r="R112" s="657">
        <f t="shared" si="90"/>
        <v>0.79933364500306381</v>
      </c>
      <c r="S112" s="657">
        <f t="shared" si="90"/>
        <v>0.79605695902300233</v>
      </c>
      <c r="T112" s="657">
        <f t="shared" si="90"/>
        <v>0.79273894828838121</v>
      </c>
      <c r="U112" s="657">
        <f t="shared" si="90"/>
        <v>0.78937948896945687</v>
      </c>
      <c r="V112" s="657">
        <f t="shared" si="90"/>
        <v>0.80196725101437483</v>
      </c>
      <c r="W112" s="657">
        <f t="shared" si="90"/>
        <v>0.79872406212573643</v>
      </c>
      <c r="X112" s="657">
        <f t="shared" si="90"/>
        <v>0.79543965871006139</v>
      </c>
      <c r="Y112" s="657">
        <f t="shared" si="90"/>
        <v>0.79211390638891588</v>
      </c>
      <c r="Z112" s="657">
        <f t="shared" si="90"/>
        <v>0.7887466837967162</v>
      </c>
    </row>
    <row r="113" spans="2:26">
      <c r="B113" s="654" t="s">
        <v>589</v>
      </c>
      <c r="C113" s="655"/>
      <c r="D113" s="655"/>
      <c r="E113" s="655"/>
      <c r="F113" s="658">
        <f>+F111/Assumptions!$O$133</f>
        <v>0</v>
      </c>
      <c r="G113" s="658">
        <f>+G111/Assumptions!$O$133</f>
        <v>0</v>
      </c>
      <c r="H113" s="658">
        <f>+H111/Assumptions!$O$133</f>
        <v>0</v>
      </c>
      <c r="I113" s="658">
        <f>+I111/Assumptions!$O$133</f>
        <v>90491943.326774761</v>
      </c>
      <c r="J113" s="658">
        <f>+J111/Assumptions!$O$133</f>
        <v>180912227.56295723</v>
      </c>
      <c r="K113" s="658">
        <f>+K111/Assumptions!$O$133</f>
        <v>180818344.92190871</v>
      </c>
      <c r="L113" s="658">
        <f>+L111/Assumptions!$O$133</f>
        <v>199283220.58957762</v>
      </c>
      <c r="M113" s="658">
        <f>+M111/Assumptions!$O$133</f>
        <v>199185545.08983073</v>
      </c>
      <c r="N113" s="658">
        <f>+N111/Assumptions!$O$133</f>
        <v>199085916.08008891</v>
      </c>
      <c r="O113" s="658">
        <f>+O111/Assumptions!$O$133</f>
        <v>198984294.49015221</v>
      </c>
      <c r="P113" s="658">
        <f>+P111/Assumptions!$O$133</f>
        <v>198880640.46841678</v>
      </c>
      <c r="Q113" s="658">
        <f>+Q111/Assumptions!$O$133</f>
        <v>219191612.92393899</v>
      </c>
      <c r="R113" s="658">
        <f>+R111/Assumptions!$O$133</f>
        <v>219083771.27972546</v>
      </c>
      <c r="S113" s="658">
        <f>+S111/Assumptions!$O$133</f>
        <v>218973772.80262765</v>
      </c>
      <c r="T113" s="658">
        <f>+T111/Assumptions!$O$133</f>
        <v>218861574.35598794</v>
      </c>
      <c r="U113" s="658">
        <f>+U111/Assumptions!$O$133</f>
        <v>218747131.94041538</v>
      </c>
      <c r="V113" s="658">
        <f>+V111/Assumptions!$O$133</f>
        <v>241088770.1899929</v>
      </c>
      <c r="W113" s="658">
        <f>+W111/Assumptions!$O$133</f>
        <v>240969704.30083126</v>
      </c>
      <c r="X113" s="658">
        <f>+X111/Assumptions!$O$133</f>
        <v>240848257.09388635</v>
      </c>
      <c r="Y113" s="658">
        <f>+Y111/Assumptions!$O$133</f>
        <v>240724380.94280249</v>
      </c>
      <c r="Z113" s="658">
        <f>+Z111/Assumptions!$O$133</f>
        <v>240598027.26869702</v>
      </c>
    </row>
    <row r="115" spans="2:26">
      <c r="B115" s="73" t="s">
        <v>104</v>
      </c>
      <c r="C115" s="74"/>
      <c r="D115" s="74"/>
      <c r="E115" s="74"/>
      <c r="F115" s="75">
        <f>+Assumptions!$G$22</f>
        <v>44926</v>
      </c>
      <c r="G115" s="75">
        <f>+EOMONTH(F115,12)</f>
        <v>45291</v>
      </c>
      <c r="H115" s="75">
        <f t="shared" ref="H115:Z115" si="91">+EOMONTH(G115,12)</f>
        <v>45657</v>
      </c>
      <c r="I115" s="75">
        <f t="shared" si="91"/>
        <v>46022</v>
      </c>
      <c r="J115" s="75">
        <f t="shared" si="91"/>
        <v>46387</v>
      </c>
      <c r="K115" s="75">
        <f t="shared" si="91"/>
        <v>46752</v>
      </c>
      <c r="L115" s="75">
        <f t="shared" si="91"/>
        <v>47118</v>
      </c>
      <c r="M115" s="75">
        <f t="shared" si="91"/>
        <v>47483</v>
      </c>
      <c r="N115" s="75">
        <f t="shared" si="91"/>
        <v>47848</v>
      </c>
      <c r="O115" s="75">
        <f t="shared" si="91"/>
        <v>48213</v>
      </c>
      <c r="P115" s="75">
        <f t="shared" si="91"/>
        <v>48579</v>
      </c>
      <c r="Q115" s="75">
        <f t="shared" si="91"/>
        <v>48944</v>
      </c>
      <c r="R115" s="75">
        <f t="shared" si="91"/>
        <v>49309</v>
      </c>
      <c r="S115" s="75">
        <f t="shared" si="91"/>
        <v>49674</v>
      </c>
      <c r="T115" s="75">
        <f t="shared" si="91"/>
        <v>50040</v>
      </c>
      <c r="U115" s="75">
        <f t="shared" si="91"/>
        <v>50405</v>
      </c>
      <c r="V115" s="75">
        <f t="shared" si="91"/>
        <v>50770</v>
      </c>
      <c r="W115" s="75">
        <f t="shared" si="91"/>
        <v>51135</v>
      </c>
      <c r="X115" s="75">
        <f t="shared" si="91"/>
        <v>51501</v>
      </c>
      <c r="Y115" s="75">
        <f t="shared" si="91"/>
        <v>51866</v>
      </c>
      <c r="Z115" s="75">
        <f t="shared" si="91"/>
        <v>52231</v>
      </c>
    </row>
    <row r="116" spans="2:26">
      <c r="B116" s="15" t="s">
        <v>575</v>
      </c>
      <c r="C116" s="15"/>
      <c r="D116" s="20"/>
      <c r="E116" s="20"/>
      <c r="F116" s="22">
        <f>+IF(AND(F115&gt;=Assumptions!$G$26,F115&lt;Assumptions!$G$28),SUM(Assumptions!$G$204:$G$205)/ROUNDUP((Assumptions!$G$27/12),0),0)</f>
        <v>0</v>
      </c>
      <c r="G116" s="22">
        <f>+IF(AND(G115&gt;=Assumptions!$G$26,G115&lt;Assumptions!$G$28),SUM(Assumptions!$G$204:$G$205)/ROUNDUP((Assumptions!$G$27/12),0),0)</f>
        <v>0</v>
      </c>
      <c r="H116" s="22">
        <f>+IF(AND(H115&gt;=Assumptions!$G$26,H115&lt;Assumptions!$G$28),SUM(Assumptions!$G$204:$G$205)/ROUNDUP((Assumptions!$G$27/12),0),0)</f>
        <v>0</v>
      </c>
      <c r="I116" s="22">
        <f>+IF(AND(I115&gt;=Assumptions!$G$26,I115&lt;Assumptions!$G$28),SUM(Assumptions!$G$204:$G$205)/ROUNDUP((Assumptions!$G$27/12),0),0)</f>
        <v>52714</v>
      </c>
      <c r="J116" s="22">
        <f>+IF(AND(J115&gt;=Assumptions!$G$26,J115&lt;Assumptions!$G$28),SUM(Assumptions!$G$204:$G$205)/ROUNDUP((Assumptions!$G$27/12),0),0)</f>
        <v>52714</v>
      </c>
      <c r="K116" s="22">
        <f>+IF(AND(K115&gt;=Assumptions!$G$26,K115&lt;Assumptions!$G$28),SUM(Assumptions!$G$204:$G$205)/ROUNDUP((Assumptions!$G$27/12),0),0)</f>
        <v>0</v>
      </c>
      <c r="L116" s="22">
        <f>+IF(AND(L115&gt;=Assumptions!$G$26,L115&lt;Assumptions!$G$28),SUM(Assumptions!$G$204:$G$205)/ROUNDUP((Assumptions!$G$27/12),0),0)</f>
        <v>0</v>
      </c>
      <c r="M116" s="22">
        <f>+IF(AND(M115&gt;=Assumptions!$G$26,M115&lt;Assumptions!$G$28),SUM(Assumptions!$G$204:$G$205)/ROUNDUP((Assumptions!$G$27/12),0),0)</f>
        <v>0</v>
      </c>
      <c r="N116" s="22">
        <f>+IF(AND(N115&gt;=Assumptions!$G$26,N115&lt;Assumptions!$G$28),SUM(Assumptions!$G$204:$G$205)/ROUNDUP((Assumptions!$G$27/12),0),0)</f>
        <v>0</v>
      </c>
      <c r="O116" s="22">
        <f>+IF(AND(O115&gt;=Assumptions!$G$26,O115&lt;Assumptions!$G$28),SUM(Assumptions!$G$204:$G$205)/ROUNDUP((Assumptions!$G$27/12),0),0)</f>
        <v>0</v>
      </c>
      <c r="P116" s="22">
        <f>+IF(AND(P115&gt;=Assumptions!$G$26,P115&lt;Assumptions!$G$28),SUM(Assumptions!$G$204:$G$205)/ROUNDUP((Assumptions!$G$27/12),0),0)</f>
        <v>0</v>
      </c>
      <c r="Q116" s="22">
        <f>+IF(AND(Q115&gt;=Assumptions!$G$26,Q115&lt;Assumptions!$G$28),SUM(Assumptions!$G$204:$G$205)/ROUNDUP((Assumptions!$G$27/12),0),0)</f>
        <v>0</v>
      </c>
      <c r="R116" s="22">
        <f>+IF(AND(R115&gt;=Assumptions!$G$26,R115&lt;Assumptions!$G$28),SUM(Assumptions!$G$204:$G$205)/ROUNDUP((Assumptions!$G$27/12),0),0)</f>
        <v>0</v>
      </c>
      <c r="S116" s="22">
        <f>+IF(AND(S115&gt;=Assumptions!$G$26,S115&lt;Assumptions!$G$28),SUM(Assumptions!$G$204:$G$205)/ROUNDUP((Assumptions!$G$27/12),0),0)</f>
        <v>0</v>
      </c>
      <c r="T116" s="22">
        <f>+IF(AND(T115&gt;=Assumptions!$G$26,T115&lt;Assumptions!$G$28),SUM(Assumptions!$G$204:$G$205)/ROUNDUP((Assumptions!$G$27/12),0),0)</f>
        <v>0</v>
      </c>
      <c r="U116" s="22">
        <f>+IF(AND(U115&gt;=Assumptions!$G$26,U115&lt;Assumptions!$G$28),SUM(Assumptions!$G$204:$G$205)/ROUNDUP((Assumptions!$G$27/12),0),0)</f>
        <v>0</v>
      </c>
      <c r="V116" s="22">
        <f>+IF(AND(V115&gt;=Assumptions!$G$26,V115&lt;Assumptions!$G$28),SUM(Assumptions!$G$204:$G$205)/ROUNDUP((Assumptions!$G$27/12),0),0)</f>
        <v>0</v>
      </c>
      <c r="W116" s="22">
        <f>+IF(AND(W115&gt;=Assumptions!$G$26,W115&lt;Assumptions!$G$28),SUM(Assumptions!$G$204:$G$205)/ROUNDUP((Assumptions!$G$27/12),0),0)</f>
        <v>0</v>
      </c>
      <c r="X116" s="22">
        <f>+IF(AND(X115&gt;=Assumptions!$G$26,X115&lt;Assumptions!$G$28),SUM(Assumptions!$G$204:$G$205)/ROUNDUP((Assumptions!$G$27/12),0),0)</f>
        <v>0</v>
      </c>
      <c r="Y116" s="22">
        <f>+IF(AND(Y115&gt;=Assumptions!$G$26,Y115&lt;Assumptions!$G$28),SUM(Assumptions!$G$204:$G$205)/ROUNDUP((Assumptions!$G$27/12),0),0)</f>
        <v>0</v>
      </c>
      <c r="Z116" s="22">
        <f>+IF(AND(Z115&gt;=Assumptions!$G$26,Z115&lt;Assumptions!$G$28),SUM(Assumptions!$G$204:$G$205)/ROUNDUP((Assumptions!$G$27/12),0),0)</f>
        <v>0</v>
      </c>
    </row>
    <row r="117" spans="2:26">
      <c r="B117" s="15" t="s">
        <v>577</v>
      </c>
      <c r="C117" s="15"/>
      <c r="D117" s="22"/>
      <c r="E117" s="22"/>
      <c r="F117" s="22">
        <f>+F118-E118</f>
        <v>0</v>
      </c>
      <c r="G117" s="22">
        <f t="shared" ref="G117:Z117" si="92">+G118-F118</f>
        <v>0</v>
      </c>
      <c r="H117" s="22">
        <f t="shared" si="92"/>
        <v>0</v>
      </c>
      <c r="I117" s="22">
        <f t="shared" si="92"/>
        <v>210.85599999999999</v>
      </c>
      <c r="J117" s="22">
        <f t="shared" si="92"/>
        <v>210.85599999999999</v>
      </c>
      <c r="K117" s="22">
        <f t="shared" si="92"/>
        <v>0</v>
      </c>
      <c r="L117" s="22">
        <f t="shared" si="92"/>
        <v>0</v>
      </c>
      <c r="M117" s="22">
        <f t="shared" si="92"/>
        <v>0</v>
      </c>
      <c r="N117" s="22">
        <f t="shared" si="92"/>
        <v>0</v>
      </c>
      <c r="O117" s="22">
        <f t="shared" si="92"/>
        <v>0</v>
      </c>
      <c r="P117" s="22">
        <f t="shared" si="92"/>
        <v>0</v>
      </c>
      <c r="Q117" s="22">
        <f t="shared" si="92"/>
        <v>0</v>
      </c>
      <c r="R117" s="22">
        <f t="shared" si="92"/>
        <v>0</v>
      </c>
      <c r="S117" s="22">
        <f t="shared" si="92"/>
        <v>0</v>
      </c>
      <c r="T117" s="22">
        <f t="shared" si="92"/>
        <v>0</v>
      </c>
      <c r="U117" s="22">
        <f t="shared" si="92"/>
        <v>0</v>
      </c>
      <c r="V117" s="22">
        <f t="shared" si="92"/>
        <v>0</v>
      </c>
      <c r="W117" s="22">
        <f t="shared" si="92"/>
        <v>0</v>
      </c>
      <c r="X117" s="22">
        <f t="shared" si="92"/>
        <v>0</v>
      </c>
      <c r="Y117" s="22">
        <f t="shared" si="92"/>
        <v>0</v>
      </c>
      <c r="Z117" s="22">
        <f t="shared" si="92"/>
        <v>0</v>
      </c>
    </row>
    <row r="118" spans="2:26">
      <c r="B118" s="15" t="s">
        <v>578</v>
      </c>
      <c r="C118" s="15"/>
      <c r="D118" s="20"/>
      <c r="E118" s="20"/>
      <c r="F118" s="22">
        <f>+F120*SUM(Assumptions!$O$49:$O$50)</f>
        <v>0</v>
      </c>
      <c r="G118" s="22">
        <f>+G120*SUM(Assumptions!$O$49:$O$50)</f>
        <v>0</v>
      </c>
      <c r="H118" s="22">
        <f>+H120*SUM(Assumptions!$O$49:$O$50)</f>
        <v>0</v>
      </c>
      <c r="I118" s="22">
        <f>+I120*SUM(Assumptions!$O$49:$O$50)</f>
        <v>210.85599999999999</v>
      </c>
      <c r="J118" s="22">
        <f>+J120*SUM(Assumptions!$O$49:$O$50)</f>
        <v>421.71199999999999</v>
      </c>
      <c r="K118" s="22">
        <f>+K120*SUM(Assumptions!$O$49:$O$50)</f>
        <v>421.71199999999999</v>
      </c>
      <c r="L118" s="22">
        <f>+L120*SUM(Assumptions!$O$49:$O$50)</f>
        <v>421.71199999999999</v>
      </c>
      <c r="M118" s="22">
        <f>+M120*SUM(Assumptions!$O$49:$O$50)</f>
        <v>421.71199999999999</v>
      </c>
      <c r="N118" s="22">
        <f>+N120*SUM(Assumptions!$O$49:$O$50)</f>
        <v>421.71199999999999</v>
      </c>
      <c r="O118" s="22">
        <f>+O120*SUM(Assumptions!$O$49:$O$50)</f>
        <v>421.71199999999999</v>
      </c>
      <c r="P118" s="22">
        <f>+P120*SUM(Assumptions!$O$49:$O$50)</f>
        <v>421.71199999999999</v>
      </c>
      <c r="Q118" s="22">
        <f>+Q120*SUM(Assumptions!$O$49:$O$50)</f>
        <v>421.71199999999999</v>
      </c>
      <c r="R118" s="22">
        <f>+R120*SUM(Assumptions!$O$49:$O$50)</f>
        <v>421.71199999999999</v>
      </c>
      <c r="S118" s="22">
        <f>+S120*SUM(Assumptions!$O$49:$O$50)</f>
        <v>421.71199999999999</v>
      </c>
      <c r="T118" s="22">
        <f>+T120*SUM(Assumptions!$O$49:$O$50)</f>
        <v>421.71199999999999</v>
      </c>
      <c r="U118" s="22">
        <f>+U120*SUM(Assumptions!$O$49:$O$50)</f>
        <v>421.71199999999999</v>
      </c>
      <c r="V118" s="22">
        <f>+V120*SUM(Assumptions!$O$49:$O$50)</f>
        <v>421.71199999999999</v>
      </c>
      <c r="W118" s="22">
        <f>+W120*SUM(Assumptions!$O$49:$O$50)</f>
        <v>421.71199999999999</v>
      </c>
      <c r="X118" s="22">
        <f>+X120*SUM(Assumptions!$O$49:$O$50)</f>
        <v>421.71199999999999</v>
      </c>
      <c r="Y118" s="22">
        <f>+Y120*SUM(Assumptions!$O$49:$O$50)</f>
        <v>421.71199999999999</v>
      </c>
      <c r="Z118" s="22">
        <f>+Z120*SUM(Assumptions!$O$49:$O$50)</f>
        <v>421.71199999999999</v>
      </c>
    </row>
    <row r="119" spans="2:26">
      <c r="B119" s="15" t="s">
        <v>576</v>
      </c>
      <c r="C119" s="15"/>
      <c r="D119" s="22">
        <v>0</v>
      </c>
      <c r="E119" s="22"/>
      <c r="F119" s="22">
        <f>+D119+F116</f>
        <v>0</v>
      </c>
      <c r="G119" s="22">
        <f t="shared" ref="G119:Z119" si="93">+F119+G116</f>
        <v>0</v>
      </c>
      <c r="H119" s="22">
        <f t="shared" si="93"/>
        <v>0</v>
      </c>
      <c r="I119" s="22">
        <f t="shared" si="93"/>
        <v>52714</v>
      </c>
      <c r="J119" s="22">
        <f t="shared" si="93"/>
        <v>105428</v>
      </c>
      <c r="K119" s="22">
        <f t="shared" si="93"/>
        <v>105428</v>
      </c>
      <c r="L119" s="22">
        <f t="shared" si="93"/>
        <v>105428</v>
      </c>
      <c r="M119" s="22">
        <f t="shared" si="93"/>
        <v>105428</v>
      </c>
      <c r="N119" s="22">
        <f t="shared" si="93"/>
        <v>105428</v>
      </c>
      <c r="O119" s="22">
        <f t="shared" si="93"/>
        <v>105428</v>
      </c>
      <c r="P119" s="22">
        <f t="shared" si="93"/>
        <v>105428</v>
      </c>
      <c r="Q119" s="22">
        <f t="shared" si="93"/>
        <v>105428</v>
      </c>
      <c r="R119" s="22">
        <f t="shared" si="93"/>
        <v>105428</v>
      </c>
      <c r="S119" s="22">
        <f t="shared" si="93"/>
        <v>105428</v>
      </c>
      <c r="T119" s="22">
        <f t="shared" si="93"/>
        <v>105428</v>
      </c>
      <c r="U119" s="22">
        <f t="shared" si="93"/>
        <v>105428</v>
      </c>
      <c r="V119" s="22">
        <f t="shared" si="93"/>
        <v>105428</v>
      </c>
      <c r="W119" s="22">
        <f t="shared" si="93"/>
        <v>105428</v>
      </c>
      <c r="X119" s="22">
        <f t="shared" si="93"/>
        <v>105428</v>
      </c>
      <c r="Y119" s="22">
        <f t="shared" si="93"/>
        <v>105428</v>
      </c>
      <c r="Z119" s="22">
        <f t="shared" si="93"/>
        <v>105428</v>
      </c>
    </row>
    <row r="120" spans="2:26">
      <c r="B120" s="15" t="s">
        <v>579</v>
      </c>
      <c r="C120" s="15"/>
      <c r="D120" s="22"/>
      <c r="E120" s="22"/>
      <c r="F120" s="49">
        <f t="shared" ref="F120:Z120" si="94">+F119/SUM($F116:$Z116)</f>
        <v>0</v>
      </c>
      <c r="G120" s="49">
        <f t="shared" si="94"/>
        <v>0</v>
      </c>
      <c r="H120" s="49">
        <f t="shared" si="94"/>
        <v>0</v>
      </c>
      <c r="I120" s="49">
        <f t="shared" si="94"/>
        <v>0.5</v>
      </c>
      <c r="J120" s="49">
        <f t="shared" si="94"/>
        <v>1</v>
      </c>
      <c r="K120" s="49">
        <f t="shared" si="94"/>
        <v>1</v>
      </c>
      <c r="L120" s="49">
        <f t="shared" si="94"/>
        <v>1</v>
      </c>
      <c r="M120" s="49">
        <f t="shared" si="94"/>
        <v>1</v>
      </c>
      <c r="N120" s="49">
        <f t="shared" si="94"/>
        <v>1</v>
      </c>
      <c r="O120" s="49">
        <f t="shared" si="94"/>
        <v>1</v>
      </c>
      <c r="P120" s="49">
        <f t="shared" si="94"/>
        <v>1</v>
      </c>
      <c r="Q120" s="49">
        <f t="shared" si="94"/>
        <v>1</v>
      </c>
      <c r="R120" s="49">
        <f t="shared" si="94"/>
        <v>1</v>
      </c>
      <c r="S120" s="49">
        <f t="shared" si="94"/>
        <v>1</v>
      </c>
      <c r="T120" s="49">
        <f t="shared" si="94"/>
        <v>1</v>
      </c>
      <c r="U120" s="49">
        <f t="shared" si="94"/>
        <v>1</v>
      </c>
      <c r="V120" s="49">
        <f t="shared" si="94"/>
        <v>1</v>
      </c>
      <c r="W120" s="49">
        <f t="shared" si="94"/>
        <v>1</v>
      </c>
      <c r="X120" s="49">
        <f t="shared" si="94"/>
        <v>1</v>
      </c>
      <c r="Y120" s="49">
        <f t="shared" si="94"/>
        <v>1</v>
      </c>
      <c r="Z120" s="49">
        <f t="shared" si="94"/>
        <v>1</v>
      </c>
    </row>
    <row r="121" spans="2:26">
      <c r="B121" s="15"/>
      <c r="C121" s="15"/>
      <c r="D121" s="20"/>
      <c r="E121" s="20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>
      <c r="B122" s="15" t="s">
        <v>580</v>
      </c>
      <c r="C122" s="15"/>
      <c r="D122" s="22"/>
      <c r="E122" s="22"/>
      <c r="F122" s="49">
        <v>1</v>
      </c>
      <c r="G122" s="49">
        <f>+F122*(1+Assumptions!$O$74)</f>
        <v>1.02</v>
      </c>
      <c r="H122" s="49">
        <f>+G122*(1+Assumptions!$O$74)</f>
        <v>1.0404</v>
      </c>
      <c r="I122" s="49">
        <f>+H122*(1+Assumptions!$O$74)</f>
        <v>1.0612079999999999</v>
      </c>
      <c r="J122" s="49">
        <f>+I122*(1+Assumptions!$O$74)</f>
        <v>1.08243216</v>
      </c>
      <c r="K122" s="49">
        <f>+J122*(1+Assumptions!$O$74)</f>
        <v>1.1040808032</v>
      </c>
      <c r="L122" s="49">
        <f>+K122*(1+Assumptions!$O$74)</f>
        <v>1.1261624192640001</v>
      </c>
      <c r="M122" s="49">
        <f>+L122*(1+Assumptions!$O$74)</f>
        <v>1.14868566764928</v>
      </c>
      <c r="N122" s="49">
        <f>+M122*(1+Assumptions!$O$74)</f>
        <v>1.1716593810022657</v>
      </c>
      <c r="O122" s="49">
        <f>+N122*(1+Assumptions!$O$74)</f>
        <v>1.1950925686223111</v>
      </c>
      <c r="P122" s="49">
        <f>+O122*(1+Assumptions!$O$74)</f>
        <v>1.2189944199947573</v>
      </c>
      <c r="Q122" s="49">
        <f>+P122*(1+Assumptions!$O$74)</f>
        <v>1.2433743083946525</v>
      </c>
      <c r="R122" s="49">
        <f>+Q122*(1+Assumptions!$O$74)</f>
        <v>1.2682417945625455</v>
      </c>
      <c r="S122" s="49">
        <f>+R122*(1+Assumptions!$O$74)</f>
        <v>1.2936066304537963</v>
      </c>
      <c r="T122" s="49">
        <f>+S122*(1+Assumptions!$O$74)</f>
        <v>1.3194787630628724</v>
      </c>
      <c r="U122" s="49">
        <f>+T122*(1+Assumptions!$O$74)</f>
        <v>1.3458683383241299</v>
      </c>
      <c r="V122" s="49">
        <f>+U122*(1+Assumptions!$O$74)</f>
        <v>1.3727857050906125</v>
      </c>
      <c r="W122" s="49">
        <f>+V122*(1+Assumptions!$O$74)</f>
        <v>1.4002414191924248</v>
      </c>
      <c r="X122" s="49">
        <f>+W122*(1+Assumptions!$O$74)</f>
        <v>1.4282462475762734</v>
      </c>
      <c r="Y122" s="49">
        <f>+X122*(1+Assumptions!$O$74)</f>
        <v>1.4568111725277988</v>
      </c>
      <c r="Z122" s="49">
        <f>+Y122*(1+Assumptions!$O$74)</f>
        <v>1.4859473959783549</v>
      </c>
    </row>
    <row r="123" spans="2:26">
      <c r="B123" s="15" t="s">
        <v>581</v>
      </c>
      <c r="C123" s="15"/>
      <c r="D123" s="22"/>
      <c r="E123" s="22"/>
      <c r="F123" s="49">
        <v>1</v>
      </c>
      <c r="G123" s="49">
        <f>+F123*(1+Assumptions!$O$82)</f>
        <v>1.02</v>
      </c>
      <c r="H123" s="49">
        <f>+G123*(1+Assumptions!$O$82)</f>
        <v>1.0404</v>
      </c>
      <c r="I123" s="49">
        <f>+H123*(1+Assumptions!$O$82)</f>
        <v>1.0612079999999999</v>
      </c>
      <c r="J123" s="49">
        <f>+I123*(1+Assumptions!$O$82)</f>
        <v>1.08243216</v>
      </c>
      <c r="K123" s="49">
        <f>+J123*(1+Assumptions!$O$82)</f>
        <v>1.1040808032</v>
      </c>
      <c r="L123" s="49">
        <f>+K123*(1+Assumptions!$O$82)</f>
        <v>1.1261624192640001</v>
      </c>
      <c r="M123" s="49">
        <f>+L123*(1+Assumptions!$O$82)</f>
        <v>1.14868566764928</v>
      </c>
      <c r="N123" s="49">
        <f>+M123*(1+Assumptions!$O$82)</f>
        <v>1.1716593810022657</v>
      </c>
      <c r="O123" s="49">
        <f>+N123*(1+Assumptions!$O$82)</f>
        <v>1.1950925686223111</v>
      </c>
      <c r="P123" s="49">
        <f>+O123*(1+Assumptions!$O$82)</f>
        <v>1.2189944199947573</v>
      </c>
      <c r="Q123" s="49">
        <f>+P123*(1+Assumptions!$O$82)</f>
        <v>1.2433743083946525</v>
      </c>
      <c r="R123" s="49">
        <f>+Q123*(1+Assumptions!$O$82)</f>
        <v>1.2682417945625455</v>
      </c>
      <c r="S123" s="49">
        <f>+R123*(1+Assumptions!$O$82)</f>
        <v>1.2936066304537963</v>
      </c>
      <c r="T123" s="49">
        <f>+S123*(1+Assumptions!$O$82)</f>
        <v>1.3194787630628724</v>
      </c>
      <c r="U123" s="49">
        <f>+T123*(1+Assumptions!$O$82)</f>
        <v>1.3458683383241299</v>
      </c>
      <c r="V123" s="49">
        <f>+U123*(1+Assumptions!$O$82)</f>
        <v>1.3727857050906125</v>
      </c>
      <c r="W123" s="49">
        <f>+V123*(1+Assumptions!$O$82)</f>
        <v>1.4002414191924248</v>
      </c>
      <c r="X123" s="49">
        <f>+W123*(1+Assumptions!$O$82)</f>
        <v>1.4282462475762734</v>
      </c>
      <c r="Y123" s="49">
        <f>+X123*(1+Assumptions!$O$82)</f>
        <v>1.4568111725277988</v>
      </c>
      <c r="Z123" s="49">
        <f>+Y123*(1+Assumptions!$O$82)</f>
        <v>1.4859473959783549</v>
      </c>
    </row>
    <row r="124" spans="2:26">
      <c r="B124" s="15"/>
      <c r="C124" s="15"/>
      <c r="D124" s="20"/>
      <c r="E124" s="20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>
      <c r="B125" s="15" t="s">
        <v>582</v>
      </c>
      <c r="C125" s="15"/>
      <c r="D125" s="20"/>
      <c r="E125" s="20"/>
      <c r="F125" s="16">
        <f>+F120*Assumptions!$G$203*F122</f>
        <v>0</v>
      </c>
      <c r="G125" s="16">
        <f>+G120*Assumptions!$G$203*G122</f>
        <v>0</v>
      </c>
      <c r="H125" s="16">
        <f>+H120*Assumptions!$G$203*H122</f>
        <v>0</v>
      </c>
      <c r="I125" s="16">
        <f>+I120*Assumptions!$G$203*I122</f>
        <v>586661.19583563867</v>
      </c>
      <c r="J125" s="16">
        <f>+J120*Assumptions!$G$203*J122</f>
        <v>1196788.8395047029</v>
      </c>
      <c r="K125" s="16">
        <f>+K120*Assumptions!$G$203*K122</f>
        <v>1220724.616294797</v>
      </c>
      <c r="L125" s="16">
        <f>+L120*Assumptions!$G$203*L122</f>
        <v>1245139.1086206932</v>
      </c>
      <c r="M125" s="16">
        <f>+M120*Assumptions!$G$203*M122</f>
        <v>1270041.890793107</v>
      </c>
      <c r="N125" s="16">
        <f>+N120*Assumptions!$G$203*N122</f>
        <v>1295442.7286089691</v>
      </c>
      <c r="O125" s="16">
        <f>+O120*Assumptions!$G$203*O122</f>
        <v>1321351.5831811486</v>
      </c>
      <c r="P125" s="16">
        <f>+P120*Assumptions!$G$203*P122</f>
        <v>1347778.6148447716</v>
      </c>
      <c r="Q125" s="16">
        <f>+Q120*Assumptions!$G$203*Q122</f>
        <v>1374734.1871416671</v>
      </c>
      <c r="R125" s="16">
        <f>+R120*Assumptions!$G$203*R122</f>
        <v>1402228.8708845004</v>
      </c>
      <c r="S125" s="16">
        <f>+S120*Assumptions!$G$203*S122</f>
        <v>1430273.4483021903</v>
      </c>
      <c r="T125" s="16">
        <f>+T120*Assumptions!$G$203*T122</f>
        <v>1458878.9172682343</v>
      </c>
      <c r="U125" s="16">
        <f>+U120*Assumptions!$G$203*U122</f>
        <v>1488056.495613599</v>
      </c>
      <c r="V125" s="16">
        <f>+V120*Assumptions!$G$203*V122</f>
        <v>1517817.6255258711</v>
      </c>
      <c r="W125" s="16">
        <f>+W120*Assumptions!$G$203*W122</f>
        <v>1548173.9780363885</v>
      </c>
      <c r="X125" s="16">
        <f>+X120*Assumptions!$G$203*X122</f>
        <v>1579137.4575971162</v>
      </c>
      <c r="Y125" s="16">
        <f>+Y120*Assumptions!$G$203*Y122</f>
        <v>1610720.2067490586</v>
      </c>
      <c r="Z125" s="16">
        <f>+Z120*Assumptions!$G$203*Z122</f>
        <v>1642934.6108840399</v>
      </c>
    </row>
    <row r="126" spans="2:26">
      <c r="B126" s="15" t="s">
        <v>583</v>
      </c>
      <c r="C126" s="15"/>
      <c r="D126" s="20"/>
      <c r="E126" s="20"/>
      <c r="F126" s="22">
        <f>-F125*Assumptions!$O$60</f>
        <v>0</v>
      </c>
      <c r="G126" s="22">
        <f>-G125*Assumptions!$O$60</f>
        <v>0</v>
      </c>
      <c r="H126" s="22">
        <f>-H125*Assumptions!$O$60</f>
        <v>0</v>
      </c>
      <c r="I126" s="22">
        <f>-I125*Assumptions!$O$60</f>
        <v>-58666.119583563872</v>
      </c>
      <c r="J126" s="22">
        <f>-J125*Assumptions!$O$60</f>
        <v>-119678.88395047031</v>
      </c>
      <c r="K126" s="22">
        <f>-K125*Assumptions!$O$60</f>
        <v>-122072.46162947972</v>
      </c>
      <c r="L126" s="22">
        <f>-L125*Assumptions!$O$60</f>
        <v>-124513.91086206933</v>
      </c>
      <c r="M126" s="22">
        <f>-M125*Assumptions!$O$60</f>
        <v>-127004.1890793107</v>
      </c>
      <c r="N126" s="22">
        <f>-N125*Assumptions!$O$60</f>
        <v>-129544.27286089692</v>
      </c>
      <c r="O126" s="22">
        <f>-O125*Assumptions!$O$60</f>
        <v>-132135.15831811487</v>
      </c>
      <c r="P126" s="22">
        <f>-P125*Assumptions!$O$60</f>
        <v>-134777.86148447715</v>
      </c>
      <c r="Q126" s="22">
        <f>-Q125*Assumptions!$O$60</f>
        <v>-137473.41871416671</v>
      </c>
      <c r="R126" s="22">
        <f>-R125*Assumptions!$O$60</f>
        <v>-140222.88708845005</v>
      </c>
      <c r="S126" s="22">
        <f>-S125*Assumptions!$O$60</f>
        <v>-143027.34483021902</v>
      </c>
      <c r="T126" s="22">
        <f>-T125*Assumptions!$O$60</f>
        <v>-145887.89172682344</v>
      </c>
      <c r="U126" s="22">
        <f>-U125*Assumptions!$O$60</f>
        <v>-148805.6495613599</v>
      </c>
      <c r="V126" s="22">
        <f>-V125*Assumptions!$O$60</f>
        <v>-151781.76255258711</v>
      </c>
      <c r="W126" s="22">
        <f>-W125*Assumptions!$O$60</f>
        <v>-154817.39780363886</v>
      </c>
      <c r="X126" s="22">
        <f>-X125*Assumptions!$O$60</f>
        <v>-157913.74575971163</v>
      </c>
      <c r="Y126" s="22">
        <f>-Y125*Assumptions!$O$60</f>
        <v>-161072.02067490586</v>
      </c>
      <c r="Z126" s="22">
        <f>-Z125*Assumptions!$O$60</f>
        <v>-164293.461088404</v>
      </c>
    </row>
    <row r="127" spans="2:26">
      <c r="B127" s="62" t="s">
        <v>584</v>
      </c>
      <c r="C127" s="62"/>
      <c r="D127" s="62"/>
      <c r="E127" s="62"/>
      <c r="F127" s="58">
        <f t="shared" ref="F127:Z127" si="95">+SUM(F125:F126)</f>
        <v>0</v>
      </c>
      <c r="G127" s="58">
        <f t="shared" si="95"/>
        <v>0</v>
      </c>
      <c r="H127" s="58">
        <f t="shared" si="95"/>
        <v>0</v>
      </c>
      <c r="I127" s="58">
        <f>+SUM(I125:I126)</f>
        <v>527995.0762520748</v>
      </c>
      <c r="J127" s="58">
        <f t="shared" si="95"/>
        <v>1077109.9555542327</v>
      </c>
      <c r="K127" s="58">
        <f t="shared" si="95"/>
        <v>1098652.1546653174</v>
      </c>
      <c r="L127" s="58">
        <f t="shared" si="95"/>
        <v>1120625.1977586239</v>
      </c>
      <c r="M127" s="58">
        <f t="shared" si="95"/>
        <v>1143037.7017137962</v>
      </c>
      <c r="N127" s="58">
        <f t="shared" si="95"/>
        <v>1165898.4557480721</v>
      </c>
      <c r="O127" s="58">
        <f t="shared" si="95"/>
        <v>1189216.4248630337</v>
      </c>
      <c r="P127" s="58">
        <f t="shared" si="95"/>
        <v>1213000.7533602945</v>
      </c>
      <c r="Q127" s="58">
        <f t="shared" si="95"/>
        <v>1237260.7684275005</v>
      </c>
      <c r="R127" s="58">
        <f t="shared" si="95"/>
        <v>1262005.9837960503</v>
      </c>
      <c r="S127" s="58">
        <f t="shared" si="95"/>
        <v>1287246.1034719713</v>
      </c>
      <c r="T127" s="58">
        <f t="shared" si="95"/>
        <v>1312991.0255414108</v>
      </c>
      <c r="U127" s="58">
        <f t="shared" si="95"/>
        <v>1339250.8460522392</v>
      </c>
      <c r="V127" s="58">
        <f t="shared" si="95"/>
        <v>1366035.862973284</v>
      </c>
      <c r="W127" s="58">
        <f t="shared" si="95"/>
        <v>1393356.5802327497</v>
      </c>
      <c r="X127" s="58">
        <f t="shared" si="95"/>
        <v>1421223.7118374046</v>
      </c>
      <c r="Y127" s="58">
        <f t="shared" si="95"/>
        <v>1449648.1860741526</v>
      </c>
      <c r="Z127" s="58">
        <f t="shared" si="95"/>
        <v>1478641.1497956358</v>
      </c>
    </row>
    <row r="129" spans="2:26">
      <c r="B129" s="15" t="s">
        <v>585</v>
      </c>
      <c r="F129" s="16">
        <f>+F118*Assumptions!$O$97*'Phase II Pro Forma'!F123</f>
        <v>0</v>
      </c>
      <c r="G129" s="16">
        <f>+G118*Assumptions!$O$97*'Phase II Pro Forma'!G123</f>
        <v>0</v>
      </c>
      <c r="H129" s="16">
        <f>+H118*Assumptions!$O$97*'Phase II Pro Forma'!H123</f>
        <v>0</v>
      </c>
      <c r="I129" s="16">
        <f>+I118*Assumptions!$O$97*'Phase II Pro Forma'!I123</f>
        <v>116401.0309197696</v>
      </c>
      <c r="J129" s="16">
        <f>+J118*Assumptions!$O$97*'Phase II Pro Forma'!J123</f>
        <v>237458.10307633001</v>
      </c>
      <c r="K129" s="16">
        <f>+K118*Assumptions!$O$97*'Phase II Pro Forma'!K123</f>
        <v>242207.26513785659</v>
      </c>
      <c r="L129" s="16">
        <f>+L118*Assumptions!$O$97*'Phase II Pro Forma'!L123</f>
        <v>247051.41044061375</v>
      </c>
      <c r="M129" s="16">
        <f>+M118*Assumptions!$O$97*'Phase II Pro Forma'!M123</f>
        <v>251992.43864942601</v>
      </c>
      <c r="N129" s="16">
        <f>+N118*Assumptions!$O$97*'Phase II Pro Forma'!N123</f>
        <v>257032.28742241455</v>
      </c>
      <c r="O129" s="16">
        <f>+O118*Assumptions!$O$97*'Phase II Pro Forma'!O123</f>
        <v>262172.93317086285</v>
      </c>
      <c r="P129" s="16">
        <f>+P118*Assumptions!$O$97*'Phase II Pro Forma'!P123</f>
        <v>267416.3918342801</v>
      </c>
      <c r="Q129" s="16">
        <f>+Q118*Assumptions!$O$97*'Phase II Pro Forma'!Q123</f>
        <v>272764.71967096574</v>
      </c>
      <c r="R129" s="16">
        <f>+R118*Assumptions!$O$97*'Phase II Pro Forma'!R123</f>
        <v>278220.01406438503</v>
      </c>
      <c r="S129" s="16">
        <f>+S118*Assumptions!$O$97*'Phase II Pro Forma'!S123</f>
        <v>283784.4143456727</v>
      </c>
      <c r="T129" s="16">
        <f>+T118*Assumptions!$O$97*'Phase II Pro Forma'!T123</f>
        <v>289460.1026325862</v>
      </c>
      <c r="U129" s="16">
        <f>+U118*Assumptions!$O$97*'Phase II Pro Forma'!U123</f>
        <v>295249.30468523793</v>
      </c>
      <c r="V129" s="16">
        <f>+V118*Assumptions!$O$97*'Phase II Pro Forma'!V123</f>
        <v>301154.2907789427</v>
      </c>
      <c r="W129" s="16">
        <f>+W118*Assumptions!$O$97*'Phase II Pro Forma'!W123</f>
        <v>307177.37659452157</v>
      </c>
      <c r="X129" s="16">
        <f>+X118*Assumptions!$O$97*'Phase II Pro Forma'!X123</f>
        <v>313320.92412641202</v>
      </c>
      <c r="Y129" s="16">
        <f>+Y118*Assumptions!$O$97*'Phase II Pro Forma'!Y123</f>
        <v>319587.34260894021</v>
      </c>
      <c r="Z129" s="16">
        <f>+Z118*Assumptions!$O$97*'Phase II Pro Forma'!Z123</f>
        <v>325979.08946111909</v>
      </c>
    </row>
    <row r="130" spans="2:26" s="538" customFormat="1">
      <c r="B130" s="659" t="s">
        <v>595</v>
      </c>
      <c r="C130" s="659"/>
      <c r="D130" s="659"/>
      <c r="E130" s="659"/>
      <c r="F130" s="698"/>
      <c r="G130" s="698">
        <v>0</v>
      </c>
      <c r="H130" s="698">
        <v>0</v>
      </c>
      <c r="I130" s="698">
        <f>(('Parcel x Block Info'!$P$16*0.14)*I120)*0.5</f>
        <v>102821.93188260001</v>
      </c>
      <c r="J130" s="698">
        <f>I130*2</f>
        <v>205643.86376520002</v>
      </c>
      <c r="K130" s="698">
        <f>J130*1.02</f>
        <v>209756.74104050401</v>
      </c>
      <c r="L130" s="698">
        <f>K130*1.02</f>
        <v>213951.8758613141</v>
      </c>
      <c r="M130" s="698">
        <f>L130*1.02</f>
        <v>218230.91337854037</v>
      </c>
      <c r="N130" s="698">
        <f>M130*1.022</f>
        <v>223031.99347286826</v>
      </c>
      <c r="O130" s="698">
        <f t="shared" ref="O130:Z130" si="96">N130*1.02</f>
        <v>227492.63334232563</v>
      </c>
      <c r="P130" s="698">
        <f t="shared" si="96"/>
        <v>232042.48600917213</v>
      </c>
      <c r="Q130" s="698">
        <f t="shared" si="96"/>
        <v>236683.33572935557</v>
      </c>
      <c r="R130" s="698">
        <f t="shared" si="96"/>
        <v>241417.00244394268</v>
      </c>
      <c r="S130" s="698">
        <f t="shared" si="96"/>
        <v>246245.34249282154</v>
      </c>
      <c r="T130" s="698">
        <f t="shared" si="96"/>
        <v>251170.24934267797</v>
      </c>
      <c r="U130" s="698">
        <f t="shared" si="96"/>
        <v>256193.65432953154</v>
      </c>
      <c r="V130" s="698">
        <f t="shared" si="96"/>
        <v>261317.52741612218</v>
      </c>
      <c r="W130" s="698">
        <f t="shared" si="96"/>
        <v>266543.87796444463</v>
      </c>
      <c r="X130" s="698">
        <f t="shared" si="96"/>
        <v>271874.7555237335</v>
      </c>
      <c r="Y130" s="698">
        <f t="shared" si="96"/>
        <v>277312.25063420821</v>
      </c>
      <c r="Z130" s="698">
        <f t="shared" si="96"/>
        <v>282858.49564689235</v>
      </c>
    </row>
    <row r="131" spans="2:26">
      <c r="B131" s="62" t="s">
        <v>586</v>
      </c>
      <c r="C131" s="62"/>
      <c r="D131" s="62"/>
      <c r="E131" s="62"/>
      <c r="F131" s="58">
        <v>0</v>
      </c>
      <c r="G131" s="58">
        <v>0</v>
      </c>
      <c r="H131" s="58">
        <v>0</v>
      </c>
      <c r="I131" s="58">
        <f t="shared" ref="I131:Z131" si="97">+SUM(I129:I130)</f>
        <v>219222.96280236961</v>
      </c>
      <c r="J131" s="58">
        <f t="shared" si="97"/>
        <v>443101.96684153005</v>
      </c>
      <c r="K131" s="58">
        <f t="shared" si="97"/>
        <v>451964.00617836061</v>
      </c>
      <c r="L131" s="58">
        <f t="shared" si="97"/>
        <v>461003.28630192787</v>
      </c>
      <c r="M131" s="58">
        <f t="shared" si="97"/>
        <v>470223.35202796641</v>
      </c>
      <c r="N131" s="58">
        <f t="shared" si="97"/>
        <v>480064.28089528281</v>
      </c>
      <c r="O131" s="58">
        <f t="shared" si="97"/>
        <v>489665.56651318847</v>
      </c>
      <c r="P131" s="58">
        <f t="shared" si="97"/>
        <v>499458.87784345227</v>
      </c>
      <c r="Q131" s="58">
        <f t="shared" si="97"/>
        <v>509448.05540032132</v>
      </c>
      <c r="R131" s="58">
        <f t="shared" si="97"/>
        <v>519637.01650832768</v>
      </c>
      <c r="S131" s="58">
        <f t="shared" si="97"/>
        <v>530029.75683849421</v>
      </c>
      <c r="T131" s="58">
        <f t="shared" si="97"/>
        <v>540630.35197526414</v>
      </c>
      <c r="U131" s="58">
        <f t="shared" si="97"/>
        <v>551442.95901476941</v>
      </c>
      <c r="V131" s="58">
        <f t="shared" si="97"/>
        <v>562471.8181950649</v>
      </c>
      <c r="W131" s="58">
        <f t="shared" si="97"/>
        <v>573721.25455896626</v>
      </c>
      <c r="X131" s="58">
        <f t="shared" si="97"/>
        <v>585195.67965014558</v>
      </c>
      <c r="Y131" s="58">
        <f t="shared" si="97"/>
        <v>596899.59324314841</v>
      </c>
      <c r="Z131" s="58">
        <f t="shared" si="97"/>
        <v>608837.5851080115</v>
      </c>
    </row>
    <row r="132" spans="2:26">
      <c r="B132" s="15"/>
    </row>
    <row r="133" spans="2:26">
      <c r="B133" s="653" t="s">
        <v>587</v>
      </c>
      <c r="C133" s="653"/>
      <c r="D133" s="653"/>
      <c r="E133" s="653"/>
      <c r="F133" s="544">
        <v>0</v>
      </c>
      <c r="G133" s="544">
        <v>0</v>
      </c>
      <c r="H133" s="544">
        <v>0</v>
      </c>
      <c r="I133" s="544">
        <f t="shared" ref="I133:Z133" si="98">+I127-I131</f>
        <v>308772.11344970518</v>
      </c>
      <c r="J133" s="544">
        <f t="shared" si="98"/>
        <v>634007.98871270264</v>
      </c>
      <c r="K133" s="544">
        <f t="shared" si="98"/>
        <v>646688.14848695672</v>
      </c>
      <c r="L133" s="544">
        <f t="shared" si="98"/>
        <v>659621.91145669599</v>
      </c>
      <c r="M133" s="544">
        <f t="shared" si="98"/>
        <v>672814.34968582983</v>
      </c>
      <c r="N133" s="544">
        <f t="shared" si="98"/>
        <v>685834.17485278938</v>
      </c>
      <c r="O133" s="544">
        <f t="shared" si="98"/>
        <v>699550.85834984528</v>
      </c>
      <c r="P133" s="544">
        <f t="shared" si="98"/>
        <v>713541.87551684224</v>
      </c>
      <c r="Q133" s="544">
        <f t="shared" si="98"/>
        <v>727812.71302717924</v>
      </c>
      <c r="R133" s="544">
        <f t="shared" si="98"/>
        <v>742368.96728772263</v>
      </c>
      <c r="S133" s="544">
        <f t="shared" si="98"/>
        <v>757216.34663347714</v>
      </c>
      <c r="T133" s="544">
        <f t="shared" si="98"/>
        <v>772360.67356614664</v>
      </c>
      <c r="U133" s="544">
        <f t="shared" si="98"/>
        <v>787807.88703746977</v>
      </c>
      <c r="V133" s="544">
        <f t="shared" si="98"/>
        <v>803564.04477821907</v>
      </c>
      <c r="W133" s="544">
        <f t="shared" si="98"/>
        <v>819635.32567378343</v>
      </c>
      <c r="X133" s="544">
        <f t="shared" si="98"/>
        <v>836028.03218725906</v>
      </c>
      <c r="Y133" s="544">
        <f t="shared" si="98"/>
        <v>852748.59283100418</v>
      </c>
      <c r="Z133" s="544">
        <f t="shared" si="98"/>
        <v>869803.56468762434</v>
      </c>
    </row>
    <row r="134" spans="2:26">
      <c r="B134" s="654" t="s">
        <v>588</v>
      </c>
      <c r="C134" s="655"/>
      <c r="D134" s="655"/>
      <c r="E134" s="655"/>
      <c r="F134" s="656" t="str">
        <f>+IFERROR(F133/F127,"")</f>
        <v/>
      </c>
      <c r="G134" s="656" t="str">
        <f t="shared" ref="G134:H134" si="99">+IFERROR(G133/G127,"")</f>
        <v/>
      </c>
      <c r="H134" s="656" t="str">
        <f t="shared" si="99"/>
        <v/>
      </c>
      <c r="I134" s="657">
        <f t="shared" ref="I134:Z134" si="100">+IFERROR(I133/I127,"")</f>
        <v>0.58480112284662966</v>
      </c>
      <c r="J134" s="657">
        <f t="shared" si="100"/>
        <v>0.58861956055959996</v>
      </c>
      <c r="K134" s="657">
        <f t="shared" si="100"/>
        <v>0.58861956055959996</v>
      </c>
      <c r="L134" s="657">
        <f t="shared" si="100"/>
        <v>0.58861956055959996</v>
      </c>
      <c r="M134" s="657">
        <f t="shared" si="100"/>
        <v>0.58861956055959996</v>
      </c>
      <c r="N134" s="657">
        <f t="shared" si="100"/>
        <v>0.58824520392107349</v>
      </c>
      <c r="O134" s="705">
        <f t="shared" si="100"/>
        <v>0.58824520392107349</v>
      </c>
      <c r="P134" s="657">
        <f t="shared" si="100"/>
        <v>0.58824520392107349</v>
      </c>
      <c r="Q134" s="657">
        <f t="shared" si="100"/>
        <v>0.5882452039210736</v>
      </c>
      <c r="R134" s="657">
        <f t="shared" si="100"/>
        <v>0.58824520392107349</v>
      </c>
      <c r="S134" s="657">
        <f t="shared" si="100"/>
        <v>0.5882452039210736</v>
      </c>
      <c r="T134" s="657">
        <f t="shared" si="100"/>
        <v>0.58824520392107349</v>
      </c>
      <c r="U134" s="657">
        <f t="shared" si="100"/>
        <v>0.5882452039210736</v>
      </c>
      <c r="V134" s="657">
        <f t="shared" si="100"/>
        <v>0.58824520392107349</v>
      </c>
      <c r="W134" s="657">
        <f t="shared" si="100"/>
        <v>0.58824520392107349</v>
      </c>
      <c r="X134" s="657">
        <f t="shared" si="100"/>
        <v>0.58824520392107349</v>
      </c>
      <c r="Y134" s="657">
        <f t="shared" si="100"/>
        <v>0.58824520392107349</v>
      </c>
      <c r="Z134" s="657">
        <f t="shared" si="100"/>
        <v>0.58824520392107349</v>
      </c>
    </row>
    <row r="135" spans="2:26">
      <c r="B135" s="654" t="s">
        <v>589</v>
      </c>
      <c r="C135" s="655"/>
      <c r="D135" s="655"/>
      <c r="E135" s="655"/>
      <c r="F135" s="658">
        <v>0</v>
      </c>
      <c r="G135" s="658">
        <v>0</v>
      </c>
      <c r="H135" s="658">
        <v>0</v>
      </c>
      <c r="I135" s="663">
        <f>I133/0.065</f>
        <v>4750340.2069185413</v>
      </c>
      <c r="J135" s="663">
        <f>J133/0.065</f>
        <v>9753969.0571185015</v>
      </c>
      <c r="K135" s="658">
        <f>K133/Assumptions!$O$135</f>
        <v>9949048.4382608719</v>
      </c>
      <c r="L135" s="658">
        <f>L133/Assumptions!$O$135</f>
        <v>10148029.407026092</v>
      </c>
      <c r="M135" s="658">
        <f>M133/Assumptions!$O$135</f>
        <v>10350989.995166613</v>
      </c>
      <c r="N135" s="658">
        <f>N133/Assumptions!$O$135</f>
        <v>10551294.997735221</v>
      </c>
      <c r="O135" s="658">
        <f>O133/Assumptions!$O$135</f>
        <v>10762320.897689927</v>
      </c>
      <c r="P135" s="658">
        <f>P133/Assumptions!$O$135</f>
        <v>10977567.315643726</v>
      </c>
      <c r="Q135" s="658">
        <f>Q133/Assumptions!$O$135</f>
        <v>11197118.661956603</v>
      </c>
      <c r="R135" s="658">
        <f>R133/Assumptions!$O$135</f>
        <v>11421061.035195732</v>
      </c>
      <c r="S135" s="658">
        <f>S133/Assumptions!$O$135</f>
        <v>11649482.255899647</v>
      </c>
      <c r="T135" s="658">
        <f>T133/Assumptions!$O$135</f>
        <v>11882471.90101764</v>
      </c>
      <c r="U135" s="658">
        <f>U133/Assumptions!$O$135</f>
        <v>12120121.339037996</v>
      </c>
      <c r="V135" s="658">
        <f>V133/Assumptions!$O$135</f>
        <v>12362523.765818754</v>
      </c>
      <c r="W135" s="658">
        <f>W133/Assumptions!$O$135</f>
        <v>12609774.24113513</v>
      </c>
      <c r="X135" s="658">
        <f>X133/Assumptions!$O$135</f>
        <v>12861969.725957831</v>
      </c>
      <c r="Y135" s="658">
        <f>Y133/Assumptions!$O$135</f>
        <v>13119209.120476987</v>
      </c>
      <c r="Z135" s="658">
        <f>Z133/Assumptions!$O$135</f>
        <v>13381593.302886527</v>
      </c>
    </row>
    <row r="137" spans="2:26">
      <c r="B137" s="653" t="s">
        <v>596</v>
      </c>
      <c r="C137" s="653"/>
      <c r="D137" s="653"/>
      <c r="E137" s="653"/>
      <c r="F137" s="544">
        <f t="shared" ref="F137:H137" ca="1" si="101">+F133+F111+F90+F69+F48+F25</f>
        <v>0</v>
      </c>
      <c r="G137" s="544">
        <f t="shared" ca="1" si="101"/>
        <v>0</v>
      </c>
      <c r="H137" s="544">
        <f t="shared" ca="1" si="101"/>
        <v>0</v>
      </c>
      <c r="I137" s="544">
        <f t="shared" ref="I137:Z137" ca="1" si="102">+I133+I111+I90+I69+I48+I25</f>
        <v>14496465.133798465</v>
      </c>
      <c r="J137" s="544">
        <f t="shared" ca="1" si="102"/>
        <v>29319279.061402444</v>
      </c>
      <c r="K137" s="544">
        <f t="shared" ca="1" si="102"/>
        <v>29631908.03776738</v>
      </c>
      <c r="L137" s="544">
        <f t="shared" ca="1" si="102"/>
        <v>31874245.857682966</v>
      </c>
      <c r="M137" s="544">
        <f t="shared" ca="1" si="102"/>
        <v>32206626.866711389</v>
      </c>
      <c r="N137" s="544">
        <f t="shared" ca="1" si="102"/>
        <v>32548904.663839601</v>
      </c>
      <c r="O137" s="544">
        <f t="shared" ca="1" si="102"/>
        <v>32902260.677375492</v>
      </c>
      <c r="P137" s="544">
        <f t="shared" ca="1" si="102"/>
        <v>33266593.895779602</v>
      </c>
      <c r="Q137" s="544">
        <f t="shared" ca="1" si="102"/>
        <v>35754221.590639651</v>
      </c>
      <c r="R137" s="544">
        <f t="shared" ca="1" si="102"/>
        <v>36141530.014694929</v>
      </c>
      <c r="S137" s="544">
        <f t="shared" ca="1" si="102"/>
        <v>36540857.262243293</v>
      </c>
      <c r="T137" s="544">
        <f t="shared" ca="1" si="102"/>
        <v>36952571.889404967</v>
      </c>
      <c r="U137" s="544">
        <f t="shared" ca="1" si="102"/>
        <v>37377053.668812089</v>
      </c>
      <c r="V137" s="544">
        <f t="shared" ca="1" si="102"/>
        <v>40137872.396748289</v>
      </c>
      <c r="W137" s="544">
        <f t="shared" ca="1" si="102"/>
        <v>40589074.373304665</v>
      </c>
      <c r="X137" s="544">
        <f t="shared" ca="1" si="102"/>
        <v>41054253.567575999</v>
      </c>
      <c r="Y137" s="544">
        <f t="shared" ca="1" si="102"/>
        <v>41533838.119262084</v>
      </c>
      <c r="Z137" s="544">
        <f t="shared" ca="1" si="102"/>
        <v>42028269.188717104</v>
      </c>
    </row>
    <row r="139" spans="2:26">
      <c r="B139" s="699" t="s">
        <v>597</v>
      </c>
      <c r="F139" s="75">
        <f>+Assumptions!$G$22</f>
        <v>44926</v>
      </c>
      <c r="G139" s="75">
        <f>+EOMONTH(F139,12)</f>
        <v>45291</v>
      </c>
      <c r="H139" s="75">
        <f t="shared" ref="H139:Z139" si="103">+EOMONTH(G139,12)</f>
        <v>45657</v>
      </c>
      <c r="I139" s="75">
        <f t="shared" si="103"/>
        <v>46022</v>
      </c>
      <c r="J139" s="75">
        <f t="shared" si="103"/>
        <v>46387</v>
      </c>
      <c r="K139" s="75">
        <f t="shared" si="103"/>
        <v>46752</v>
      </c>
      <c r="L139" s="75">
        <f t="shared" si="103"/>
        <v>47118</v>
      </c>
      <c r="M139" s="75">
        <f t="shared" si="103"/>
        <v>47483</v>
      </c>
      <c r="N139" s="75">
        <f t="shared" si="103"/>
        <v>47848</v>
      </c>
      <c r="O139" s="75">
        <f t="shared" si="103"/>
        <v>48213</v>
      </c>
      <c r="P139" s="75">
        <f t="shared" si="103"/>
        <v>48579</v>
      </c>
      <c r="Q139" s="75">
        <f t="shared" si="103"/>
        <v>48944</v>
      </c>
      <c r="R139" s="75">
        <f t="shared" si="103"/>
        <v>49309</v>
      </c>
      <c r="S139" s="75">
        <f t="shared" si="103"/>
        <v>49674</v>
      </c>
      <c r="T139" s="75">
        <f t="shared" si="103"/>
        <v>50040</v>
      </c>
      <c r="U139" s="75">
        <f t="shared" si="103"/>
        <v>50405</v>
      </c>
      <c r="V139" s="75">
        <f t="shared" si="103"/>
        <v>50770</v>
      </c>
      <c r="W139" s="75">
        <f t="shared" si="103"/>
        <v>51135</v>
      </c>
      <c r="X139" s="75">
        <f t="shared" si="103"/>
        <v>51501</v>
      </c>
      <c r="Y139" s="75">
        <f t="shared" si="103"/>
        <v>51866</v>
      </c>
      <c r="Z139" s="75">
        <f t="shared" si="103"/>
        <v>52231</v>
      </c>
    </row>
    <row r="140" spans="2:26">
      <c r="B140" s="15" t="s">
        <v>598</v>
      </c>
      <c r="F140" s="16">
        <v>0</v>
      </c>
      <c r="G140" s="16">
        <f t="shared" ref="G140:T140" ca="1" si="104">+F143</f>
        <v>0</v>
      </c>
      <c r="H140" s="16">
        <f t="shared" ca="1" si="104"/>
        <v>0</v>
      </c>
      <c r="I140" s="16">
        <f t="shared" ca="1" si="104"/>
        <v>0</v>
      </c>
      <c r="J140" s="16">
        <f t="shared" ca="1" si="104"/>
        <v>315766020.11226642</v>
      </c>
      <c r="K140" s="16">
        <f t="shared" ca="1" si="104"/>
        <v>311478039.59993243</v>
      </c>
      <c r="L140" s="16">
        <f t="shared" ca="1" si="104"/>
        <v>306932780.25685841</v>
      </c>
      <c r="M140" s="16">
        <f t="shared" ca="1" si="104"/>
        <v>302114805.35319996</v>
      </c>
      <c r="N140" s="16">
        <f t="shared" ca="1" si="104"/>
        <v>297007751.95532203</v>
      </c>
      <c r="O140" s="16">
        <f t="shared" ca="1" si="104"/>
        <v>291594275.35357141</v>
      </c>
      <c r="P140" s="16">
        <f t="shared" ca="1" si="104"/>
        <v>285855990.15571576</v>
      </c>
      <c r="Q140" s="16">
        <f t="shared" ca="1" si="104"/>
        <v>279773407.84598875</v>
      </c>
      <c r="R140" s="16">
        <f t="shared" ca="1" si="104"/>
        <v>273325870.59767812</v>
      </c>
      <c r="S140" s="16">
        <f t="shared" ca="1" si="104"/>
        <v>266491481.11446887</v>
      </c>
      <c r="T140" s="16">
        <f t="shared" ca="1" si="104"/>
        <v>259247028.26226705</v>
      </c>
      <c r="U140" s="16">
        <f t="shared" ref="U140:Z140" ca="1" si="105">+T143</f>
        <v>251567908.23893315</v>
      </c>
      <c r="V140" s="16">
        <f t="shared" ca="1" si="105"/>
        <v>243428041.0141992</v>
      </c>
      <c r="W140" s="16">
        <f t="shared" ca="1" si="105"/>
        <v>234799781.75598121</v>
      </c>
      <c r="X140" s="16">
        <f t="shared" ca="1" si="105"/>
        <v>225653826.94227013</v>
      </c>
      <c r="Y140" s="16">
        <f t="shared" ca="1" si="105"/>
        <v>215959114.8397364</v>
      </c>
      <c r="Z140" s="16">
        <f t="shared" ca="1" si="105"/>
        <v>205682720.01105064</v>
      </c>
    </row>
    <row r="141" spans="2:26">
      <c r="B141" s="15" t="s">
        <v>599</v>
      </c>
      <c r="F141" s="76">
        <f>+IF(YEAR(F$139)=YEAR(Assumptions!$G$26),'S&amp;U'!$S$17,0)</f>
        <v>0</v>
      </c>
      <c r="G141" s="76">
        <f>+IF(YEAR(G$139)=YEAR(Assumptions!$G$26),'S&amp;U'!$S$17,0)</f>
        <v>0</v>
      </c>
      <c r="H141" s="76">
        <f>+IF(YEAR(H$139)=YEAR(Assumptions!$G$26),'S&amp;U'!$S$17,0)</f>
        <v>0</v>
      </c>
      <c r="I141" s="76">
        <f ca="1">+IF(YEAR(I$139)=YEAR(Assumptions!$G$26),'S&amp;U'!$S$17,0)</f>
        <v>319811284.74654377</v>
      </c>
      <c r="J141" s="76">
        <f>+IF(YEAR(J$139)=YEAR(Assumptions!$G$26),'S&amp;U'!$S$17,0)</f>
        <v>0</v>
      </c>
      <c r="K141" s="76">
        <f>+IF(YEAR(K$139)=YEAR(Assumptions!$G$26),'S&amp;U'!$S$17,0)</f>
        <v>0</v>
      </c>
      <c r="L141" s="76">
        <f>+IF(YEAR(L$139)=YEAR(Assumptions!$G$26),'S&amp;U'!$S$17,0)</f>
        <v>0</v>
      </c>
      <c r="M141" s="76">
        <f>+IF(YEAR(M$139)=YEAR(Assumptions!$G$26),'S&amp;U'!$S$17,0)</f>
        <v>0</v>
      </c>
      <c r="N141" s="76">
        <f>+IF(YEAR(N$139)=YEAR(Assumptions!$G$26),'S&amp;U'!$S$17,0)</f>
        <v>0</v>
      </c>
      <c r="O141" s="76">
        <f>+IF(YEAR(O$139)=YEAR(Assumptions!$G$26),'S&amp;U'!$S$17,0)</f>
        <v>0</v>
      </c>
      <c r="P141" s="76">
        <f>+IF(YEAR(P$139)=YEAR(Assumptions!$G$26),'S&amp;U'!$S$17,0)</f>
        <v>0</v>
      </c>
      <c r="Q141" s="76">
        <f>+IF(YEAR(Q$139)=YEAR(Assumptions!$G$26),'S&amp;U'!$S$17,0)</f>
        <v>0</v>
      </c>
      <c r="R141" s="76">
        <f>+IF(YEAR(R$139)=YEAR(Assumptions!$G$26),'S&amp;U'!$S$17,0)</f>
        <v>0</v>
      </c>
      <c r="S141" s="76">
        <f>+IF(YEAR(S$139)=YEAR(Assumptions!$G$26),'S&amp;U'!$S$17,0)</f>
        <v>0</v>
      </c>
      <c r="T141" s="76">
        <f>+IF(YEAR(T$139)=YEAR(Assumptions!$G$26),'S&amp;U'!$S$17,0)</f>
        <v>0</v>
      </c>
      <c r="U141" s="76">
        <f>+IF(YEAR(U$139)=YEAR(Assumptions!$G$26),'S&amp;U'!$S$17,0)</f>
        <v>0</v>
      </c>
      <c r="V141" s="76">
        <f>+IF(YEAR(V$139)=YEAR(Assumptions!$G$26),'S&amp;U'!$S$17,0)</f>
        <v>0</v>
      </c>
      <c r="W141" s="76">
        <f>+IF(YEAR(W$139)=YEAR(Assumptions!$G$26),'S&amp;U'!$S$17,0)</f>
        <v>0</v>
      </c>
      <c r="X141" s="76">
        <f>+IF(YEAR(X$139)=YEAR(Assumptions!$G$26),'S&amp;U'!$S$17,0)</f>
        <v>0</v>
      </c>
      <c r="Y141" s="76">
        <f>+IF(YEAR(Y$139)=YEAR(Assumptions!$G$26),'S&amp;U'!$S$17,0)</f>
        <v>0</v>
      </c>
      <c r="Z141" s="76">
        <f>+IF(YEAR(Z$139)=YEAR(Assumptions!$G$26),'S&amp;U'!$S$17,0)</f>
        <v>0</v>
      </c>
    </row>
    <row r="142" spans="2:26">
      <c r="B142" s="15" t="s">
        <v>167</v>
      </c>
      <c r="F142" s="76">
        <f ca="1">+IFERROR(PPMT(Assumptions!$O$151,F1,Assumptions!$O$153,'S&amp;U'!$S$17),0)</f>
        <v>0</v>
      </c>
      <c r="G142" s="76">
        <f ca="1">+IFERROR(PPMT(Assumptions!$O$151,G1,Assumptions!$O$153,'S&amp;U'!$S$17),0)</f>
        <v>0</v>
      </c>
      <c r="H142" s="76">
        <f ca="1">+IFERROR(PPMT(Assumptions!$O$151,H1,Assumptions!$O$153,'S&amp;U'!$S$17),0)</f>
        <v>0</v>
      </c>
      <c r="I142" s="76">
        <f ca="1">+IFERROR(PPMT(Assumptions!$O$151,I1,Assumptions!$O$153,'S&amp;U'!$S$17),0)</f>
        <v>-4045264.6342773233</v>
      </c>
      <c r="J142" s="76">
        <f ca="1">+IFERROR(PPMT(Assumptions!$O$151,J1,Assumptions!$O$153,'S&amp;U'!$S$17),0)</f>
        <v>-4287980.5123339631</v>
      </c>
      <c r="K142" s="76">
        <f ca="1">+IFERROR(PPMT(Assumptions!$O$151,K1,Assumptions!$O$153,'S&amp;U'!$S$17),0)</f>
        <v>-4545259.3430740004</v>
      </c>
      <c r="L142" s="76">
        <f ca="1">+IFERROR(PPMT(Assumptions!$O$151,L1,Assumptions!$O$153,'S&amp;U'!$S$17),0)</f>
        <v>-4817974.9036584413</v>
      </c>
      <c r="M142" s="76">
        <f ca="1">+IFERROR(PPMT(Assumptions!$O$151,M1,Assumptions!$O$153,'S&amp;U'!$S$17),0)</f>
        <v>-5107053.3978779474</v>
      </c>
      <c r="N142" s="76">
        <f ca="1">+IFERROR(PPMT(Assumptions!$O$151,N1,Assumptions!$O$153,'S&amp;U'!$S$17),0)</f>
        <v>-5413476.6017506244</v>
      </c>
      <c r="O142" s="76">
        <f ca="1">+IFERROR(PPMT(Assumptions!$O$151,O1,Assumptions!$O$153,'S&amp;U'!$S$17),0)</f>
        <v>-5738285.1978556616</v>
      </c>
      <c r="P142" s="76">
        <f ca="1">+IFERROR(PPMT(Assumptions!$O$151,P1,Assumptions!$O$153,'S&amp;U'!$S$17),0)</f>
        <v>-6082582.309727001</v>
      </c>
      <c r="Q142" s="76">
        <f ca="1">+IFERROR(PPMT(Assumptions!$O$151,Q1,Assumptions!$O$153,'S&amp;U'!$S$17),0)</f>
        <v>-6447537.24831062</v>
      </c>
      <c r="R142" s="76">
        <f ca="1">+IFERROR(PPMT(Assumptions!$O$151,R1,Assumptions!$O$153,'S&amp;U'!$S$17),0)</f>
        <v>-6834389.483209257</v>
      </c>
      <c r="S142" s="76">
        <f ca="1">+IFERROR(PPMT(Assumptions!$O$151,S1,Assumptions!$O$153,'S&amp;U'!$S$17),0)</f>
        <v>-7244452.8522018129</v>
      </c>
      <c r="T142" s="76">
        <f ca="1">+IFERROR(PPMT(Assumptions!$O$151,T1,Assumptions!$O$153,'S&amp;U'!$S$17),0)</f>
        <v>-7679120.0233339211</v>
      </c>
      <c r="U142" s="76">
        <f ca="1">+IFERROR(PPMT(Assumptions!$O$151,U1,Assumptions!$O$153,'S&amp;U'!$S$17),0)</f>
        <v>-8139867.2247339571</v>
      </c>
      <c r="V142" s="76">
        <f ca="1">+IFERROR(PPMT(Assumptions!$O$151,V1,Assumptions!$O$153,'S&amp;U'!$S$17),0)</f>
        <v>-8628259.2582179941</v>
      </c>
      <c r="W142" s="76">
        <f ca="1">+IFERROR(PPMT(Assumptions!$O$151,W1,Assumptions!$O$153,'S&amp;U'!$S$17),0)</f>
        <v>-9145954.8137110732</v>
      </c>
      <c r="X142" s="76">
        <f ca="1">+IFERROR(PPMT(Assumptions!$O$151,X1,Assumptions!$O$153,'S&amp;U'!$S$17),0)</f>
        <v>-9694712.1025337391</v>
      </c>
      <c r="Y142" s="76">
        <f ca="1">+IFERROR(PPMT(Assumptions!$O$151,Y1,Assumptions!$O$153,'S&amp;U'!$S$17),0)</f>
        <v>-10276394.828685762</v>
      </c>
      <c r="Z142" s="76">
        <f ca="1">+IFERROR(PPMT(Assumptions!$O$151,Z1,Assumptions!$O$153,'S&amp;U'!$S$17),0)</f>
        <v>-10892978.518406909</v>
      </c>
    </row>
    <row r="143" spans="2:26">
      <c r="B143" s="15" t="s">
        <v>600</v>
      </c>
      <c r="F143" s="76">
        <f t="shared" ref="F143:O143" ca="1" si="106">+SUM(F140:F142)</f>
        <v>0</v>
      </c>
      <c r="G143" s="76">
        <f t="shared" ca="1" si="106"/>
        <v>0</v>
      </c>
      <c r="H143" s="76">
        <f t="shared" ca="1" si="106"/>
        <v>0</v>
      </c>
      <c r="I143" s="76">
        <f t="shared" ca="1" si="106"/>
        <v>315766020.11226642</v>
      </c>
      <c r="J143" s="76">
        <f t="shared" ca="1" si="106"/>
        <v>311478039.59993243</v>
      </c>
      <c r="K143" s="76">
        <f t="shared" ca="1" si="106"/>
        <v>306932780.25685841</v>
      </c>
      <c r="L143" s="76">
        <f t="shared" ca="1" si="106"/>
        <v>302114805.35319996</v>
      </c>
      <c r="M143" s="76">
        <f t="shared" ca="1" si="106"/>
        <v>297007751.95532203</v>
      </c>
      <c r="N143" s="76">
        <f t="shared" ca="1" si="106"/>
        <v>291594275.35357141</v>
      </c>
      <c r="O143" s="76">
        <f t="shared" ca="1" si="106"/>
        <v>285855990.15571576</v>
      </c>
      <c r="P143" s="76">
        <f t="shared" ref="P143:S143" ca="1" si="107">+SUM(P140:P142)</f>
        <v>279773407.84598875</v>
      </c>
      <c r="Q143" s="76">
        <f t="shared" ca="1" si="107"/>
        <v>273325870.59767812</v>
      </c>
      <c r="R143" s="76">
        <f t="shared" ca="1" si="107"/>
        <v>266491481.11446887</v>
      </c>
      <c r="S143" s="76">
        <f t="shared" ca="1" si="107"/>
        <v>259247028.26226705</v>
      </c>
      <c r="T143" s="76">
        <f t="shared" ref="T143:Z143" ca="1" si="108">+SUM(T140:T142)</f>
        <v>251567908.23893315</v>
      </c>
      <c r="U143" s="76">
        <f t="shared" ca="1" si="108"/>
        <v>243428041.0141992</v>
      </c>
      <c r="V143" s="76">
        <f t="shared" ca="1" si="108"/>
        <v>234799781.75598121</v>
      </c>
      <c r="W143" s="76">
        <f t="shared" ca="1" si="108"/>
        <v>225653826.94227013</v>
      </c>
      <c r="X143" s="76">
        <f t="shared" ca="1" si="108"/>
        <v>215959114.8397364</v>
      </c>
      <c r="Y143" s="76">
        <f t="shared" ca="1" si="108"/>
        <v>205682720.01105064</v>
      </c>
      <c r="Z143" s="76">
        <f t="shared" ca="1" si="108"/>
        <v>194789741.49264374</v>
      </c>
    </row>
    <row r="145" spans="2:26">
      <c r="B145" s="21" t="s">
        <v>601</v>
      </c>
      <c r="F145" s="16">
        <f ca="1">-IFERROR(IPMT(Assumptions!$O$151,F1,Assumptions!$O$153,'S&amp;U'!$S$17),0)</f>
        <v>0</v>
      </c>
      <c r="G145" s="16">
        <f ca="1">-IFERROR(IPMT(Assumptions!$O$151,G1,Assumptions!$O$153,'S&amp;U'!$S$17),0)</f>
        <v>0</v>
      </c>
      <c r="H145" s="16">
        <f ca="1">-IFERROR(IPMT(Assumptions!$O$151,H1,Assumptions!$O$153,'S&amp;U'!$S$17),0)</f>
        <v>0</v>
      </c>
      <c r="I145" s="16">
        <f ca="1">-IFERROR(IPMT(Assumptions!$O$151,I1,Assumptions!$O$153,'S&amp;U'!$S$17),0)</f>
        <v>19188677.084792625</v>
      </c>
      <c r="J145" s="16">
        <f ca="1">-IFERROR(IPMT(Assumptions!$O$151,J1,Assumptions!$O$153,'S&amp;U'!$S$17),0)</f>
        <v>18945961.206735983</v>
      </c>
      <c r="K145" s="16">
        <f ca="1">-IFERROR(IPMT(Assumptions!$O$151,K1,Assumptions!$O$153,'S&amp;U'!$S$17),0)</f>
        <v>18688682.375995945</v>
      </c>
      <c r="L145" s="16">
        <f ca="1">-IFERROR(IPMT(Assumptions!$O$151,L1,Assumptions!$O$153,'S&amp;U'!$S$17),0)</f>
        <v>18415966.815411508</v>
      </c>
      <c r="M145" s="16">
        <f ca="1">-IFERROR(IPMT(Assumptions!$O$151,M1,Assumptions!$O$153,'S&amp;U'!$S$17),0)</f>
        <v>18126888.321192</v>
      </c>
      <c r="N145" s="16">
        <f ca="1">-IFERROR(IPMT(Assumptions!$O$151,N1,Assumptions!$O$153,'S&amp;U'!$S$17),0)</f>
        <v>17820465.117319323</v>
      </c>
      <c r="O145" s="16">
        <f ca="1">-IFERROR(IPMT(Assumptions!$O$151,O1,Assumptions!$O$153,'S&amp;U'!$S$17),0)</f>
        <v>17495656.521214288</v>
      </c>
      <c r="P145" s="16">
        <f ca="1">-IFERROR(IPMT(Assumptions!$O$151,P1,Assumptions!$O$153,'S&amp;U'!$S$17),0)</f>
        <v>17151359.409342948</v>
      </c>
      <c r="Q145" s="16">
        <f ca="1">-IFERROR(IPMT(Assumptions!$O$151,Q1,Assumptions!$O$153,'S&amp;U'!$S$17),0)</f>
        <v>16786404.470759328</v>
      </c>
      <c r="R145" s="16">
        <f ca="1">-IFERROR(IPMT(Assumptions!$O$151,R1,Assumptions!$O$153,'S&amp;U'!$S$17),0)</f>
        <v>16399552.23586069</v>
      </c>
      <c r="S145" s="16">
        <f ca="1">-IFERROR(IPMT(Assumptions!$O$151,S1,Assumptions!$O$153,'S&amp;U'!$S$17),0)</f>
        <v>15989488.866868135</v>
      </c>
      <c r="T145" s="16">
        <f ca="1">-IFERROR(IPMT(Assumptions!$O$151,T1,Assumptions!$O$153,'S&amp;U'!$S$17),0)</f>
        <v>15554821.695736026</v>
      </c>
      <c r="U145" s="16">
        <f ca="1">-IFERROR(IPMT(Assumptions!$O$151,U1,Assumptions!$O$153,'S&amp;U'!$S$17),0)</f>
        <v>15094074.494335992</v>
      </c>
      <c r="V145" s="16">
        <f ca="1">-IFERROR(IPMT(Assumptions!$O$151,V1,Assumptions!$O$153,'S&amp;U'!$S$17),0)</f>
        <v>14605682.460851958</v>
      </c>
      <c r="W145" s="16">
        <f ca="1">-IFERROR(IPMT(Assumptions!$O$151,W1,Assumptions!$O$153,'S&amp;U'!$S$17),0)</f>
        <v>14087986.905358873</v>
      </c>
      <c r="X145" s="16">
        <f ca="1">-IFERROR(IPMT(Assumptions!$O$151,X1,Assumptions!$O$153,'S&amp;U'!$S$17),0)</f>
        <v>13539229.616536211</v>
      </c>
      <c r="Y145" s="16">
        <f ca="1">-IFERROR(IPMT(Assumptions!$O$151,Y1,Assumptions!$O$153,'S&amp;U'!$S$17),0)</f>
        <v>12957546.890384184</v>
      </c>
      <c r="Z145" s="16">
        <f ca="1">-IFERROR(IPMT(Assumptions!$O$151,Z1,Assumptions!$O$153,'S&amp;U'!$S$17),0)</f>
        <v>12340963.200663041</v>
      </c>
    </row>
    <row r="146" spans="2:26">
      <c r="B146" s="62" t="s">
        <v>602</v>
      </c>
      <c r="C146" s="62"/>
      <c r="D146" s="62"/>
      <c r="E146" s="62"/>
      <c r="F146" s="58">
        <f t="shared" ref="F146:K146" ca="1" si="109">+F145-F142</f>
        <v>0</v>
      </c>
      <c r="G146" s="58">
        <f t="shared" ca="1" si="109"/>
        <v>0</v>
      </c>
      <c r="H146" s="58">
        <f t="shared" ca="1" si="109"/>
        <v>0</v>
      </c>
      <c r="I146" s="58">
        <f t="shared" ca="1" si="109"/>
        <v>23233941.71906995</v>
      </c>
      <c r="J146" s="58">
        <f t="shared" ca="1" si="109"/>
        <v>23233941.719069947</v>
      </c>
      <c r="K146" s="58">
        <f t="shared" ca="1" si="109"/>
        <v>23233941.719069947</v>
      </c>
      <c r="L146" s="58">
        <f ca="1">+L145-L142</f>
        <v>23233941.71906995</v>
      </c>
      <c r="M146" s="58">
        <f t="shared" ref="M146:Z146" ca="1" si="110">+M145-M142</f>
        <v>23233941.719069947</v>
      </c>
      <c r="N146" s="58">
        <f t="shared" ca="1" si="110"/>
        <v>23233941.719069947</v>
      </c>
      <c r="O146" s="58">
        <f t="shared" ca="1" si="110"/>
        <v>23233941.71906995</v>
      </c>
      <c r="P146" s="58">
        <f t="shared" ca="1" si="110"/>
        <v>23233941.71906995</v>
      </c>
      <c r="Q146" s="58">
        <f t="shared" ca="1" si="110"/>
        <v>23233941.71906995</v>
      </c>
      <c r="R146" s="58">
        <f t="shared" ca="1" si="110"/>
        <v>23233941.719069947</v>
      </c>
      <c r="S146" s="58">
        <f t="shared" ca="1" si="110"/>
        <v>23233941.719069947</v>
      </c>
      <c r="T146" s="58">
        <f t="shared" ca="1" si="110"/>
        <v>23233941.719069947</v>
      </c>
      <c r="U146" s="58">
        <f t="shared" ca="1" si="110"/>
        <v>23233941.71906995</v>
      </c>
      <c r="V146" s="58">
        <f t="shared" ca="1" si="110"/>
        <v>23233941.71906995</v>
      </c>
      <c r="W146" s="58">
        <f t="shared" ca="1" si="110"/>
        <v>23233941.719069947</v>
      </c>
      <c r="X146" s="58">
        <f t="shared" ca="1" si="110"/>
        <v>23233941.71906995</v>
      </c>
      <c r="Y146" s="58">
        <f t="shared" ca="1" si="110"/>
        <v>23233941.719069947</v>
      </c>
      <c r="Z146" s="58">
        <f t="shared" ca="1" si="110"/>
        <v>23233941.71906995</v>
      </c>
    </row>
    <row r="147" spans="2:26">
      <c r="B147" s="71" t="s">
        <v>165</v>
      </c>
      <c r="F147" s="89" t="str">
        <f ca="1">+IFERROR(F137/F146,"")</f>
        <v/>
      </c>
      <c r="G147" s="89" t="str">
        <f t="shared" ref="G147:Z147" ca="1" si="111">+IFERROR(G137/G146,"")</f>
        <v/>
      </c>
      <c r="H147" s="89" t="str">
        <f t="shared" ca="1" si="111"/>
        <v/>
      </c>
      <c r="I147" s="89">
        <f t="shared" ca="1" si="111"/>
        <v>0.62393481524058658</v>
      </c>
      <c r="J147" s="89">
        <f t="shared" ca="1" si="111"/>
        <v>1.2619158391594731</v>
      </c>
      <c r="K147" s="89">
        <f t="shared" ca="1" si="111"/>
        <v>1.2753715403119099</v>
      </c>
      <c r="L147" s="89">
        <f t="shared" ca="1" si="111"/>
        <v>1.3718828360286894</v>
      </c>
      <c r="M147" s="89">
        <f t="shared" ca="1" si="111"/>
        <v>1.3861886741446392</v>
      </c>
      <c r="N147" s="89">
        <f t="shared" ca="1" si="111"/>
        <v>1.400920474769209</v>
      </c>
      <c r="O147" s="89">
        <f t="shared" ca="1" si="111"/>
        <v>1.4161290871436585</v>
      </c>
      <c r="P147" s="89">
        <f t="shared" ca="1" si="111"/>
        <v>1.4318101636828611</v>
      </c>
      <c r="Q147" s="89">
        <f t="shared" ca="1" si="111"/>
        <v>1.5388788533154194</v>
      </c>
      <c r="R147" s="89">
        <f t="shared" ca="1" si="111"/>
        <v>1.5555487937301098</v>
      </c>
      <c r="S147" s="89">
        <f t="shared" ca="1" si="111"/>
        <v>1.57273603007497</v>
      </c>
      <c r="T147" s="89">
        <f t="shared" ca="1" si="111"/>
        <v>1.5904564251822604</v>
      </c>
      <c r="U147" s="89">
        <f t="shared" ca="1" si="111"/>
        <v>1.608726324648295</v>
      </c>
      <c r="V147" s="89">
        <f t="shared" ca="1" si="111"/>
        <v>1.7275532874305153</v>
      </c>
      <c r="W147" s="89">
        <f t="shared" ca="1" si="111"/>
        <v>1.7469732370030859</v>
      </c>
      <c r="X147" s="89">
        <f t="shared" ca="1" si="111"/>
        <v>1.7669947727328374</v>
      </c>
      <c r="Y147" s="89">
        <f t="shared" ca="1" si="111"/>
        <v>1.7876363219578861</v>
      </c>
      <c r="Z147" s="89">
        <f t="shared" ca="1" si="111"/>
        <v>1.8089168724315576</v>
      </c>
    </row>
    <row r="149" spans="2:26">
      <c r="B149" s="21" t="s">
        <v>161</v>
      </c>
      <c r="F149" s="16">
        <f>+F141*Assumptions!$O$152</f>
        <v>0</v>
      </c>
      <c r="G149" s="16">
        <f>+G141*Assumptions!$O$152</f>
        <v>0</v>
      </c>
      <c r="H149" s="16">
        <f>+H141*Assumptions!$O$152</f>
        <v>0</v>
      </c>
      <c r="I149" s="16">
        <f ca="1">+I141*Assumptions!$O$152</f>
        <v>2398584.6355990781</v>
      </c>
      <c r="J149" s="16">
        <f>+J141*Assumptions!$O$152</f>
        <v>0</v>
      </c>
      <c r="K149" s="16">
        <f>+K141*Assumptions!$O$152</f>
        <v>0</v>
      </c>
      <c r="L149" s="16">
        <f>+L141*Assumptions!$O$152</f>
        <v>0</v>
      </c>
      <c r="M149" s="16">
        <f>+M141*Assumptions!$O$152</f>
        <v>0</v>
      </c>
      <c r="N149" s="16">
        <f>+N141*Assumptions!$O$152</f>
        <v>0</v>
      </c>
      <c r="O149" s="16">
        <f>+O141*Assumptions!$O$152</f>
        <v>0</v>
      </c>
      <c r="P149" s="16">
        <f>+P141*Assumptions!$O$152</f>
        <v>0</v>
      </c>
      <c r="Q149" s="16">
        <f>+Q141*Assumptions!$O$152</f>
        <v>0</v>
      </c>
      <c r="R149" s="16">
        <f>+R141*Assumptions!$O$152</f>
        <v>0</v>
      </c>
      <c r="S149" s="16">
        <f>+S141*Assumptions!$O$152</f>
        <v>0</v>
      </c>
      <c r="T149" s="16">
        <f>+T141*Assumptions!$O$152</f>
        <v>0</v>
      </c>
      <c r="U149" s="16">
        <f>+U141*Assumptions!$O$152</f>
        <v>0</v>
      </c>
      <c r="V149" s="16">
        <f>+V141*Assumptions!$O$152</f>
        <v>0</v>
      </c>
      <c r="W149" s="16">
        <f>+W141*Assumptions!$O$152</f>
        <v>0</v>
      </c>
      <c r="X149" s="16">
        <f>+X141*Assumptions!$O$152</f>
        <v>0</v>
      </c>
      <c r="Y149" s="16">
        <f>+Y141*Assumptions!$O$152</f>
        <v>0</v>
      </c>
      <c r="Z149" s="16">
        <f>+Z141*Assumptions!$O$152</f>
        <v>0</v>
      </c>
    </row>
    <row r="151" spans="2:26" s="82" customFormat="1">
      <c r="B151" s="62" t="s">
        <v>603</v>
      </c>
      <c r="C151" s="62"/>
      <c r="D151" s="62"/>
      <c r="E151" s="62"/>
      <c r="F151" s="58">
        <f ca="1">+F137-F146-F149</f>
        <v>0</v>
      </c>
      <c r="G151" s="58">
        <f t="shared" ref="G151:Z151" ca="1" si="112">+G137-G146-G149</f>
        <v>0</v>
      </c>
      <c r="H151" s="58">
        <f t="shared" ca="1" si="112"/>
        <v>0</v>
      </c>
      <c r="I151" s="58">
        <f ca="1">+I137-I146-I149</f>
        <v>-11136061.220870564</v>
      </c>
      <c r="J151" s="58">
        <f t="shared" ca="1" si="112"/>
        <v>6085337.3423324972</v>
      </c>
      <c r="K151" s="58">
        <f t="shared" ca="1" si="112"/>
        <v>6397966.3186974339</v>
      </c>
      <c r="L151" s="58">
        <f t="shared" ca="1" si="112"/>
        <v>8640304.1386130154</v>
      </c>
      <c r="M151" s="58">
        <f t="shared" ca="1" si="112"/>
        <v>8972685.1476414427</v>
      </c>
      <c r="N151" s="58">
        <f t="shared" ca="1" si="112"/>
        <v>9314962.9447696544</v>
      </c>
      <c r="O151" s="58">
        <f t="shared" ca="1" si="112"/>
        <v>9668318.9583055414</v>
      </c>
      <c r="P151" s="58">
        <f t="shared" ca="1" si="112"/>
        <v>10032652.176709652</v>
      </c>
      <c r="Q151" s="58">
        <f t="shared" ca="1" si="112"/>
        <v>12520279.871569701</v>
      </c>
      <c r="R151" s="58">
        <f t="shared" ca="1" si="112"/>
        <v>12907588.295624983</v>
      </c>
      <c r="S151" s="58">
        <f t="shared" ca="1" si="112"/>
        <v>13306915.543173347</v>
      </c>
      <c r="T151" s="58">
        <f t="shared" ca="1" si="112"/>
        <v>13718630.170335021</v>
      </c>
      <c r="U151" s="58">
        <f t="shared" ca="1" si="112"/>
        <v>14143111.949742138</v>
      </c>
      <c r="V151" s="58">
        <f t="shared" ca="1" si="112"/>
        <v>16903930.677678339</v>
      </c>
      <c r="W151" s="58">
        <f t="shared" ca="1" si="112"/>
        <v>17355132.654234719</v>
      </c>
      <c r="X151" s="58">
        <f t="shared" ca="1" si="112"/>
        <v>17820311.848506048</v>
      </c>
      <c r="Y151" s="58">
        <f t="shared" ca="1" si="112"/>
        <v>18299896.400192138</v>
      </c>
      <c r="Z151" s="58">
        <f t="shared" ca="1" si="112"/>
        <v>18794327.469647154</v>
      </c>
    </row>
    <row r="153" spans="2:26">
      <c r="B153" s="73" t="s">
        <v>604</v>
      </c>
    </row>
    <row r="154" spans="2:26">
      <c r="B154" s="15" t="s">
        <v>605</v>
      </c>
      <c r="F154" s="16">
        <f>+IF(YEAR(F$139)=YEAR(Assumptions!$G$30),F135+F113+F92+F71+F50+F27,0)</f>
        <v>0</v>
      </c>
      <c r="G154" s="16">
        <f>+IF(YEAR(G$139)=YEAR(Assumptions!$G$30),G135+G113+G92+G71+G50+G27,0)</f>
        <v>0</v>
      </c>
      <c r="H154" s="16">
        <f>+IF(YEAR(H$139)=YEAR(Assumptions!$G$30),H135+H113+H92+H71+H50+H27,0)</f>
        <v>0</v>
      </c>
      <c r="I154" s="16">
        <f>+IF(YEAR(I$139)=YEAR(Assumptions!$G$30),I135+I113+I92+I71+I50+I27,0)</f>
        <v>0</v>
      </c>
      <c r="J154" s="16">
        <f>+IF(YEAR(J$139)=YEAR(Assumptions!$G$30),J135+J113+J92+J71+J50+J27,0)</f>
        <v>0</v>
      </c>
      <c r="K154" s="16">
        <f>+IF(YEAR(K$139)=YEAR(Assumptions!$G$30),K135+K113+K92+K71+K50+K27,0)</f>
        <v>0</v>
      </c>
      <c r="L154" s="16">
        <f>+IF(YEAR(L$139)=YEAR(Assumptions!$G$30),L135+L113+L92+L71+L50+L27,0)</f>
        <v>0</v>
      </c>
      <c r="M154" s="16">
        <f>+IF(YEAR(M$139)=YEAR(Assumptions!$G$30),M135+M113+M92+M71+M50+M27,0)</f>
        <v>0</v>
      </c>
      <c r="N154" s="16">
        <f>+IF(YEAR(N$139)=YEAR(Assumptions!$G$30),N135+N113+N92+N71+N50+N27,0)</f>
        <v>0</v>
      </c>
      <c r="O154" s="16">
        <f ca="1">+IF(YEAR(O$139)=YEAR(Assumptions!$G$30),O135+O113+O92+O71+O50+O27,0)</f>
        <v>546844586.33247828</v>
      </c>
      <c r="P154" s="16">
        <f>+IF(YEAR(P$139)=YEAR(Assumptions!$G$30),P135+P113+P92+P71+P50+P27,0)</f>
        <v>0</v>
      </c>
      <c r="Q154" s="16">
        <f>+IF(YEAR(Q$139)=YEAR(Assumptions!$G$30),Q135+Q113+Q92+Q71+Q50+Q27,0)</f>
        <v>0</v>
      </c>
      <c r="R154" s="16">
        <f>+IF(YEAR(R$139)=YEAR(Assumptions!$G$30),R135+R113+R92+R71+R50+R27,0)</f>
        <v>0</v>
      </c>
      <c r="S154" s="16">
        <f>+IF(YEAR(S$139)=YEAR(Assumptions!$G$30),S135+S113+S92+S71+S50+S27,0)</f>
        <v>0</v>
      </c>
      <c r="T154" s="16">
        <f>+IF(YEAR(T$139)=YEAR(Assumptions!$G$30),T135+T113+T92+T71+T50+T27,0)</f>
        <v>0</v>
      </c>
      <c r="U154" s="16">
        <f>+IF(YEAR(U$139)=YEAR(Assumptions!$G$30),U135+U113+U92+U71+U50+U27,0)</f>
        <v>0</v>
      </c>
      <c r="V154" s="16">
        <f>+IF(YEAR(V$139)=YEAR(Assumptions!$G$30),V135+V113+V92+V71+V50+V27,0)</f>
        <v>0</v>
      </c>
      <c r="W154" s="16">
        <f>+IF(YEAR(W$139)=YEAR(Assumptions!$G$30),W135+W113+W92+W71+W50+W27,0)</f>
        <v>0</v>
      </c>
      <c r="X154" s="16">
        <f>+IF(YEAR(X$139)=YEAR(Assumptions!$G$30),X135+X113+X92+X71+X50+X27,0)</f>
        <v>0</v>
      </c>
      <c r="Y154" s="16">
        <f>+IF(YEAR(Y$139)=YEAR(Assumptions!$G$30),Y135+Y113+Y92+Y71+Y50+Y27,0)</f>
        <v>0</v>
      </c>
      <c r="Z154" s="16">
        <f>+IF(YEAR(Z$139)=YEAR(Assumptions!$G$30),Z135+Z113+Z92+Z71+Z50+Z27,0)</f>
        <v>0</v>
      </c>
    </row>
    <row r="155" spans="2:26" ht="18.5">
      <c r="B155" s="99" t="s">
        <v>606</v>
      </c>
      <c r="C155" s="99"/>
      <c r="D155" s="99"/>
      <c r="E155" s="99"/>
      <c r="F155" s="76">
        <f>+IF(YEAR(F$139)=YEAR(Assumptions!$G$26),('S&amp;U'!$I$23-'S&amp;U'!$S$25),0)</f>
        <v>0</v>
      </c>
      <c r="G155" s="76">
        <f>+IF(YEAR(G$139)=YEAR(Assumptions!$G$26),('S&amp;U'!$I$23-'S&amp;U'!$S$25),0)</f>
        <v>0</v>
      </c>
      <c r="H155" s="76">
        <f>+IF(YEAR(H$139)=YEAR(Assumptions!$G$26),('S&amp;U'!$I$23-'S&amp;U'!$S$25),0)</f>
        <v>0</v>
      </c>
      <c r="I155" s="612">
        <f ca="1">I141-SUM(G233:H233)</f>
        <v>218444987.22674948</v>
      </c>
      <c r="J155" s="76">
        <f>+IF(YEAR(J$139)=YEAR(Assumptions!$G$26),('S&amp;U'!$I$23-'S&amp;U'!$S$25),0)</f>
        <v>0</v>
      </c>
      <c r="K155" s="76">
        <f>+IF(YEAR(K$139)=YEAR(Assumptions!$G$26),('S&amp;U'!$I$23-'S&amp;U'!$S$25),0)</f>
        <v>0</v>
      </c>
      <c r="L155" s="76">
        <f>+IF(YEAR(L$139)=YEAR(Assumptions!$G$26),('S&amp;U'!$I$23-'S&amp;U'!$S$25),0)</f>
        <v>0</v>
      </c>
      <c r="M155" s="76">
        <f>+IF(YEAR(M$139)=YEAR(Assumptions!$G$26),('S&amp;U'!$I$23-'S&amp;U'!$S$25),0)</f>
        <v>0</v>
      </c>
      <c r="N155" s="76">
        <f>+IF(YEAR(N$139)=YEAR(Assumptions!$G$26),('S&amp;U'!$I$23-'S&amp;U'!$S$25),0)</f>
        <v>0</v>
      </c>
      <c r="O155" s="76">
        <f>+IF(YEAR(O$139)=YEAR(Assumptions!$G$26),('S&amp;U'!$I$23-'S&amp;U'!$S$25),0)</f>
        <v>0</v>
      </c>
      <c r="P155" s="76">
        <f>+IF(YEAR(P$139)=YEAR(Assumptions!$G$26),('S&amp;U'!$I$23-'S&amp;U'!$S$25),0)</f>
        <v>0</v>
      </c>
      <c r="Q155" s="76">
        <f>+IF(YEAR(Q$139)=YEAR(Assumptions!$G$26),('S&amp;U'!$I$23-'S&amp;U'!$S$25),0)</f>
        <v>0</v>
      </c>
      <c r="R155" s="76">
        <f>+IF(YEAR(R$139)=YEAR(Assumptions!$G$26),('S&amp;U'!$I$23-'S&amp;U'!$S$25),0)</f>
        <v>0</v>
      </c>
      <c r="S155" s="76">
        <f>+IF(YEAR(S$139)=YEAR(Assumptions!$G$26),('S&amp;U'!$I$23-'S&amp;U'!$S$25),0)</f>
        <v>0</v>
      </c>
      <c r="T155" s="76">
        <f>+IF(YEAR(T$139)=YEAR(Assumptions!$G$26),('S&amp;U'!$I$23-'S&amp;U'!$S$25),0)</f>
        <v>0</v>
      </c>
      <c r="U155" s="76">
        <f>+IF(YEAR(U$139)=YEAR(Assumptions!$G$26),('S&amp;U'!$I$23-'S&amp;U'!$S$25),0)</f>
        <v>0</v>
      </c>
      <c r="V155" s="76">
        <f>+IF(YEAR(V$139)=YEAR(Assumptions!$G$26),('S&amp;U'!$I$23-'S&amp;U'!$S$25),0)</f>
        <v>0</v>
      </c>
      <c r="W155" s="76">
        <f>+IF(YEAR(W$139)=YEAR(Assumptions!$G$26),('S&amp;U'!$I$23-'S&amp;U'!$S$25),0)</f>
        <v>0</v>
      </c>
      <c r="X155" s="76">
        <f>+IF(YEAR(X$139)=YEAR(Assumptions!$G$26),('S&amp;U'!$I$23-'S&amp;U'!$S$25),0)</f>
        <v>0</v>
      </c>
      <c r="Y155" s="76">
        <f>+IF(YEAR(Y$139)=YEAR(Assumptions!$G$26),('S&amp;U'!$I$23-'S&amp;U'!$S$25),0)</f>
        <v>0</v>
      </c>
      <c r="Z155" s="76">
        <f>+IF(YEAR(Z$139)=YEAR(Assumptions!$G$26),('S&amp;U'!$I$23-'S&amp;U'!$S$25),0)</f>
        <v>0</v>
      </c>
    </row>
    <row r="156" spans="2:26">
      <c r="B156" s="15" t="s">
        <v>607</v>
      </c>
      <c r="F156" s="76">
        <f>-F154*Assumptions!$O$136</f>
        <v>0</v>
      </c>
      <c r="G156" s="76">
        <f>-G154*Assumptions!$O$136</f>
        <v>0</v>
      </c>
      <c r="H156" s="76">
        <f>-H154*Assumptions!$O$136</f>
        <v>0</v>
      </c>
      <c r="I156" s="76">
        <f>-I154*Assumptions!$O$136</f>
        <v>0</v>
      </c>
      <c r="J156" s="76">
        <f>-J154*Assumptions!$O$136</f>
        <v>0</v>
      </c>
      <c r="K156" s="76">
        <f>-K154*Assumptions!$O$136</f>
        <v>0</v>
      </c>
      <c r="L156" s="76">
        <f>-L154*Assumptions!$O$136</f>
        <v>0</v>
      </c>
      <c r="M156" s="76">
        <f>-M154*Assumptions!$O$136</f>
        <v>0</v>
      </c>
      <c r="N156" s="76">
        <f>-N154*Assumptions!$O$136</f>
        <v>0</v>
      </c>
      <c r="O156" s="76">
        <f ca="1">-O154*Assumptions!$O$136</f>
        <v>-10936891.726649566</v>
      </c>
      <c r="P156" s="76">
        <f>-P154*Assumptions!$O$136</f>
        <v>0</v>
      </c>
      <c r="Q156" s="76">
        <f>-Q154*Assumptions!$O$136</f>
        <v>0</v>
      </c>
      <c r="R156" s="76">
        <f>-R154*Assumptions!$O$136</f>
        <v>0</v>
      </c>
      <c r="S156" s="76">
        <f>-S154*Assumptions!$O$136</f>
        <v>0</v>
      </c>
      <c r="T156" s="76">
        <f>-T154*Assumptions!$O$136</f>
        <v>0</v>
      </c>
      <c r="U156" s="76">
        <f>-U154*Assumptions!$O$136</f>
        <v>0</v>
      </c>
      <c r="V156" s="76">
        <f>-V154*Assumptions!$O$136</f>
        <v>0</v>
      </c>
      <c r="W156" s="76">
        <f>-W154*Assumptions!$O$136</f>
        <v>0</v>
      </c>
      <c r="X156" s="76">
        <f>-X154*Assumptions!$O$136</f>
        <v>0</v>
      </c>
      <c r="Y156" s="76">
        <f>-Y154*Assumptions!$O$136</f>
        <v>0</v>
      </c>
      <c r="Z156" s="76">
        <f>-Z154*Assumptions!$O$136</f>
        <v>0</v>
      </c>
    </row>
    <row r="157" spans="2:26">
      <c r="B157" s="15" t="s">
        <v>608</v>
      </c>
      <c r="F157" s="76">
        <f>+IF(YEAR(F$139)=YEAR(Assumptions!$G$30),-F143,0)</f>
        <v>0</v>
      </c>
      <c r="G157" s="76">
        <f>+IF(YEAR(G$139)=YEAR(Assumptions!$G$30),-G143,0)</f>
        <v>0</v>
      </c>
      <c r="H157" s="76">
        <f>+IF(YEAR(H$139)=YEAR(Assumptions!$G$30),-H143,0)</f>
        <v>0</v>
      </c>
      <c r="I157" s="76">
        <f>+IF(YEAR(I$139)=YEAR(Assumptions!$G$30),-I143,0)</f>
        <v>0</v>
      </c>
      <c r="J157" s="76">
        <f>+IF(YEAR(J$139)=YEAR(Assumptions!$G$30),-J143,0)</f>
        <v>0</v>
      </c>
      <c r="K157" s="76">
        <f>+IF(YEAR(K$139)=YEAR(Assumptions!$G$30),-K143,0)</f>
        <v>0</v>
      </c>
      <c r="L157" s="76">
        <f>+IF(YEAR(L$139)=YEAR(Assumptions!$G$30),-L143,0)</f>
        <v>0</v>
      </c>
      <c r="M157" s="76">
        <f>+IF(YEAR(M$139)=YEAR(Assumptions!$G$30),-M143,0)</f>
        <v>0</v>
      </c>
      <c r="N157" s="76">
        <f>+IF(YEAR(N$139)=YEAR(Assumptions!$G$30),-N143,0)</f>
        <v>0</v>
      </c>
      <c r="O157" s="76">
        <f ca="1">+IF(YEAR(O$139)=YEAR(Assumptions!$G$30),-O143,0)</f>
        <v>-285855990.15571576</v>
      </c>
      <c r="P157" s="76">
        <f>+IF(YEAR(P$139)=YEAR(Assumptions!$G$30),-P143,0)</f>
        <v>0</v>
      </c>
      <c r="Q157" s="76">
        <f>+IF(YEAR(Q$139)=YEAR(Assumptions!$G$30),-Q143,0)</f>
        <v>0</v>
      </c>
      <c r="R157" s="76">
        <f>+IF(YEAR(R$139)=YEAR(Assumptions!$G$30),-R143,0)</f>
        <v>0</v>
      </c>
      <c r="S157" s="76">
        <f>+IF(YEAR(S$139)=YEAR(Assumptions!$G$30),-S143,0)</f>
        <v>0</v>
      </c>
      <c r="T157" s="76">
        <f>+IF(YEAR(T$139)=YEAR(Assumptions!$G$30),-T143,0)</f>
        <v>0</v>
      </c>
      <c r="U157" s="76">
        <f>+IF(YEAR(U$139)=YEAR(Assumptions!$G$30),-U143,0)</f>
        <v>0</v>
      </c>
      <c r="V157" s="76">
        <f>+IF(YEAR(V$139)=YEAR(Assumptions!$G$30),-V143,0)</f>
        <v>0</v>
      </c>
      <c r="W157" s="76">
        <f>+IF(YEAR(W$139)=YEAR(Assumptions!$G$30),-W143,0)</f>
        <v>0</v>
      </c>
      <c r="X157" s="76">
        <f>+IF(YEAR(X$139)=YEAR(Assumptions!$G$30),-X143,0)</f>
        <v>0</v>
      </c>
      <c r="Y157" s="76">
        <f>+IF(YEAR(Y$139)=YEAR(Assumptions!$G$30),-Y143,0)</f>
        <v>0</v>
      </c>
      <c r="Z157" s="76">
        <f>+IF(YEAR(Z$139)=YEAR(Assumptions!$G$30),-Z143,0)</f>
        <v>0</v>
      </c>
    </row>
    <row r="158" spans="2:26">
      <c r="B158" s="62" t="s">
        <v>609</v>
      </c>
      <c r="C158" s="62"/>
      <c r="D158" s="62"/>
      <c r="E158" s="62"/>
      <c r="F158" s="58">
        <f>+SUM(F154:F157)</f>
        <v>0</v>
      </c>
      <c r="G158" s="58">
        <f t="shared" ref="G158:Z158" si="113">+SUM(G154:G157)</f>
        <v>0</v>
      </c>
      <c r="H158" s="58">
        <f t="shared" si="113"/>
        <v>0</v>
      </c>
      <c r="I158" s="58">
        <f t="shared" ca="1" si="113"/>
        <v>218444987.22674948</v>
      </c>
      <c r="J158" s="58">
        <f t="shared" si="113"/>
        <v>0</v>
      </c>
      <c r="K158" s="58">
        <f t="shared" si="113"/>
        <v>0</v>
      </c>
      <c r="L158" s="58">
        <f t="shared" si="113"/>
        <v>0</v>
      </c>
      <c r="M158" s="58">
        <f t="shared" si="113"/>
        <v>0</v>
      </c>
      <c r="N158" s="58">
        <f t="shared" si="113"/>
        <v>0</v>
      </c>
      <c r="O158" s="58">
        <f ca="1">+SUM(O154:O157)</f>
        <v>250051704.45011294</v>
      </c>
      <c r="P158" s="58">
        <f t="shared" si="113"/>
        <v>0</v>
      </c>
      <c r="Q158" s="58">
        <f t="shared" si="113"/>
        <v>0</v>
      </c>
      <c r="R158" s="58">
        <f t="shared" si="113"/>
        <v>0</v>
      </c>
      <c r="S158" s="58">
        <f t="shared" si="113"/>
        <v>0</v>
      </c>
      <c r="T158" s="58">
        <f t="shared" si="113"/>
        <v>0</v>
      </c>
      <c r="U158" s="58">
        <f t="shared" si="113"/>
        <v>0</v>
      </c>
      <c r="V158" s="58">
        <f t="shared" si="113"/>
        <v>0</v>
      </c>
      <c r="W158" s="58">
        <f t="shared" si="113"/>
        <v>0</v>
      </c>
      <c r="X158" s="58">
        <f t="shared" si="113"/>
        <v>0</v>
      </c>
      <c r="Y158" s="58">
        <f t="shared" si="113"/>
        <v>0</v>
      </c>
      <c r="Z158" s="58">
        <f t="shared" si="113"/>
        <v>0</v>
      </c>
    </row>
    <row r="159" spans="2:26">
      <c r="B159" s="100" t="s">
        <v>610</v>
      </c>
    </row>
    <row r="161" spans="2:26">
      <c r="B161" s="653" t="s">
        <v>611</v>
      </c>
      <c r="C161" s="653"/>
      <c r="D161" s="653"/>
      <c r="E161" s="653"/>
      <c r="F161" s="544">
        <f ca="1">+IF(YEAR(F$139)&lt;=YEAR(Assumptions!$G$30),'Phase II Pro Forma'!F158+'Phase II Pro Forma'!F151,0)</f>
        <v>0</v>
      </c>
      <c r="G161" s="544">
        <f ca="1">+IF(YEAR(G$139)&lt;=YEAR(Assumptions!$G$30),'Phase II Pro Forma'!G158+'Phase II Pro Forma'!G151,0)</f>
        <v>0</v>
      </c>
      <c r="H161" s="544">
        <f ca="1">+IF(YEAR(H$139)&lt;=YEAR(Assumptions!$G$30),'Phase II Pro Forma'!H158+'Phase II Pro Forma'!H151,0)</f>
        <v>0</v>
      </c>
      <c r="I161" s="544">
        <f ca="1">+IF(YEAR(I$139)&lt;=YEAR(Assumptions!$G$30),'Phase II Pro Forma'!I158+'Phase II Pro Forma'!I151,0)</f>
        <v>207308926.00587893</v>
      </c>
      <c r="J161" s="544">
        <f ca="1">+IF(YEAR(J$139)&lt;=YEAR(Assumptions!$G$30),'Phase II Pro Forma'!J158+'Phase II Pro Forma'!J151,0)</f>
        <v>6085337.3423324972</v>
      </c>
      <c r="K161" s="544">
        <f ca="1">+IF(YEAR(K$139)&lt;=YEAR(Assumptions!$G$30),'Phase II Pro Forma'!K158+'Phase II Pro Forma'!K151,0)</f>
        <v>6397966.3186974339</v>
      </c>
      <c r="L161" s="544">
        <f ca="1">+IF(YEAR(L$139)&lt;=YEAR(Assumptions!$G$30),'Phase II Pro Forma'!L158+'Phase II Pro Forma'!L151,0)</f>
        <v>8640304.1386130154</v>
      </c>
      <c r="M161" s="544">
        <f ca="1">+IF(YEAR(M$139)&lt;=YEAR(Assumptions!$G$30),'Phase II Pro Forma'!M158+'Phase II Pro Forma'!M151,0)</f>
        <v>8972685.1476414427</v>
      </c>
      <c r="N161" s="544">
        <f ca="1">+IF(YEAR(N$139)&lt;=YEAR(Assumptions!$G$30),'Phase II Pro Forma'!N158+'Phase II Pro Forma'!N151,0)</f>
        <v>9314962.9447696544</v>
      </c>
      <c r="O161" s="544">
        <f ca="1">+IF(YEAR(O$139)&lt;=YEAR(Assumptions!$G$30),'Phase II Pro Forma'!O158+'Phase II Pro Forma'!O151,0)</f>
        <v>259720023.40841848</v>
      </c>
      <c r="P161" s="544">
        <f>+IF(YEAR(P$139)&lt;=YEAR(Assumptions!$G$30),'Phase II Pro Forma'!P158+'Phase II Pro Forma'!P151,0)</f>
        <v>0</v>
      </c>
      <c r="Q161" s="544">
        <f>+IF(YEAR(Q$139)&lt;=YEAR(Assumptions!$G$30),'Phase II Pro Forma'!Q158+'Phase II Pro Forma'!Q151,0)</f>
        <v>0</v>
      </c>
      <c r="R161" s="544">
        <f>+IF(YEAR(R$139)&lt;=YEAR(Assumptions!$G$30),'Phase II Pro Forma'!R158+'Phase II Pro Forma'!R151,0)</f>
        <v>0</v>
      </c>
      <c r="S161" s="544">
        <f>+IF(YEAR(S$139)&lt;=YEAR(Assumptions!$G$30),'Phase II Pro Forma'!S158+'Phase II Pro Forma'!S151,0)</f>
        <v>0</v>
      </c>
      <c r="T161" s="544">
        <f>+IF(YEAR(T$139)&lt;=YEAR(Assumptions!$G$30),'Phase II Pro Forma'!T158+'Phase II Pro Forma'!T151,0)</f>
        <v>0</v>
      </c>
      <c r="U161" s="544">
        <f>+IF(YEAR(U$139)&lt;=YEAR(Assumptions!$G$30),'Phase II Pro Forma'!U158+'Phase II Pro Forma'!U151,0)</f>
        <v>0</v>
      </c>
      <c r="V161" s="544">
        <f>+IF(YEAR(V$139)&lt;=YEAR(Assumptions!$G$30),'Phase II Pro Forma'!V158+'Phase II Pro Forma'!V151,0)</f>
        <v>0</v>
      </c>
      <c r="W161" s="544">
        <f>+IF(YEAR(W$139)&lt;=YEAR(Assumptions!$G$30),'Phase II Pro Forma'!W158+'Phase II Pro Forma'!W151,0)</f>
        <v>0</v>
      </c>
      <c r="X161" s="544">
        <f>+IF(YEAR(X$139)&lt;=YEAR(Assumptions!$G$30),'Phase II Pro Forma'!X158+'Phase II Pro Forma'!X151,0)</f>
        <v>0</v>
      </c>
      <c r="Y161" s="544">
        <f>+IF(YEAR(Y$139)&lt;=YEAR(Assumptions!$G$30),'Phase II Pro Forma'!Y158+'Phase II Pro Forma'!Y151,0)</f>
        <v>0</v>
      </c>
      <c r="Z161" s="544">
        <f>+IF(YEAR(Z$139)&lt;=YEAR(Assumptions!$G$30),'Phase II Pro Forma'!Z158+'Phase II Pro Forma'!Z151,0)</f>
        <v>0</v>
      </c>
    </row>
    <row r="163" spans="2:26" hidden="1"/>
    <row r="164" spans="2:26" hidden="1">
      <c r="B164" s="440" t="s">
        <v>649</v>
      </c>
      <c r="C164" s="441"/>
      <c r="D164" s="441"/>
      <c r="E164" s="441"/>
      <c r="F164" s="611"/>
      <c r="G164" s="611"/>
      <c r="H164" s="611"/>
      <c r="I164" s="611"/>
      <c r="J164" s="611"/>
      <c r="K164" s="611"/>
      <c r="L164" s="611"/>
      <c r="M164" s="611"/>
      <c r="N164" s="611"/>
      <c r="O164" s="611"/>
      <c r="P164" s="611"/>
      <c r="Q164" s="611"/>
      <c r="R164" s="611"/>
      <c r="S164" s="611"/>
      <c r="T164" s="611"/>
      <c r="U164" s="611"/>
      <c r="V164" s="611"/>
      <c r="W164" s="611"/>
      <c r="X164" s="611"/>
      <c r="Y164" s="611"/>
      <c r="Z164" s="611"/>
    </row>
    <row r="165" spans="2:26" hidden="1"/>
    <row r="166" spans="2:26" hidden="1">
      <c r="B166" s="73" t="s">
        <v>332</v>
      </c>
      <c r="C166" s="74"/>
      <c r="D166" s="74"/>
      <c r="E166" s="74"/>
      <c r="F166" s="75">
        <f>+Assumptions!$G$22</f>
        <v>44926</v>
      </c>
      <c r="G166" s="75">
        <f>+EOMONTH(F166,12)</f>
        <v>45291</v>
      </c>
      <c r="H166" s="75">
        <f t="shared" ref="H166:Z166" si="114">+EOMONTH(G166,12)</f>
        <v>45657</v>
      </c>
      <c r="I166" s="75">
        <f t="shared" si="114"/>
        <v>46022</v>
      </c>
      <c r="J166" s="75">
        <f t="shared" si="114"/>
        <v>46387</v>
      </c>
      <c r="K166" s="75">
        <f t="shared" si="114"/>
        <v>46752</v>
      </c>
      <c r="L166" s="75">
        <f t="shared" si="114"/>
        <v>47118</v>
      </c>
      <c r="M166" s="75">
        <f t="shared" si="114"/>
        <v>47483</v>
      </c>
      <c r="N166" s="75">
        <f t="shared" si="114"/>
        <v>47848</v>
      </c>
      <c r="O166" s="75">
        <f t="shared" si="114"/>
        <v>48213</v>
      </c>
      <c r="P166" s="75">
        <f t="shared" si="114"/>
        <v>48579</v>
      </c>
      <c r="Q166" s="75">
        <f t="shared" si="114"/>
        <v>48944</v>
      </c>
      <c r="R166" s="75">
        <f t="shared" si="114"/>
        <v>49309</v>
      </c>
      <c r="S166" s="75">
        <f t="shared" si="114"/>
        <v>49674</v>
      </c>
      <c r="T166" s="75">
        <f t="shared" si="114"/>
        <v>50040</v>
      </c>
      <c r="U166" s="75">
        <f t="shared" si="114"/>
        <v>50405</v>
      </c>
      <c r="V166" s="75">
        <f t="shared" si="114"/>
        <v>50770</v>
      </c>
      <c r="W166" s="75">
        <f t="shared" si="114"/>
        <v>51135</v>
      </c>
      <c r="X166" s="75">
        <f t="shared" si="114"/>
        <v>51501</v>
      </c>
      <c r="Y166" s="75">
        <f t="shared" si="114"/>
        <v>51866</v>
      </c>
      <c r="Z166" s="75">
        <f t="shared" si="114"/>
        <v>52231</v>
      </c>
    </row>
    <row r="167" spans="2:26" hidden="1">
      <c r="B167" s="15" t="s">
        <v>575</v>
      </c>
      <c r="C167" s="15"/>
      <c r="D167" s="20"/>
      <c r="E167" s="20"/>
      <c r="F167" s="22">
        <f>+IF(AND(F166&gt;=Assumptions!$G$26,F166&lt;Assumptions!$G$28),Assumptions!$G$218/ROUNDUP((Assumptions!$G$27/12),0),0)</f>
        <v>0</v>
      </c>
      <c r="G167" s="22">
        <f>+IF(AND(G166&gt;=Assumptions!$G$26,G166&lt;Assumptions!$G$28),Assumptions!$G$218/ROUNDUP((Assumptions!$G$27/12),0),0)</f>
        <v>0</v>
      </c>
      <c r="H167" s="22">
        <f>+IF(AND(H166&gt;=Assumptions!$G$26,H166&lt;Assumptions!$G$28),Assumptions!$G$218/ROUNDUP((Assumptions!$G$27/12),0),0)</f>
        <v>0</v>
      </c>
      <c r="I167" s="22">
        <f>+IF(AND(I166&gt;=Assumptions!$G$26,I166&lt;Assumptions!$G$28),Assumptions!$G$218/ROUNDUP((Assumptions!$G$27/12),0),0)</f>
        <v>4.9999999999999998E-7</v>
      </c>
      <c r="J167" s="22">
        <f>+IF(AND(J166&gt;=Assumptions!$G$26,J166&lt;Assumptions!$G$28),Assumptions!$G$218/ROUNDUP((Assumptions!$G$27/12),0),0)</f>
        <v>4.9999999999999998E-7</v>
      </c>
      <c r="K167" s="22">
        <f>+IF(AND(K166&gt;=Assumptions!$G$26,K166&lt;Assumptions!$G$28),Assumptions!$G$218/ROUNDUP((Assumptions!$G$27/12),0),0)</f>
        <v>0</v>
      </c>
      <c r="L167" s="22">
        <f>+IF(AND(L166&gt;=Assumptions!$G$26,L166&lt;Assumptions!$G$28),Assumptions!$G$218/ROUNDUP((Assumptions!$G$27/12),0),0)</f>
        <v>0</v>
      </c>
      <c r="M167" s="22">
        <f>+IF(AND(M166&gt;=Assumptions!$G$26,M166&lt;Assumptions!$G$28),Assumptions!$G$218/ROUNDUP((Assumptions!$G$27/12),0),0)</f>
        <v>0</v>
      </c>
      <c r="N167" s="22">
        <f>+IF(AND(N166&gt;=Assumptions!$G$26,N166&lt;Assumptions!$G$28),Assumptions!$G$218/ROUNDUP((Assumptions!$G$27/12),0),0)</f>
        <v>0</v>
      </c>
      <c r="O167" s="22">
        <f>+IF(AND(O166&gt;=Assumptions!$G$26,O166&lt;Assumptions!$G$28),Assumptions!$G$218/ROUNDUP((Assumptions!$G$27/12),0),0)</f>
        <v>0</v>
      </c>
      <c r="P167" s="22">
        <f>+IF(AND(P166&gt;=Assumptions!$G$26,P166&lt;Assumptions!$G$28),Assumptions!$G$218/ROUNDUP((Assumptions!$G$27/12),0),0)</f>
        <v>0</v>
      </c>
      <c r="Q167" s="22">
        <f>+IF(AND(Q166&gt;=Assumptions!$G$26,Q166&lt;Assumptions!$G$28),Assumptions!$G$218/ROUNDUP((Assumptions!$G$27/12),0),0)</f>
        <v>0</v>
      </c>
      <c r="R167" s="22">
        <f>+IF(AND(R166&gt;=Assumptions!$G$26,R166&lt;Assumptions!$G$28),Assumptions!$G$218/ROUNDUP((Assumptions!$G$27/12),0),0)</f>
        <v>0</v>
      </c>
      <c r="S167" s="22">
        <f>+IF(AND(S166&gt;=Assumptions!$G$26,S166&lt;Assumptions!$G$28),Assumptions!$G$218/ROUNDUP((Assumptions!$G$27/12),0),0)</f>
        <v>0</v>
      </c>
      <c r="T167" s="22">
        <f>+IF(AND(T166&gt;=Assumptions!$G$26,T166&lt;Assumptions!$G$28),Assumptions!$G$218/ROUNDUP((Assumptions!$G$27/12),0),0)</f>
        <v>0</v>
      </c>
      <c r="U167" s="22">
        <f>+IF(AND(U166&gt;=Assumptions!$G$26,U166&lt;Assumptions!$G$28),Assumptions!$G$218/ROUNDUP((Assumptions!$G$27/12),0),0)</f>
        <v>0</v>
      </c>
      <c r="V167" s="22">
        <f>+IF(AND(V166&gt;=Assumptions!$G$26,V166&lt;Assumptions!$G$28),Assumptions!$G$218/ROUNDUP((Assumptions!$G$27/12),0),0)</f>
        <v>0</v>
      </c>
      <c r="W167" s="22">
        <f>+IF(AND(W166&gt;=Assumptions!$G$26,W166&lt;Assumptions!$G$28),Assumptions!$G$218/ROUNDUP((Assumptions!$G$27/12),0),0)</f>
        <v>0</v>
      </c>
      <c r="X167" s="22">
        <f>+IF(AND(X166&gt;=Assumptions!$G$26,X166&lt;Assumptions!$G$28),Assumptions!$G$218/ROUNDUP((Assumptions!$G$27/12),0),0)</f>
        <v>0</v>
      </c>
      <c r="Y167" s="22">
        <f>+IF(AND(Y166&gt;=Assumptions!$G$26,Y166&lt;Assumptions!$G$28),Assumptions!$G$218/ROUNDUP((Assumptions!$G$27/12),0),0)</f>
        <v>0</v>
      </c>
      <c r="Z167" s="22">
        <f>+IF(AND(Z166&gt;=Assumptions!$G$26,Z166&lt;Assumptions!$G$28),Assumptions!$G$218/ROUNDUP((Assumptions!$G$27/12),0),0)</f>
        <v>0</v>
      </c>
    </row>
    <row r="168" spans="2:26" hidden="1">
      <c r="B168" s="15" t="s">
        <v>576</v>
      </c>
      <c r="C168" s="15"/>
      <c r="E168" s="22">
        <v>0</v>
      </c>
      <c r="F168" s="22">
        <f>+E168+F167</f>
        <v>0</v>
      </c>
      <c r="G168" s="22">
        <f t="shared" ref="G168:Z168" si="115">+F168+G167</f>
        <v>0</v>
      </c>
      <c r="H168" s="22">
        <f t="shared" si="115"/>
        <v>0</v>
      </c>
      <c r="I168" s="22">
        <f t="shared" si="115"/>
        <v>4.9999999999999998E-7</v>
      </c>
      <c r="J168" s="22">
        <f t="shared" si="115"/>
        <v>9.9999999999999995E-7</v>
      </c>
      <c r="K168" s="22">
        <f t="shared" si="115"/>
        <v>9.9999999999999995E-7</v>
      </c>
      <c r="L168" s="22">
        <f t="shared" si="115"/>
        <v>9.9999999999999995E-7</v>
      </c>
      <c r="M168" s="22">
        <f t="shared" si="115"/>
        <v>9.9999999999999995E-7</v>
      </c>
      <c r="N168" s="22">
        <f t="shared" si="115"/>
        <v>9.9999999999999995E-7</v>
      </c>
      <c r="O168" s="22">
        <f t="shared" si="115"/>
        <v>9.9999999999999995E-7</v>
      </c>
      <c r="P168" s="22">
        <f t="shared" si="115"/>
        <v>9.9999999999999995E-7</v>
      </c>
      <c r="Q168" s="22">
        <f t="shared" si="115"/>
        <v>9.9999999999999995E-7</v>
      </c>
      <c r="R168" s="22">
        <f t="shared" si="115"/>
        <v>9.9999999999999995E-7</v>
      </c>
      <c r="S168" s="22">
        <f t="shared" si="115"/>
        <v>9.9999999999999995E-7</v>
      </c>
      <c r="T168" s="22">
        <f t="shared" si="115"/>
        <v>9.9999999999999995E-7</v>
      </c>
      <c r="U168" s="22">
        <f t="shared" si="115"/>
        <v>9.9999999999999995E-7</v>
      </c>
      <c r="V168" s="22">
        <f t="shared" si="115"/>
        <v>9.9999999999999995E-7</v>
      </c>
      <c r="W168" s="22">
        <f t="shared" si="115"/>
        <v>9.9999999999999995E-7</v>
      </c>
      <c r="X168" s="22">
        <f t="shared" si="115"/>
        <v>9.9999999999999995E-7</v>
      </c>
      <c r="Y168" s="22">
        <f t="shared" si="115"/>
        <v>9.9999999999999995E-7</v>
      </c>
      <c r="Z168" s="22">
        <f t="shared" si="115"/>
        <v>9.9999999999999995E-7</v>
      </c>
    </row>
    <row r="169" spans="2:26" hidden="1">
      <c r="B169" s="15" t="s">
        <v>579</v>
      </c>
      <c r="C169" s="15"/>
      <c r="D169" s="22"/>
      <c r="E169" s="22"/>
      <c r="F169" s="49">
        <f t="shared" ref="F169:Z169" si="116">+F168/SUM($F167:$Z167)</f>
        <v>0</v>
      </c>
      <c r="G169" s="49">
        <f t="shared" si="116"/>
        <v>0</v>
      </c>
      <c r="H169" s="49">
        <f t="shared" si="116"/>
        <v>0</v>
      </c>
      <c r="I169" s="49">
        <f t="shared" si="116"/>
        <v>0.5</v>
      </c>
      <c r="J169" s="49">
        <f t="shared" si="116"/>
        <v>1</v>
      </c>
      <c r="K169" s="49">
        <f t="shared" si="116"/>
        <v>1</v>
      </c>
      <c r="L169" s="49">
        <f t="shared" si="116"/>
        <v>1</v>
      </c>
      <c r="M169" s="49">
        <f t="shared" si="116"/>
        <v>1</v>
      </c>
      <c r="N169" s="49">
        <f t="shared" si="116"/>
        <v>1</v>
      </c>
      <c r="O169" s="49">
        <f t="shared" si="116"/>
        <v>1</v>
      </c>
      <c r="P169" s="49">
        <f t="shared" si="116"/>
        <v>1</v>
      </c>
      <c r="Q169" s="49">
        <f t="shared" si="116"/>
        <v>1</v>
      </c>
      <c r="R169" s="49">
        <f t="shared" si="116"/>
        <v>1</v>
      </c>
      <c r="S169" s="49">
        <f t="shared" si="116"/>
        <v>1</v>
      </c>
      <c r="T169" s="49">
        <f t="shared" si="116"/>
        <v>1</v>
      </c>
      <c r="U169" s="49">
        <f t="shared" si="116"/>
        <v>1</v>
      </c>
      <c r="V169" s="49">
        <f t="shared" si="116"/>
        <v>1</v>
      </c>
      <c r="W169" s="49">
        <f t="shared" si="116"/>
        <v>1</v>
      </c>
      <c r="X169" s="49">
        <f t="shared" si="116"/>
        <v>1</v>
      </c>
      <c r="Y169" s="49">
        <f t="shared" si="116"/>
        <v>1</v>
      </c>
      <c r="Z169" s="49">
        <f t="shared" si="116"/>
        <v>1</v>
      </c>
    </row>
    <row r="170" spans="2:26" hidden="1">
      <c r="B170" s="15"/>
      <c r="C170" s="15"/>
      <c r="D170" s="20"/>
      <c r="E170" s="20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idden="1">
      <c r="B171" s="15" t="s">
        <v>580</v>
      </c>
      <c r="C171" s="15"/>
      <c r="D171" s="22"/>
      <c r="E171" s="22"/>
      <c r="F171" s="49">
        <v>1</v>
      </c>
      <c r="G171" s="49">
        <f>+IF(MOD(G$1,Assumptions!$O$73)=(Assumptions!$O$73-1),F171*(1+Assumptions!$O$72),'Phase II Pro Forma'!F171)</f>
        <v>1</v>
      </c>
      <c r="H171" s="49">
        <f>+IF(MOD(H$1,Assumptions!$O$73)=(Assumptions!$O$73-1),G171*(1+Assumptions!$O$72),'Phase II Pro Forma'!G171)</f>
        <v>1</v>
      </c>
      <c r="I171" s="49">
        <f>+IF(MOD(I$1,Assumptions!$O$73)=(Assumptions!$O$73-1),H171*(1+Assumptions!$O$72),'Phase II Pro Forma'!H171)</f>
        <v>1</v>
      </c>
      <c r="J171" s="49">
        <f>+IF(MOD(J$1,Assumptions!$O$73)=(Assumptions!$O$73-1),I171*(1+Assumptions!$O$72),'Phase II Pro Forma'!I171)</f>
        <v>1</v>
      </c>
      <c r="K171" s="49">
        <f>+IF(MOD(K$1,Assumptions!$O$73)=(Assumptions!$O$73-1),J171*(1+Assumptions!$O$72),'Phase II Pro Forma'!J171)</f>
        <v>1</v>
      </c>
      <c r="L171" s="49">
        <f>+IF(MOD(L$1,Assumptions!$O$73)=(Assumptions!$O$73-1),K171*(1+Assumptions!$O$72),'Phase II Pro Forma'!K171)</f>
        <v>1.1000000000000001</v>
      </c>
      <c r="M171" s="49">
        <f>+IF(MOD(M$1,Assumptions!$O$73)=(Assumptions!$O$73-1),L171*(1+Assumptions!$O$72),'Phase II Pro Forma'!L171)</f>
        <v>1.1000000000000001</v>
      </c>
      <c r="N171" s="49">
        <f>+IF(MOD(N$1,Assumptions!$O$73)=(Assumptions!$O$73-1),M171*(1+Assumptions!$O$72),'Phase II Pro Forma'!M171)</f>
        <v>1.1000000000000001</v>
      </c>
      <c r="O171" s="49">
        <f>+IF(MOD(O$1,Assumptions!$O$73)=(Assumptions!$O$73-1),N171*(1+Assumptions!$O$72),'Phase II Pro Forma'!N171)</f>
        <v>1.1000000000000001</v>
      </c>
      <c r="P171" s="49">
        <f>+IF(MOD(P$1,Assumptions!$O$73)=(Assumptions!$O$73-1),O171*(1+Assumptions!$O$72),'Phase II Pro Forma'!O171)</f>
        <v>1.1000000000000001</v>
      </c>
      <c r="Q171" s="49">
        <f>+IF(MOD(Q$1,Assumptions!$O$73)=(Assumptions!$O$73-1),P171*(1+Assumptions!$O$72),'Phase II Pro Forma'!P171)</f>
        <v>1.2100000000000002</v>
      </c>
      <c r="R171" s="49">
        <f>+IF(MOD(R$1,Assumptions!$O$73)=(Assumptions!$O$73-1),Q171*(1+Assumptions!$O$72),'Phase II Pro Forma'!Q171)</f>
        <v>1.2100000000000002</v>
      </c>
      <c r="S171" s="49">
        <f>+IF(MOD(S$1,Assumptions!$O$73)=(Assumptions!$O$73-1),R171*(1+Assumptions!$O$72),'Phase II Pro Forma'!R171)</f>
        <v>1.2100000000000002</v>
      </c>
      <c r="T171" s="49">
        <f>+IF(MOD(T$1,Assumptions!$O$73)=(Assumptions!$O$73-1),S171*(1+Assumptions!$O$72),'Phase II Pro Forma'!S171)</f>
        <v>1.2100000000000002</v>
      </c>
      <c r="U171" s="49">
        <f>+IF(MOD(U$1,Assumptions!$O$73)=(Assumptions!$O$73-1),T171*(1+Assumptions!$O$72),'Phase II Pro Forma'!T171)</f>
        <v>1.2100000000000002</v>
      </c>
      <c r="V171" s="49">
        <f>+IF(MOD(V$1,Assumptions!$O$73)=(Assumptions!$O$73-1),U171*(1+Assumptions!$O$72),'Phase II Pro Forma'!U171)</f>
        <v>1.3310000000000004</v>
      </c>
      <c r="W171" s="49">
        <f>+IF(MOD(W$1,Assumptions!$O$73)=(Assumptions!$O$73-1),V171*(1+Assumptions!$O$72),'Phase II Pro Forma'!V171)</f>
        <v>1.3310000000000004</v>
      </c>
      <c r="X171" s="49">
        <f>+IF(MOD(X$1,Assumptions!$O$73)=(Assumptions!$O$73-1),W171*(1+Assumptions!$O$72),'Phase II Pro Forma'!W171)</f>
        <v>1.3310000000000004</v>
      </c>
      <c r="Y171" s="49">
        <f>+IF(MOD(Y$1,Assumptions!$O$73)=(Assumptions!$O$73-1),X171*(1+Assumptions!$O$72),'Phase II Pro Forma'!X171)</f>
        <v>1.3310000000000004</v>
      </c>
      <c r="Z171" s="49">
        <f>+IF(MOD(Z$1,Assumptions!$O$73)=(Assumptions!$O$73-1),Y171*(1+Assumptions!$O$72),'Phase II Pro Forma'!Y171)</f>
        <v>1.3310000000000004</v>
      </c>
    </row>
    <row r="172" spans="2:26" hidden="1">
      <c r="B172" s="15" t="s">
        <v>581</v>
      </c>
      <c r="C172" s="15"/>
      <c r="D172" s="22"/>
      <c r="E172" s="22"/>
      <c r="F172" s="49">
        <v>1</v>
      </c>
      <c r="G172" s="49">
        <f>+F172*(1+Assumptions!$O$81)</f>
        <v>1.02</v>
      </c>
      <c r="H172" s="49">
        <f>+G172*(1+Assumptions!$O$81)</f>
        <v>1.0404</v>
      </c>
      <c r="I172" s="49">
        <f>+H172*(1+Assumptions!$O$81)</f>
        <v>1.0612079999999999</v>
      </c>
      <c r="J172" s="49">
        <f>+I172*(1+Assumptions!$O$81)</f>
        <v>1.08243216</v>
      </c>
      <c r="K172" s="49">
        <f>+J172*(1+Assumptions!$O$81)</f>
        <v>1.1040808032</v>
      </c>
      <c r="L172" s="49">
        <f>+K172*(1+Assumptions!$O$81)</f>
        <v>1.1261624192640001</v>
      </c>
      <c r="M172" s="49">
        <f>+L172*(1+Assumptions!$O$81)</f>
        <v>1.14868566764928</v>
      </c>
      <c r="N172" s="49">
        <f>+M172*(1+Assumptions!$O$81)</f>
        <v>1.1716593810022657</v>
      </c>
      <c r="O172" s="49">
        <f>+N172*(1+Assumptions!$O$81)</f>
        <v>1.1950925686223111</v>
      </c>
      <c r="P172" s="49">
        <f>+O172*(1+Assumptions!$O$81)</f>
        <v>1.2189944199947573</v>
      </c>
      <c r="Q172" s="49">
        <f>+P172*(1+Assumptions!$O$81)</f>
        <v>1.2433743083946525</v>
      </c>
      <c r="R172" s="49">
        <f>+Q172*(1+Assumptions!$O$81)</f>
        <v>1.2682417945625455</v>
      </c>
      <c r="S172" s="49">
        <f>+R172*(1+Assumptions!$O$81)</f>
        <v>1.2936066304537963</v>
      </c>
      <c r="T172" s="49">
        <f>+S172*(1+Assumptions!$O$81)</f>
        <v>1.3194787630628724</v>
      </c>
      <c r="U172" s="49">
        <f>+T172*(1+Assumptions!$O$81)</f>
        <v>1.3458683383241299</v>
      </c>
      <c r="V172" s="49">
        <f>+U172*(1+Assumptions!$O$81)</f>
        <v>1.3727857050906125</v>
      </c>
      <c r="W172" s="49">
        <f>+V172*(1+Assumptions!$O$81)</f>
        <v>1.4002414191924248</v>
      </c>
      <c r="X172" s="49">
        <f>+W172*(1+Assumptions!$O$81)</f>
        <v>1.4282462475762734</v>
      </c>
      <c r="Y172" s="49">
        <f>+X172*(1+Assumptions!$O$81)</f>
        <v>1.4568111725277988</v>
      </c>
      <c r="Z172" s="49">
        <f>+Y172*(1+Assumptions!$O$81)</f>
        <v>1.4859473959783549</v>
      </c>
    </row>
    <row r="173" spans="2:26" hidden="1">
      <c r="B173" s="15"/>
      <c r="C173" s="15"/>
      <c r="D173" s="20"/>
      <c r="E173" s="20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idden="1">
      <c r="B174" s="15" t="s">
        <v>582</v>
      </c>
      <c r="C174" s="15"/>
      <c r="D174" s="20"/>
      <c r="E174" s="20"/>
      <c r="F174" s="16">
        <f>+F169*Assumptions!$G$217*F171</f>
        <v>0</v>
      </c>
      <c r="G174" s="16">
        <f>+G169*Assumptions!$G$217*G171</f>
        <v>0</v>
      </c>
      <c r="H174" s="16">
        <f>+H169*Assumptions!$G$217*H171</f>
        <v>0</v>
      </c>
      <c r="I174" s="16">
        <f>+I169*Assumptions!$G$217*I171</f>
        <v>4.1249999999999995E-6</v>
      </c>
      <c r="J174" s="16">
        <f>+J169*Assumptions!$G$217*J171</f>
        <v>8.2499999999999989E-6</v>
      </c>
      <c r="K174" s="16">
        <f>+K169*Assumptions!$G$217*K171</f>
        <v>8.2499999999999989E-6</v>
      </c>
      <c r="L174" s="16">
        <f>+L169*Assumptions!$G$217*L171</f>
        <v>9.0750000000000004E-6</v>
      </c>
      <c r="M174" s="16">
        <f>+M169*Assumptions!$G$217*M171</f>
        <v>9.0750000000000004E-6</v>
      </c>
      <c r="N174" s="16">
        <f>+N169*Assumptions!$G$217*N171</f>
        <v>9.0750000000000004E-6</v>
      </c>
      <c r="O174" s="16">
        <f>+O169*Assumptions!$G$217*O171</f>
        <v>9.0750000000000004E-6</v>
      </c>
      <c r="P174" s="16">
        <f>+P169*Assumptions!$G$217*P171</f>
        <v>9.0750000000000004E-6</v>
      </c>
      <c r="Q174" s="16">
        <f>+Q169*Assumptions!$G$217*Q171</f>
        <v>9.9824999999999997E-6</v>
      </c>
      <c r="R174" s="16">
        <f>+R169*Assumptions!$G$217*R171</f>
        <v>9.9824999999999997E-6</v>
      </c>
      <c r="S174" s="16">
        <f>+S169*Assumptions!$G$217*S171</f>
        <v>9.9824999999999997E-6</v>
      </c>
      <c r="T174" s="16">
        <f>+T169*Assumptions!$G$217*T171</f>
        <v>9.9824999999999997E-6</v>
      </c>
      <c r="U174" s="16">
        <f>+U169*Assumptions!$G$217*U171</f>
        <v>9.9824999999999997E-6</v>
      </c>
      <c r="V174" s="16">
        <f>+V169*Assumptions!$G$217*V171</f>
        <v>1.0980750000000002E-5</v>
      </c>
      <c r="W174" s="16">
        <f>+W169*Assumptions!$G$217*W171</f>
        <v>1.0980750000000002E-5</v>
      </c>
      <c r="X174" s="16">
        <f>+X169*Assumptions!$G$217*X171</f>
        <v>1.0980750000000002E-5</v>
      </c>
      <c r="Y174" s="16">
        <f>+Y169*Assumptions!$G$217*Y171</f>
        <v>1.0980750000000002E-5</v>
      </c>
      <c r="Z174" s="16">
        <f>+Z169*Assumptions!$G$217*Z171</f>
        <v>1.0980750000000002E-5</v>
      </c>
    </row>
    <row r="175" spans="2:26" hidden="1">
      <c r="B175" s="15" t="s">
        <v>583</v>
      </c>
      <c r="C175" s="15"/>
      <c r="D175" s="20"/>
      <c r="E175" s="20"/>
      <c r="F175" s="22">
        <f>-F174*Assumptions!$O$59</f>
        <v>0</v>
      </c>
      <c r="G175" s="22">
        <f>-G174*Assumptions!$O$59</f>
        <v>0</v>
      </c>
      <c r="H175" s="22">
        <f>-H174*Assumptions!$O$59</f>
        <v>0</v>
      </c>
      <c r="I175" s="22">
        <f>-I174*Assumptions!$O$59</f>
        <v>-2.0624999999999998E-7</v>
      </c>
      <c r="J175" s="22">
        <f>-J174*Assumptions!$O$59</f>
        <v>-4.1249999999999997E-7</v>
      </c>
      <c r="K175" s="22">
        <f>-K174*Assumptions!$O$59</f>
        <v>-4.1249999999999997E-7</v>
      </c>
      <c r="L175" s="22">
        <f>-L174*Assumptions!$O$59</f>
        <v>-4.5375000000000005E-7</v>
      </c>
      <c r="M175" s="22">
        <f>-M174*Assumptions!$O$59</f>
        <v>-4.5375000000000005E-7</v>
      </c>
      <c r="N175" s="22">
        <f>-N174*Assumptions!$O$59</f>
        <v>-4.5375000000000005E-7</v>
      </c>
      <c r="O175" s="22">
        <f>-O174*Assumptions!$O$59</f>
        <v>-4.5375000000000005E-7</v>
      </c>
      <c r="P175" s="22">
        <f>-P174*Assumptions!$O$59</f>
        <v>-4.5375000000000005E-7</v>
      </c>
      <c r="Q175" s="22">
        <f>-Q174*Assumptions!$O$59</f>
        <v>-4.9912499999999996E-7</v>
      </c>
      <c r="R175" s="22">
        <f>-R174*Assumptions!$O$59</f>
        <v>-4.9912499999999996E-7</v>
      </c>
      <c r="S175" s="22">
        <f>-S174*Assumptions!$O$59</f>
        <v>-4.9912499999999996E-7</v>
      </c>
      <c r="T175" s="22">
        <f>-T174*Assumptions!$O$59</f>
        <v>-4.9912499999999996E-7</v>
      </c>
      <c r="U175" s="22">
        <f>-U174*Assumptions!$O$59</f>
        <v>-4.9912499999999996E-7</v>
      </c>
      <c r="V175" s="22">
        <f>-V174*Assumptions!$O$59</f>
        <v>-5.4903750000000014E-7</v>
      </c>
      <c r="W175" s="22">
        <f>-W174*Assumptions!$O$59</f>
        <v>-5.4903750000000014E-7</v>
      </c>
      <c r="X175" s="22">
        <f>-X174*Assumptions!$O$59</f>
        <v>-5.4903750000000014E-7</v>
      </c>
      <c r="Y175" s="22">
        <f>-Y174*Assumptions!$O$59</f>
        <v>-5.4903750000000014E-7</v>
      </c>
      <c r="Z175" s="22">
        <f>-Z174*Assumptions!$O$59</f>
        <v>-5.4903750000000014E-7</v>
      </c>
    </row>
    <row r="176" spans="2:26" hidden="1">
      <c r="B176" s="15" t="s">
        <v>593</v>
      </c>
      <c r="C176" s="15"/>
      <c r="D176" s="20"/>
      <c r="E176" s="20"/>
      <c r="F176" s="76">
        <f ca="1">+F181*Assumptions!$O$92</f>
        <v>0</v>
      </c>
      <c r="G176" s="76">
        <f ca="1">+G181*Assumptions!$O$92</f>
        <v>0</v>
      </c>
      <c r="H176" s="76">
        <f ca="1">+H181*Assumptions!$O$92</f>
        <v>0</v>
      </c>
      <c r="I176" s="76">
        <f ca="1">+I181*Assumptions!$O$92</f>
        <v>1.1040808032E-6</v>
      </c>
      <c r="J176" s="76">
        <f ca="1">+J181*Assumptions!$O$92</f>
        <v>2.2523248385279998E-6</v>
      </c>
      <c r="K176" s="76">
        <f ca="1">+K181*Assumptions!$O$92</f>
        <v>2.2973713352985602E-6</v>
      </c>
      <c r="L176" s="76">
        <f ca="1">+L181*Assumptions!$O$92</f>
        <v>2.3433187620045314E-6</v>
      </c>
      <c r="M176" s="76">
        <f ca="1">+M181*Assumptions!$O$92</f>
        <v>2.390185137244622E-6</v>
      </c>
      <c r="N176" s="76">
        <f ca="1">+N181*Assumptions!$O$92</f>
        <v>2.4379888399895145E-6</v>
      </c>
      <c r="O176" s="76">
        <f ca="1">+O181*Assumptions!$O$92</f>
        <v>2.4867486167893047E-6</v>
      </c>
      <c r="P176" s="76">
        <f ca="1">+P181*Assumptions!$O$92</f>
        <v>2.5364835891250909E-6</v>
      </c>
      <c r="Q176" s="76">
        <f ca="1">+Q181*Assumptions!$O$92</f>
        <v>2.5872132609075931E-6</v>
      </c>
      <c r="R176" s="76">
        <f ca="1">+R181*Assumptions!$O$92</f>
        <v>2.6389575261257445E-6</v>
      </c>
      <c r="S176" s="76">
        <f ca="1">+S181*Assumptions!$O$92</f>
        <v>2.6917366766482594E-6</v>
      </c>
      <c r="T176" s="76">
        <f ca="1">+T181*Assumptions!$O$92</f>
        <v>2.7455714101812251E-6</v>
      </c>
      <c r="U176" s="76">
        <f ca="1">+U181*Assumptions!$O$92</f>
        <v>2.8004828383848493E-6</v>
      </c>
      <c r="V176" s="76">
        <f ca="1">+V181*Assumptions!$O$92</f>
        <v>2.8564924951525465E-6</v>
      </c>
      <c r="W176" s="76">
        <f ca="1">+W181*Assumptions!$O$92</f>
        <v>2.9136223450555975E-6</v>
      </c>
      <c r="X176" s="76">
        <f ca="1">+X181*Assumptions!$O$92</f>
        <v>2.9718947919567099E-6</v>
      </c>
      <c r="Y176" s="76">
        <f ca="1">+Y181*Assumptions!$O$92</f>
        <v>3.031332687795844E-6</v>
      </c>
      <c r="Z176" s="76">
        <f ca="1">+Z181*Assumptions!$O$92</f>
        <v>3.0919593415517611E-6</v>
      </c>
    </row>
    <row r="177" spans="1:35" hidden="1">
      <c r="B177" s="62" t="s">
        <v>584</v>
      </c>
      <c r="C177" s="62"/>
      <c r="D177" s="62"/>
      <c r="E177" s="62"/>
      <c r="F177" s="58">
        <f t="shared" ref="F177:Z177" ca="1" si="117">+SUM(F174:F176)</f>
        <v>0</v>
      </c>
      <c r="G177" s="58">
        <f t="shared" ca="1" si="117"/>
        <v>0</v>
      </c>
      <c r="H177" s="58">
        <f t="shared" ca="1" si="117"/>
        <v>0</v>
      </c>
      <c r="I177" s="58">
        <f t="shared" ca="1" si="117"/>
        <v>5.0228308031999993E-6</v>
      </c>
      <c r="J177" s="58">
        <f t="shared" ca="1" si="117"/>
        <v>1.0089824838528E-5</v>
      </c>
      <c r="K177" s="58">
        <f t="shared" ca="1" si="117"/>
        <v>1.0134871335298559E-5</v>
      </c>
      <c r="L177" s="58">
        <f t="shared" ca="1" si="117"/>
        <v>1.0964568762004532E-5</v>
      </c>
      <c r="M177" s="58">
        <f t="shared" ca="1" si="117"/>
        <v>1.1011435137244621E-5</v>
      </c>
      <c r="N177" s="58">
        <f t="shared" ca="1" si="117"/>
        <v>1.1059238839989514E-5</v>
      </c>
      <c r="O177" s="58">
        <f t="shared" ca="1" si="117"/>
        <v>1.1107998616789305E-5</v>
      </c>
      <c r="P177" s="58">
        <f t="shared" ca="1" si="117"/>
        <v>1.1157733589125091E-5</v>
      </c>
      <c r="Q177" s="58">
        <f t="shared" ca="1" si="117"/>
        <v>1.2070588260907593E-5</v>
      </c>
      <c r="R177" s="58">
        <f t="shared" ca="1" si="117"/>
        <v>1.2122332526125745E-5</v>
      </c>
      <c r="S177" s="58">
        <f t="shared" ca="1" si="117"/>
        <v>1.217511167664826E-5</v>
      </c>
      <c r="T177" s="58">
        <f t="shared" ca="1" si="117"/>
        <v>1.2228946410181224E-5</v>
      </c>
      <c r="U177" s="58">
        <f t="shared" ca="1" si="117"/>
        <v>1.2283857838384849E-5</v>
      </c>
      <c r="V177" s="58">
        <f t="shared" ca="1" si="117"/>
        <v>1.3288204995152549E-5</v>
      </c>
      <c r="W177" s="58">
        <f t="shared" ca="1" si="117"/>
        <v>1.3345334845055598E-5</v>
      </c>
      <c r="X177" s="58">
        <f t="shared" ca="1" si="117"/>
        <v>1.3403607291956711E-5</v>
      </c>
      <c r="Y177" s="58">
        <f t="shared" ca="1" si="117"/>
        <v>1.3463045187795845E-5</v>
      </c>
      <c r="Z177" s="58">
        <f t="shared" ca="1" si="117"/>
        <v>1.3523671841551763E-5</v>
      </c>
    </row>
    <row r="178" spans="1:35" hidden="1"/>
    <row r="179" spans="1:35" hidden="1">
      <c r="B179" s="15" t="s">
        <v>585</v>
      </c>
      <c r="F179" s="16">
        <f>+F168*Assumptions!$O$124*'Phase II Pro Forma'!F172</f>
        <v>0</v>
      </c>
      <c r="G179" s="16">
        <f>+G168*Assumptions!$O$124*'Phase II Pro Forma'!G172</f>
        <v>0</v>
      </c>
      <c r="H179" s="16">
        <f>+H168*Assumptions!$O$124*'Phase II Pro Forma'!H172</f>
        <v>0</v>
      </c>
      <c r="I179" s="16">
        <f>+I168*Assumptions!$O$124*'Phase II Pro Forma'!I172</f>
        <v>1.1040808032E-6</v>
      </c>
      <c r="J179" s="16">
        <f>+J168*Assumptions!$O$124*'Phase II Pro Forma'!J172</f>
        <v>2.2523248385279998E-6</v>
      </c>
      <c r="K179" s="16">
        <f>+K168*Assumptions!$O$124*'Phase II Pro Forma'!K172</f>
        <v>2.2973713352985602E-6</v>
      </c>
      <c r="L179" s="16">
        <f>+L168*Assumptions!$O$124*'Phase II Pro Forma'!L172</f>
        <v>2.3433187620045314E-6</v>
      </c>
      <c r="M179" s="16">
        <f>+M168*Assumptions!$O$124*'Phase II Pro Forma'!M172</f>
        <v>2.390185137244622E-6</v>
      </c>
      <c r="N179" s="16">
        <f>+N168*Assumptions!$O$124*'Phase II Pro Forma'!N172</f>
        <v>2.4379888399895145E-6</v>
      </c>
      <c r="O179" s="16">
        <f>+O168*Assumptions!$O$124*'Phase II Pro Forma'!O172</f>
        <v>2.4867486167893047E-6</v>
      </c>
      <c r="P179" s="16">
        <f>+P168*Assumptions!$O$124*'Phase II Pro Forma'!P172</f>
        <v>2.5364835891250909E-6</v>
      </c>
      <c r="Q179" s="16">
        <f>+Q168*Assumptions!$O$124*'Phase II Pro Forma'!Q172</f>
        <v>2.5872132609075931E-6</v>
      </c>
      <c r="R179" s="16">
        <f>+R168*Assumptions!$O$124*'Phase II Pro Forma'!R172</f>
        <v>2.6389575261257445E-6</v>
      </c>
      <c r="S179" s="16">
        <f>+S168*Assumptions!$O$124*'Phase II Pro Forma'!S172</f>
        <v>2.6917366766482594E-6</v>
      </c>
      <c r="T179" s="16">
        <f>+T168*Assumptions!$O$124*'Phase II Pro Forma'!T172</f>
        <v>2.7455714101812251E-6</v>
      </c>
      <c r="U179" s="16">
        <f>+U168*Assumptions!$O$124*'Phase II Pro Forma'!U172</f>
        <v>2.8004828383848493E-6</v>
      </c>
      <c r="V179" s="16">
        <f>+V168*Assumptions!$O$124*'Phase II Pro Forma'!V172</f>
        <v>2.8564924951525465E-6</v>
      </c>
      <c r="W179" s="16">
        <f>+W168*Assumptions!$O$124*'Phase II Pro Forma'!W172</f>
        <v>2.9136223450555975E-6</v>
      </c>
      <c r="X179" s="16">
        <f>+X168*Assumptions!$O$124*'Phase II Pro Forma'!X172</f>
        <v>2.9718947919567099E-6</v>
      </c>
      <c r="Y179" s="16">
        <f>+Y168*Assumptions!$O$124*'Phase II Pro Forma'!Y172</f>
        <v>3.031332687795844E-6</v>
      </c>
      <c r="Z179" s="16">
        <f>+Z168*Assumptions!$O$124*'Phase II Pro Forma'!Z172</f>
        <v>3.0919593415517611E-6</v>
      </c>
    </row>
    <row r="180" spans="1:35" hidden="1">
      <c r="B180" s="15" t="s">
        <v>595</v>
      </c>
      <c r="F180" s="76">
        <f ca="1">+IFERROR(INDEX(#REF!,MATCH('Phase II Pro Forma'!F$6,#REF!,0)),0)*'Loan Sizing'!$K$52*F169</f>
        <v>0</v>
      </c>
      <c r="G180" s="76">
        <f ca="1">+IFERROR(INDEX(#REF!,MATCH('Phase II Pro Forma'!G$6,#REF!,0)),0)*'Loan Sizing'!$K$52*G169</f>
        <v>0</v>
      </c>
      <c r="H180" s="76">
        <f ca="1">+IFERROR(INDEX(#REF!,MATCH('Phase II Pro Forma'!H$6,#REF!,0)),0)*'Loan Sizing'!$K$52*H169</f>
        <v>0</v>
      </c>
      <c r="I180" s="76">
        <f ca="1">+IFERROR(INDEX(#REF!,MATCH('Phase II Pro Forma'!I$6,#REF!,0)),0)*'Loan Sizing'!$K$52*I169</f>
        <v>0</v>
      </c>
      <c r="J180" s="76">
        <f ca="1">+IFERROR(INDEX(#REF!,MATCH('Phase II Pro Forma'!J$6,#REF!,0)),0)*'Loan Sizing'!$K$52*J169</f>
        <v>0</v>
      </c>
      <c r="K180" s="76">
        <f ca="1">+IFERROR(INDEX(#REF!,MATCH('Phase II Pro Forma'!K$6,#REF!,0)),0)*'Loan Sizing'!$K$52*K169</f>
        <v>0</v>
      </c>
      <c r="L180" s="76">
        <f ca="1">+IFERROR(INDEX(#REF!,MATCH('Phase II Pro Forma'!L$6,#REF!,0)),0)*'Loan Sizing'!$K$52*L169</f>
        <v>0</v>
      </c>
      <c r="M180" s="76">
        <f ca="1">+IFERROR(INDEX(#REF!,MATCH('Phase II Pro Forma'!M$6,#REF!,0)),0)*'Loan Sizing'!$K$52*M169</f>
        <v>0</v>
      </c>
      <c r="N180" s="76">
        <f ca="1">+IFERROR(INDEX(#REF!,MATCH('Phase II Pro Forma'!N$6,#REF!,0)),0)*'Loan Sizing'!$K$52*N169</f>
        <v>0</v>
      </c>
      <c r="O180" s="76">
        <f ca="1">+IFERROR(INDEX(#REF!,MATCH('Phase II Pro Forma'!O$6,#REF!,0)),0)*'Loan Sizing'!$K$52*O169</f>
        <v>0</v>
      </c>
      <c r="P180" s="76">
        <f ca="1">+IFERROR(INDEX(#REF!,MATCH('Phase II Pro Forma'!P$6,#REF!,0)),0)*'Loan Sizing'!$K$52*P169</f>
        <v>0</v>
      </c>
      <c r="Q180" s="76">
        <f ca="1">+IFERROR(INDEX(#REF!,MATCH('Phase II Pro Forma'!Q$6,#REF!,0)),0)*'Loan Sizing'!$K$52*Q169</f>
        <v>0</v>
      </c>
      <c r="R180" s="76">
        <f ca="1">+IFERROR(INDEX(#REF!,MATCH('Phase II Pro Forma'!R$6,#REF!,0)),0)*'Loan Sizing'!$K$52*R169</f>
        <v>0</v>
      </c>
      <c r="S180" s="76">
        <f ca="1">+IFERROR(INDEX(#REF!,MATCH('Phase II Pro Forma'!S$6,#REF!,0)),0)*'Loan Sizing'!$K$52*S169</f>
        <v>0</v>
      </c>
      <c r="T180" s="76">
        <f ca="1">+IFERROR(INDEX(#REF!,MATCH('Phase II Pro Forma'!T$6,#REF!,0)),0)*'Loan Sizing'!$K$52*T169</f>
        <v>0</v>
      </c>
      <c r="U180" s="76">
        <f ca="1">+IFERROR(INDEX(#REF!,MATCH('Phase II Pro Forma'!U$6,#REF!,0)),0)*'Loan Sizing'!$K$52*U169</f>
        <v>0</v>
      </c>
      <c r="V180" s="76">
        <f ca="1">+IFERROR(INDEX(#REF!,MATCH('Phase II Pro Forma'!V$6,#REF!,0)),0)*'Loan Sizing'!$K$52*V169</f>
        <v>0</v>
      </c>
      <c r="W180" s="76">
        <f ca="1">+IFERROR(INDEX(#REF!,MATCH('Phase II Pro Forma'!W$6,#REF!,0)),0)*'Loan Sizing'!$K$52*W169</f>
        <v>0</v>
      </c>
      <c r="X180" s="76">
        <f ca="1">+IFERROR(INDEX(#REF!,MATCH('Phase II Pro Forma'!X$6,#REF!,0)),0)*'Loan Sizing'!$K$52*X169</f>
        <v>0</v>
      </c>
      <c r="Y180" s="76">
        <f ca="1">+IFERROR(INDEX(#REF!,MATCH('Phase II Pro Forma'!Y$6,#REF!,0)),0)*'Loan Sizing'!$K$52*Y169</f>
        <v>0</v>
      </c>
      <c r="Z180" s="76">
        <f ca="1">+IFERROR(INDEX(#REF!,MATCH('Phase II Pro Forma'!Z$6,#REF!,0)),0)*'Loan Sizing'!$K$52*Z169</f>
        <v>0</v>
      </c>
    </row>
    <row r="181" spans="1:35" hidden="1">
      <c r="B181" s="62" t="s">
        <v>586</v>
      </c>
      <c r="C181" s="62"/>
      <c r="D181" s="62"/>
      <c r="E181" s="62"/>
      <c r="F181" s="58">
        <f ca="1">+SUM(F179:F180)</f>
        <v>0</v>
      </c>
      <c r="G181" s="58">
        <f t="shared" ref="G181" ca="1" si="118">+SUM(G179:G180)</f>
        <v>0</v>
      </c>
      <c r="H181" s="58">
        <f t="shared" ref="H181:Z181" ca="1" si="119">+SUM(H179:H180)</f>
        <v>0</v>
      </c>
      <c r="I181" s="58">
        <f t="shared" ca="1" si="119"/>
        <v>1.1040808032E-6</v>
      </c>
      <c r="J181" s="58">
        <f t="shared" ca="1" si="119"/>
        <v>2.2523248385279998E-6</v>
      </c>
      <c r="K181" s="58">
        <f t="shared" ca="1" si="119"/>
        <v>2.2973713352985602E-6</v>
      </c>
      <c r="L181" s="58">
        <f t="shared" ca="1" si="119"/>
        <v>2.3433187620045314E-6</v>
      </c>
      <c r="M181" s="58">
        <f t="shared" ca="1" si="119"/>
        <v>2.390185137244622E-6</v>
      </c>
      <c r="N181" s="58">
        <f t="shared" ca="1" si="119"/>
        <v>2.4379888399895145E-6</v>
      </c>
      <c r="O181" s="58">
        <f t="shared" ca="1" si="119"/>
        <v>2.4867486167893047E-6</v>
      </c>
      <c r="P181" s="58">
        <f t="shared" ca="1" si="119"/>
        <v>2.5364835891250909E-6</v>
      </c>
      <c r="Q181" s="58">
        <f t="shared" ca="1" si="119"/>
        <v>2.5872132609075931E-6</v>
      </c>
      <c r="R181" s="58">
        <f t="shared" ca="1" si="119"/>
        <v>2.6389575261257445E-6</v>
      </c>
      <c r="S181" s="58">
        <f t="shared" ca="1" si="119"/>
        <v>2.6917366766482594E-6</v>
      </c>
      <c r="T181" s="58">
        <f t="shared" ca="1" si="119"/>
        <v>2.7455714101812251E-6</v>
      </c>
      <c r="U181" s="58">
        <f t="shared" ca="1" si="119"/>
        <v>2.8004828383848493E-6</v>
      </c>
      <c r="V181" s="58">
        <f t="shared" ca="1" si="119"/>
        <v>2.8564924951525465E-6</v>
      </c>
      <c r="W181" s="58">
        <f t="shared" ca="1" si="119"/>
        <v>2.9136223450555975E-6</v>
      </c>
      <c r="X181" s="58">
        <f t="shared" ca="1" si="119"/>
        <v>2.9718947919567099E-6</v>
      </c>
      <c r="Y181" s="58">
        <f t="shared" ca="1" si="119"/>
        <v>3.031332687795844E-6</v>
      </c>
      <c r="Z181" s="58">
        <f t="shared" ca="1" si="119"/>
        <v>3.0919593415517611E-6</v>
      </c>
    </row>
    <row r="182" spans="1:35" hidden="1">
      <c r="B182" s="15"/>
    </row>
    <row r="183" spans="1:35" hidden="1">
      <c r="B183" s="63" t="s">
        <v>587</v>
      </c>
      <c r="C183" s="63"/>
      <c r="D183" s="63"/>
      <c r="E183" s="63"/>
      <c r="F183" s="64">
        <f ca="1">+F177-F181</f>
        <v>0</v>
      </c>
      <c r="G183" s="64">
        <f t="shared" ref="G183:Z183" ca="1" si="120">+G177-G181</f>
        <v>0</v>
      </c>
      <c r="H183" s="64">
        <f t="shared" ca="1" si="120"/>
        <v>0</v>
      </c>
      <c r="I183" s="64">
        <f t="shared" ca="1" si="120"/>
        <v>3.9187499999999995E-6</v>
      </c>
      <c r="J183" s="64">
        <f t="shared" ca="1" si="120"/>
        <v>7.8375000000000008E-6</v>
      </c>
      <c r="K183" s="64">
        <f t="shared" ca="1" si="120"/>
        <v>7.8374999999999991E-6</v>
      </c>
      <c r="L183" s="64">
        <f t="shared" ca="1" si="120"/>
        <v>8.6212499999999998E-6</v>
      </c>
      <c r="M183" s="64">
        <f t="shared" ca="1" si="120"/>
        <v>8.6212499999999998E-6</v>
      </c>
      <c r="N183" s="64">
        <f t="shared" ca="1" si="120"/>
        <v>8.6212499999999998E-6</v>
      </c>
      <c r="O183" s="64">
        <f t="shared" ca="1" si="120"/>
        <v>8.6212499999999998E-6</v>
      </c>
      <c r="P183" s="64">
        <f t="shared" ca="1" si="120"/>
        <v>8.6212499999999998E-6</v>
      </c>
      <c r="Q183" s="64">
        <f t="shared" ca="1" si="120"/>
        <v>9.4833749999999996E-6</v>
      </c>
      <c r="R183" s="64">
        <f t="shared" ca="1" si="120"/>
        <v>9.4833749999999996E-6</v>
      </c>
      <c r="S183" s="64">
        <f t="shared" ca="1" si="120"/>
        <v>9.4833749999999996E-6</v>
      </c>
      <c r="T183" s="64">
        <f t="shared" ca="1" si="120"/>
        <v>9.4833749999999996E-6</v>
      </c>
      <c r="U183" s="64">
        <f t="shared" ca="1" si="120"/>
        <v>9.4833749999999996E-6</v>
      </c>
      <c r="V183" s="64">
        <f t="shared" ca="1" si="120"/>
        <v>1.0431712500000001E-5</v>
      </c>
      <c r="W183" s="64">
        <f t="shared" ca="1" si="120"/>
        <v>1.0431712500000001E-5</v>
      </c>
      <c r="X183" s="64">
        <f t="shared" ca="1" si="120"/>
        <v>1.0431712500000001E-5</v>
      </c>
      <c r="Y183" s="64">
        <f t="shared" ca="1" si="120"/>
        <v>1.0431712500000001E-5</v>
      </c>
      <c r="Z183" s="64">
        <f t="shared" ca="1" si="120"/>
        <v>1.0431712500000001E-5</v>
      </c>
    </row>
    <row r="184" spans="1:35" hidden="1">
      <c r="B184" s="68" t="s">
        <v>588</v>
      </c>
      <c r="C184" s="66"/>
      <c r="D184" s="66"/>
      <c r="E184" s="66"/>
      <c r="F184" s="69" t="str">
        <f ca="1">+IFERROR(F183/F177,"")</f>
        <v/>
      </c>
      <c r="G184" s="69" t="str">
        <f t="shared" ref="G184:H184" ca="1" si="121">+IFERROR(G183/G177,"")</f>
        <v/>
      </c>
      <c r="H184" s="69" t="str">
        <f t="shared" ca="1" si="121"/>
        <v/>
      </c>
      <c r="I184" s="70" t="s">
        <v>246</v>
      </c>
      <c r="J184" s="70" t="s">
        <v>246</v>
      </c>
      <c r="K184" s="70" t="s">
        <v>246</v>
      </c>
      <c r="L184" s="70" t="s">
        <v>246</v>
      </c>
      <c r="M184" s="70" t="s">
        <v>246</v>
      </c>
      <c r="N184" s="70" t="s">
        <v>246</v>
      </c>
      <c r="O184" s="70" t="s">
        <v>246</v>
      </c>
      <c r="P184" s="70" t="s">
        <v>246</v>
      </c>
      <c r="Q184" s="70" t="s">
        <v>246</v>
      </c>
      <c r="R184" s="70" t="s">
        <v>246</v>
      </c>
      <c r="S184" s="70" t="s">
        <v>246</v>
      </c>
      <c r="T184" s="70" t="s">
        <v>246</v>
      </c>
      <c r="U184" s="70" t="s">
        <v>246</v>
      </c>
      <c r="V184" s="70" t="s">
        <v>246</v>
      </c>
      <c r="W184" s="70" t="s">
        <v>246</v>
      </c>
      <c r="X184" s="70" t="s">
        <v>246</v>
      </c>
      <c r="Y184" s="70" t="s">
        <v>246</v>
      </c>
      <c r="Z184" s="70" t="s">
        <v>246</v>
      </c>
      <c r="AA184" s="21" t="s">
        <v>246</v>
      </c>
      <c r="AB184" s="21" t="s">
        <v>246</v>
      </c>
      <c r="AC184" s="21" t="s">
        <v>246</v>
      </c>
      <c r="AD184" s="21" t="s">
        <v>246</v>
      </c>
      <c r="AE184" s="21" t="s">
        <v>246</v>
      </c>
      <c r="AF184" s="21" t="s">
        <v>246</v>
      </c>
      <c r="AG184" s="21" t="s">
        <v>246</v>
      </c>
      <c r="AH184" s="21" t="s">
        <v>246</v>
      </c>
      <c r="AI184" s="21" t="s">
        <v>246</v>
      </c>
    </row>
    <row r="185" spans="1:35" hidden="1">
      <c r="B185" s="68" t="s">
        <v>589</v>
      </c>
      <c r="C185" s="66"/>
      <c r="D185" s="66"/>
      <c r="E185" s="66"/>
      <c r="F185" s="67">
        <f ca="1">+F183/Assumptions!$O$134</f>
        <v>0</v>
      </c>
      <c r="G185" s="67">
        <f ca="1">+G183/Assumptions!$O$134</f>
        <v>0</v>
      </c>
      <c r="H185" s="67">
        <f ca="1">+H183/Assumptions!$O$134</f>
        <v>0</v>
      </c>
      <c r="I185" s="67">
        <f ca="1">+I183/Assumptions!$O$134</f>
        <v>7.1249999999999997E-5</v>
      </c>
      <c r="J185" s="67">
        <f ca="1">+J183/Assumptions!$O$134</f>
        <v>1.4250000000000002E-4</v>
      </c>
      <c r="K185" s="67">
        <f ca="1">+K183/Assumptions!$O$134</f>
        <v>1.4249999999999999E-4</v>
      </c>
      <c r="L185" s="67">
        <f ca="1">+L183/Assumptions!$O$134</f>
        <v>1.5674999999999999E-4</v>
      </c>
      <c r="M185" s="67">
        <f ca="1">+M183/Assumptions!$O$134</f>
        <v>1.5674999999999999E-4</v>
      </c>
      <c r="N185" s="67">
        <f ca="1">+N183/Assumptions!$O$134</f>
        <v>1.5674999999999999E-4</v>
      </c>
      <c r="O185" s="67">
        <f ca="1">+O183/Assumptions!$O$134</f>
        <v>1.5674999999999999E-4</v>
      </c>
      <c r="P185" s="67">
        <f ca="1">+P183/Assumptions!$O$134</f>
        <v>1.5674999999999999E-4</v>
      </c>
      <c r="Q185" s="67">
        <f ca="1">+Q183/Assumptions!$O$134</f>
        <v>1.72425E-4</v>
      </c>
      <c r="R185" s="67">
        <f ca="1">+R183/Assumptions!$O$134</f>
        <v>1.72425E-4</v>
      </c>
      <c r="S185" s="67">
        <f ca="1">+S183/Assumptions!$O$134</f>
        <v>1.72425E-4</v>
      </c>
      <c r="T185" s="67">
        <f ca="1">+T183/Assumptions!$O$134</f>
        <v>1.72425E-4</v>
      </c>
      <c r="U185" s="67">
        <f ca="1">+U183/Assumptions!$O$134</f>
        <v>1.72425E-4</v>
      </c>
      <c r="V185" s="67">
        <f ca="1">+V183/Assumptions!$O$134</f>
        <v>1.8966750000000003E-4</v>
      </c>
      <c r="W185" s="67">
        <f ca="1">+W183/Assumptions!$O$134</f>
        <v>1.8966750000000003E-4</v>
      </c>
      <c r="X185" s="67">
        <f ca="1">+X183/Assumptions!$O$134</f>
        <v>1.8966750000000003E-4</v>
      </c>
      <c r="Y185" s="67">
        <f ca="1">+Y183/Assumptions!$O$134</f>
        <v>1.8966750000000003E-4</v>
      </c>
      <c r="Z185" s="67">
        <f ca="1">+Z183/Assumptions!$O$134</f>
        <v>1.8966750000000003E-4</v>
      </c>
    </row>
    <row r="186" spans="1:35" hidden="1"/>
    <row r="187" spans="1:35" s="852" customFormat="1" hidden="1">
      <c r="B187" s="849" t="s">
        <v>597</v>
      </c>
      <c r="F187" s="853">
        <f>+Assumptions!$G$22</f>
        <v>44926</v>
      </c>
      <c r="G187" s="853">
        <f>+EOMONTH(F187,12)</f>
        <v>45291</v>
      </c>
      <c r="H187" s="853">
        <f t="shared" ref="H187:Z187" si="122">+EOMONTH(G187,12)</f>
        <v>45657</v>
      </c>
      <c r="I187" s="853">
        <f t="shared" si="122"/>
        <v>46022</v>
      </c>
      <c r="J187" s="853">
        <f t="shared" si="122"/>
        <v>46387</v>
      </c>
      <c r="K187" s="853">
        <f t="shared" si="122"/>
        <v>46752</v>
      </c>
      <c r="L187" s="853">
        <f t="shared" si="122"/>
        <v>47118</v>
      </c>
      <c r="M187" s="853">
        <f t="shared" si="122"/>
        <v>47483</v>
      </c>
      <c r="N187" s="853">
        <f t="shared" si="122"/>
        <v>47848</v>
      </c>
      <c r="O187" s="853">
        <f t="shared" si="122"/>
        <v>48213</v>
      </c>
      <c r="P187" s="853">
        <f t="shared" si="122"/>
        <v>48579</v>
      </c>
      <c r="Q187" s="853">
        <f t="shared" si="122"/>
        <v>48944</v>
      </c>
      <c r="R187" s="853">
        <f t="shared" si="122"/>
        <v>49309</v>
      </c>
      <c r="S187" s="853">
        <f t="shared" si="122"/>
        <v>49674</v>
      </c>
      <c r="T187" s="853">
        <f t="shared" si="122"/>
        <v>50040</v>
      </c>
      <c r="U187" s="853">
        <f t="shared" si="122"/>
        <v>50405</v>
      </c>
      <c r="V187" s="853">
        <f t="shared" si="122"/>
        <v>50770</v>
      </c>
      <c r="W187" s="853">
        <f t="shared" si="122"/>
        <v>51135</v>
      </c>
      <c r="X187" s="853">
        <f t="shared" si="122"/>
        <v>51501</v>
      </c>
      <c r="Y187" s="853">
        <f t="shared" si="122"/>
        <v>51866</v>
      </c>
      <c r="Z187" s="853">
        <f t="shared" si="122"/>
        <v>52231</v>
      </c>
    </row>
    <row r="188" spans="1:35" s="852" customFormat="1" hidden="1">
      <c r="B188" s="848" t="s">
        <v>598</v>
      </c>
      <c r="F188" s="854">
        <v>0</v>
      </c>
      <c r="G188" s="854">
        <f t="shared" ref="G188:Z188" si="123">+F191</f>
        <v>0</v>
      </c>
      <c r="H188" s="854">
        <f t="shared" si="123"/>
        <v>0</v>
      </c>
      <c r="I188" s="854">
        <f t="shared" si="123"/>
        <v>0</v>
      </c>
      <c r="J188" s="854">
        <f t="shared" ca="1" si="123"/>
        <v>1.06875E-4</v>
      </c>
      <c r="K188" s="854">
        <f t="shared" ca="1" si="123"/>
        <v>1.06875E-4</v>
      </c>
      <c r="L188" s="854">
        <f t="shared" ca="1" si="123"/>
        <v>1.06875E-4</v>
      </c>
      <c r="M188" s="854">
        <f t="shared" ca="1" si="123"/>
        <v>1.06875E-4</v>
      </c>
      <c r="N188" s="854">
        <f t="shared" ca="1" si="123"/>
        <v>1.06875E-4</v>
      </c>
      <c r="O188" s="854">
        <f t="shared" ca="1" si="123"/>
        <v>1.06875E-4</v>
      </c>
      <c r="P188" s="854">
        <f t="shared" ca="1" si="123"/>
        <v>1.06875E-4</v>
      </c>
      <c r="Q188" s="854">
        <f t="shared" ca="1" si="123"/>
        <v>1.06875E-4</v>
      </c>
      <c r="R188" s="854">
        <f t="shared" ca="1" si="123"/>
        <v>1.06875E-4</v>
      </c>
      <c r="S188" s="854">
        <f t="shared" ca="1" si="123"/>
        <v>1.06875E-4</v>
      </c>
      <c r="T188" s="854">
        <f t="shared" ca="1" si="123"/>
        <v>1.06875E-4</v>
      </c>
      <c r="U188" s="854">
        <f t="shared" ca="1" si="123"/>
        <v>1.06875E-4</v>
      </c>
      <c r="V188" s="854">
        <f t="shared" ca="1" si="123"/>
        <v>1.06875E-4</v>
      </c>
      <c r="W188" s="854">
        <f t="shared" ca="1" si="123"/>
        <v>1.06875E-4</v>
      </c>
      <c r="X188" s="854">
        <f t="shared" ca="1" si="123"/>
        <v>1.06875E-4</v>
      </c>
      <c r="Y188" s="854">
        <f t="shared" ca="1" si="123"/>
        <v>1.06875E-4</v>
      </c>
      <c r="Z188" s="854">
        <f t="shared" ca="1" si="123"/>
        <v>1.06875E-4</v>
      </c>
    </row>
    <row r="189" spans="1:35" s="852" customFormat="1" hidden="1">
      <c r="B189" s="848" t="s">
        <v>599</v>
      </c>
      <c r="F189" s="855">
        <f>+IF(YEAR(F$139)=YEAR(Assumptions!$G$26),'S&amp;U'!$S$19,0)</f>
        <v>0</v>
      </c>
      <c r="G189" s="855">
        <f>+IF(YEAR(G$139)=YEAR(Assumptions!$G$26),'S&amp;U'!$S$19,0)</f>
        <v>0</v>
      </c>
      <c r="H189" s="855">
        <f>+IF(YEAR(H$139)=YEAR(Assumptions!$G$26),'S&amp;U'!$S$19,0)</f>
        <v>0</v>
      </c>
      <c r="I189" s="855">
        <f ca="1">+IF(YEAR(I$139)=YEAR(Assumptions!$G$26),'S&amp;U'!$S$19,0)</f>
        <v>1.06875E-4</v>
      </c>
      <c r="J189" s="855">
        <f>+IF(YEAR(J$139)=YEAR(Assumptions!$G$26),'S&amp;U'!$S$19,0)</f>
        <v>0</v>
      </c>
      <c r="K189" s="855">
        <f>+IF(YEAR(K$139)=YEAR(Assumptions!$G$26),'S&amp;U'!$S$19,0)</f>
        <v>0</v>
      </c>
      <c r="L189" s="855">
        <f>+IF(YEAR(L$139)=YEAR(Assumptions!$G$26),'S&amp;U'!$S$19,0)</f>
        <v>0</v>
      </c>
      <c r="M189" s="855">
        <f>+IF(YEAR(M$139)=YEAR(Assumptions!$G$26),'S&amp;U'!$S$19,0)</f>
        <v>0</v>
      </c>
      <c r="N189" s="855">
        <f>+IF(YEAR(N$139)=YEAR(Assumptions!$G$26),'S&amp;U'!$S$19,0)</f>
        <v>0</v>
      </c>
      <c r="O189" s="855">
        <f>+IF(YEAR(O$139)=YEAR(Assumptions!$G$26),'S&amp;U'!$S$19,0)</f>
        <v>0</v>
      </c>
      <c r="P189" s="855">
        <f>+IF(YEAR(P$139)=YEAR(Assumptions!$G$26),'S&amp;U'!$S$19,0)</f>
        <v>0</v>
      </c>
      <c r="Q189" s="855">
        <f>+IF(YEAR(Q$139)=YEAR(Assumptions!$G$26),'S&amp;U'!$S$19,0)</f>
        <v>0</v>
      </c>
      <c r="R189" s="855">
        <f>+IF(YEAR(R$139)=YEAR(Assumptions!$G$26),'S&amp;U'!$S$19,0)</f>
        <v>0</v>
      </c>
      <c r="S189" s="855">
        <f>+IF(YEAR(S$139)=YEAR(Assumptions!$G$26),'S&amp;U'!$S$19,0)</f>
        <v>0</v>
      </c>
      <c r="T189" s="855">
        <f>+IF(YEAR(T$139)=YEAR(Assumptions!$G$26),'S&amp;U'!$S$19,0)</f>
        <v>0</v>
      </c>
      <c r="U189" s="855">
        <f>+IF(YEAR(U$139)=YEAR(Assumptions!$G$26),'S&amp;U'!$S$19,0)</f>
        <v>0</v>
      </c>
      <c r="V189" s="855">
        <f>+IF(YEAR(V$139)=YEAR(Assumptions!$G$26),'S&amp;U'!$S$19,0)</f>
        <v>0</v>
      </c>
      <c r="W189" s="855">
        <f>+IF(YEAR(W$139)=YEAR(Assumptions!$G$26),'S&amp;U'!$S$19,0)</f>
        <v>0</v>
      </c>
      <c r="X189" s="855">
        <f>+IF(YEAR(X$139)=YEAR(Assumptions!$G$26),'S&amp;U'!$S$19,0)</f>
        <v>0</v>
      </c>
      <c r="Y189" s="855">
        <f>+IF(YEAR(Y$139)=YEAR(Assumptions!$G$26),'S&amp;U'!$S$19,0)</f>
        <v>0</v>
      </c>
      <c r="Z189" s="855">
        <f>+IF(YEAR(Z$139)=YEAR(Assumptions!$G$26),'S&amp;U'!$S$19,0)</f>
        <v>0</v>
      </c>
    </row>
    <row r="190" spans="1:35" s="852" customFormat="1" hidden="1">
      <c r="B190" s="848" t="s">
        <v>167</v>
      </c>
      <c r="F190" s="855">
        <v>0</v>
      </c>
      <c r="G190" s="855">
        <v>0</v>
      </c>
      <c r="H190" s="855">
        <v>0</v>
      </c>
      <c r="I190" s="855">
        <v>0</v>
      </c>
      <c r="J190" s="855">
        <v>0</v>
      </c>
      <c r="K190" s="855">
        <v>0</v>
      </c>
      <c r="L190" s="855">
        <v>0</v>
      </c>
      <c r="M190" s="855">
        <v>0</v>
      </c>
      <c r="N190" s="855">
        <v>0</v>
      </c>
      <c r="O190" s="855">
        <v>0</v>
      </c>
      <c r="P190" s="855">
        <v>0</v>
      </c>
      <c r="Q190" s="855">
        <v>0</v>
      </c>
      <c r="R190" s="855">
        <v>0</v>
      </c>
      <c r="S190" s="855">
        <v>0</v>
      </c>
      <c r="T190" s="855">
        <v>0</v>
      </c>
      <c r="U190" s="855">
        <v>0</v>
      </c>
      <c r="V190" s="855">
        <v>0</v>
      </c>
      <c r="W190" s="855">
        <v>0</v>
      </c>
      <c r="X190" s="855">
        <v>0</v>
      </c>
      <c r="Y190" s="855">
        <v>0</v>
      </c>
      <c r="Z190" s="855">
        <v>0</v>
      </c>
    </row>
    <row r="191" spans="1:35" s="852" customFormat="1" hidden="1">
      <c r="B191" s="848" t="s">
        <v>600</v>
      </c>
      <c r="F191" s="855">
        <f t="shared" ref="F191:N191" si="124">+SUM(F188:F190)</f>
        <v>0</v>
      </c>
      <c r="G191" s="855">
        <f t="shared" si="124"/>
        <v>0</v>
      </c>
      <c r="H191" s="855">
        <f t="shared" si="124"/>
        <v>0</v>
      </c>
      <c r="I191" s="855">
        <f t="shared" ca="1" si="124"/>
        <v>1.06875E-4</v>
      </c>
      <c r="J191" s="855">
        <f t="shared" ca="1" si="124"/>
        <v>1.06875E-4</v>
      </c>
      <c r="K191" s="855">
        <f t="shared" ca="1" si="124"/>
        <v>1.06875E-4</v>
      </c>
      <c r="L191" s="855">
        <f t="shared" ca="1" si="124"/>
        <v>1.06875E-4</v>
      </c>
      <c r="M191" s="855">
        <f t="shared" ca="1" si="124"/>
        <v>1.06875E-4</v>
      </c>
      <c r="N191" s="855">
        <f t="shared" ca="1" si="124"/>
        <v>1.06875E-4</v>
      </c>
      <c r="O191" s="855">
        <f t="shared" ref="O191" ca="1" si="125">+SUM(O188:O190)</f>
        <v>1.06875E-4</v>
      </c>
      <c r="P191" s="855">
        <f t="shared" ref="P191:Z191" ca="1" si="126">+SUM(P188:P190)</f>
        <v>1.06875E-4</v>
      </c>
      <c r="Q191" s="855">
        <f t="shared" ca="1" si="126"/>
        <v>1.06875E-4</v>
      </c>
      <c r="R191" s="855">
        <f t="shared" ca="1" si="126"/>
        <v>1.06875E-4</v>
      </c>
      <c r="S191" s="855">
        <f t="shared" ca="1" si="126"/>
        <v>1.06875E-4</v>
      </c>
      <c r="T191" s="855">
        <f t="shared" ca="1" si="126"/>
        <v>1.06875E-4</v>
      </c>
      <c r="U191" s="855">
        <f t="shared" ca="1" si="126"/>
        <v>1.06875E-4</v>
      </c>
      <c r="V191" s="855">
        <f t="shared" ca="1" si="126"/>
        <v>1.06875E-4</v>
      </c>
      <c r="W191" s="855">
        <f t="shared" ca="1" si="126"/>
        <v>1.06875E-4</v>
      </c>
      <c r="X191" s="855">
        <f t="shared" ca="1" si="126"/>
        <v>1.06875E-4</v>
      </c>
      <c r="Y191" s="855">
        <f t="shared" ca="1" si="126"/>
        <v>1.06875E-4</v>
      </c>
      <c r="Z191" s="855">
        <f t="shared" ca="1" si="126"/>
        <v>1.06875E-4</v>
      </c>
    </row>
    <row r="192" spans="1:35" s="852" customFormat="1" hidden="1"/>
    <row r="193" spans="2:26" s="852" customFormat="1" hidden="1">
      <c r="B193" s="852" t="s">
        <v>601</v>
      </c>
      <c r="F193" s="854">
        <f>+F191*Assumptions!$O$163</f>
        <v>0</v>
      </c>
      <c r="G193" s="854">
        <f>+G191*Assumptions!$O$163</f>
        <v>0</v>
      </c>
      <c r="H193" s="854">
        <f>+H191*Assumptions!$O$163</f>
        <v>0</v>
      </c>
      <c r="I193" s="854">
        <f ca="1">+I191*Assumptions!$O$163</f>
        <v>5.8781249999999997E-6</v>
      </c>
      <c r="J193" s="854">
        <f ca="1">+J191*Assumptions!$O$163</f>
        <v>5.8781249999999997E-6</v>
      </c>
      <c r="K193" s="854">
        <f ca="1">+K191*Assumptions!$O$163</f>
        <v>5.8781249999999997E-6</v>
      </c>
      <c r="L193" s="854">
        <f ca="1">+L191*Assumptions!$O$163</f>
        <v>5.8781249999999997E-6</v>
      </c>
      <c r="M193" s="854">
        <f ca="1">+M191*Assumptions!$O$163</f>
        <v>5.8781249999999997E-6</v>
      </c>
      <c r="N193" s="854">
        <f ca="1">+N191*Assumptions!$O$163</f>
        <v>5.8781249999999997E-6</v>
      </c>
      <c r="O193" s="854">
        <f ca="1">+O191*Assumptions!$O$163</f>
        <v>5.8781249999999997E-6</v>
      </c>
      <c r="P193" s="854">
        <f ca="1">+P191*Assumptions!$O$163</f>
        <v>5.8781249999999997E-6</v>
      </c>
      <c r="Q193" s="854">
        <f ca="1">+Q191*Assumptions!$O$163</f>
        <v>5.8781249999999997E-6</v>
      </c>
      <c r="R193" s="854">
        <f ca="1">+R191*Assumptions!$O$163</f>
        <v>5.8781249999999997E-6</v>
      </c>
      <c r="S193" s="854">
        <f ca="1">+S191*Assumptions!$O$163</f>
        <v>5.8781249999999997E-6</v>
      </c>
      <c r="T193" s="854">
        <f ca="1">+T191*Assumptions!$O$163</f>
        <v>5.8781249999999997E-6</v>
      </c>
      <c r="U193" s="854">
        <f ca="1">+U191*Assumptions!$O$163</f>
        <v>5.8781249999999997E-6</v>
      </c>
      <c r="V193" s="854">
        <f ca="1">+V191*Assumptions!$O$163</f>
        <v>5.8781249999999997E-6</v>
      </c>
      <c r="W193" s="854">
        <f ca="1">+W191*Assumptions!$O$163</f>
        <v>5.8781249999999997E-6</v>
      </c>
      <c r="X193" s="854">
        <f ca="1">+X191*Assumptions!$O$163</f>
        <v>5.8781249999999997E-6</v>
      </c>
      <c r="Y193" s="854">
        <f ca="1">+Y191*Assumptions!$O$163</f>
        <v>5.8781249999999997E-6</v>
      </c>
      <c r="Z193" s="854">
        <f ca="1">+Z191*Assumptions!$O$163</f>
        <v>5.8781249999999997E-6</v>
      </c>
    </row>
    <row r="194" spans="2:26" s="852" customFormat="1" hidden="1">
      <c r="B194" s="856" t="s">
        <v>602</v>
      </c>
      <c r="C194" s="856"/>
      <c r="D194" s="856"/>
      <c r="E194" s="856"/>
      <c r="F194" s="857">
        <f t="shared" ref="F194:K194" si="127">+F193-F190</f>
        <v>0</v>
      </c>
      <c r="G194" s="857">
        <f t="shared" si="127"/>
        <v>0</v>
      </c>
      <c r="H194" s="857">
        <f t="shared" si="127"/>
        <v>0</v>
      </c>
      <c r="I194" s="857">
        <f t="shared" ca="1" si="127"/>
        <v>5.8781249999999997E-6</v>
      </c>
      <c r="J194" s="857">
        <f t="shared" ca="1" si="127"/>
        <v>5.8781249999999997E-6</v>
      </c>
      <c r="K194" s="857">
        <f t="shared" ca="1" si="127"/>
        <v>5.8781249999999997E-6</v>
      </c>
      <c r="L194" s="857">
        <f ca="1">+L193-L190</f>
        <v>5.8781249999999997E-6</v>
      </c>
      <c r="M194" s="857">
        <f t="shared" ref="M194:Z194" ca="1" si="128">+M193-M190</f>
        <v>5.8781249999999997E-6</v>
      </c>
      <c r="N194" s="857">
        <f t="shared" ca="1" si="128"/>
        <v>5.8781249999999997E-6</v>
      </c>
      <c r="O194" s="857">
        <f t="shared" ca="1" si="128"/>
        <v>5.8781249999999997E-6</v>
      </c>
      <c r="P194" s="857">
        <f t="shared" ca="1" si="128"/>
        <v>5.8781249999999997E-6</v>
      </c>
      <c r="Q194" s="857">
        <f t="shared" ca="1" si="128"/>
        <v>5.8781249999999997E-6</v>
      </c>
      <c r="R194" s="857">
        <f t="shared" ca="1" si="128"/>
        <v>5.8781249999999997E-6</v>
      </c>
      <c r="S194" s="857">
        <f t="shared" ca="1" si="128"/>
        <v>5.8781249999999997E-6</v>
      </c>
      <c r="T194" s="857">
        <f t="shared" ca="1" si="128"/>
        <v>5.8781249999999997E-6</v>
      </c>
      <c r="U194" s="857">
        <f t="shared" ca="1" si="128"/>
        <v>5.8781249999999997E-6</v>
      </c>
      <c r="V194" s="857">
        <f t="shared" ca="1" si="128"/>
        <v>5.8781249999999997E-6</v>
      </c>
      <c r="W194" s="857">
        <f t="shared" ca="1" si="128"/>
        <v>5.8781249999999997E-6</v>
      </c>
      <c r="X194" s="857">
        <f t="shared" ca="1" si="128"/>
        <v>5.8781249999999997E-6</v>
      </c>
      <c r="Y194" s="857">
        <f t="shared" ca="1" si="128"/>
        <v>5.8781249999999997E-6</v>
      </c>
      <c r="Z194" s="857">
        <f t="shared" ca="1" si="128"/>
        <v>5.8781249999999997E-6</v>
      </c>
    </row>
    <row r="195" spans="2:26" s="852" customFormat="1" hidden="1">
      <c r="B195" s="858" t="s">
        <v>165</v>
      </c>
      <c r="F195" s="859" t="str">
        <f t="shared" ref="F195:J195" ca="1" si="129">+IFERROR(F183/F194,"")</f>
        <v/>
      </c>
      <c r="G195" s="859" t="str">
        <f t="shared" ca="1" si="129"/>
        <v/>
      </c>
      <c r="H195" s="859" t="str">
        <f t="shared" ca="1" si="129"/>
        <v/>
      </c>
      <c r="I195" s="859">
        <f t="shared" ca="1" si="129"/>
        <v>0.66666666666666663</v>
      </c>
      <c r="J195" s="859">
        <f t="shared" ca="1" si="129"/>
        <v>1.3333333333333335</v>
      </c>
      <c r="K195" s="859">
        <f ca="1">+IFERROR(K183/K194,"")</f>
        <v>1.3333333333333333</v>
      </c>
      <c r="L195" s="859">
        <f t="shared" ref="L195:Z195" ca="1" si="130">+IFERROR(L183/L194,"")</f>
        <v>1.4666666666666668</v>
      </c>
      <c r="M195" s="859">
        <f t="shared" ca="1" si="130"/>
        <v>1.4666666666666668</v>
      </c>
      <c r="N195" s="859">
        <f t="shared" ca="1" si="130"/>
        <v>1.4666666666666668</v>
      </c>
      <c r="O195" s="859">
        <f t="shared" ca="1" si="130"/>
        <v>1.4666666666666668</v>
      </c>
      <c r="P195" s="859">
        <f t="shared" ca="1" si="130"/>
        <v>1.4666666666666668</v>
      </c>
      <c r="Q195" s="859">
        <f t="shared" ca="1" si="130"/>
        <v>1.6133333333333333</v>
      </c>
      <c r="R195" s="859">
        <f t="shared" ca="1" si="130"/>
        <v>1.6133333333333333</v>
      </c>
      <c r="S195" s="859">
        <f t="shared" ca="1" si="130"/>
        <v>1.6133333333333333</v>
      </c>
      <c r="T195" s="859">
        <f t="shared" ca="1" si="130"/>
        <v>1.6133333333333333</v>
      </c>
      <c r="U195" s="859">
        <f t="shared" ca="1" si="130"/>
        <v>1.6133333333333333</v>
      </c>
      <c r="V195" s="859">
        <f t="shared" ca="1" si="130"/>
        <v>1.7746666666666671</v>
      </c>
      <c r="W195" s="859">
        <f t="shared" ca="1" si="130"/>
        <v>1.7746666666666671</v>
      </c>
      <c r="X195" s="859">
        <f t="shared" ca="1" si="130"/>
        <v>1.7746666666666671</v>
      </c>
      <c r="Y195" s="859">
        <f t="shared" ca="1" si="130"/>
        <v>1.7746666666666671</v>
      </c>
      <c r="Z195" s="859">
        <f t="shared" ca="1" si="130"/>
        <v>1.7746666666666671</v>
      </c>
    </row>
    <row r="196" spans="2:26" s="852" customFormat="1" hidden="1"/>
    <row r="197" spans="2:26" s="852" customFormat="1" hidden="1">
      <c r="B197" s="852" t="s">
        <v>161</v>
      </c>
      <c r="F197" s="854">
        <f>+F189*Assumptions!$O$164</f>
        <v>0</v>
      </c>
      <c r="G197" s="854">
        <f>+G189*Assumptions!$O$164</f>
        <v>0</v>
      </c>
      <c r="H197" s="854">
        <f>+H189*Assumptions!$O$164</f>
        <v>0</v>
      </c>
      <c r="I197" s="854">
        <f ca="1">+I189*Assumptions!$O$164</f>
        <v>8.015624999999999E-7</v>
      </c>
      <c r="J197" s="854">
        <f>+J189*Assumptions!$O$164</f>
        <v>0</v>
      </c>
      <c r="K197" s="854">
        <f>+K189*Assumptions!$O$164</f>
        <v>0</v>
      </c>
      <c r="L197" s="854">
        <f>+L189*Assumptions!$O$164</f>
        <v>0</v>
      </c>
      <c r="M197" s="854">
        <f>+M189*Assumptions!$O$164</f>
        <v>0</v>
      </c>
      <c r="N197" s="854">
        <f>+N189*Assumptions!$O$164</f>
        <v>0</v>
      </c>
      <c r="O197" s="854">
        <f>+O189*Assumptions!$O$164</f>
        <v>0</v>
      </c>
      <c r="P197" s="854">
        <f>+P189*Assumptions!$O$164</f>
        <v>0</v>
      </c>
      <c r="Q197" s="854">
        <f>+Q189*Assumptions!$O$164</f>
        <v>0</v>
      </c>
      <c r="R197" s="854">
        <f>+R189*Assumptions!$O$164</f>
        <v>0</v>
      </c>
      <c r="S197" s="854">
        <f>+S189*Assumptions!$O$164</f>
        <v>0</v>
      </c>
      <c r="T197" s="854">
        <f>+T189*Assumptions!$O$164</f>
        <v>0</v>
      </c>
      <c r="U197" s="854">
        <f>+U189*Assumptions!$O$164</f>
        <v>0</v>
      </c>
      <c r="V197" s="854">
        <f>+V189*Assumptions!$O$164</f>
        <v>0</v>
      </c>
      <c r="W197" s="854">
        <f>+W189*Assumptions!$O$164</f>
        <v>0</v>
      </c>
      <c r="X197" s="854">
        <f>+X189*Assumptions!$O$164</f>
        <v>0</v>
      </c>
      <c r="Y197" s="854">
        <f>+Y189*Assumptions!$O$164</f>
        <v>0</v>
      </c>
      <c r="Z197" s="854">
        <f>+Z189*Assumptions!$O$164</f>
        <v>0</v>
      </c>
    </row>
    <row r="198" spans="2:26" s="852" customFormat="1" hidden="1"/>
    <row r="199" spans="2:26" s="852" customFormat="1" hidden="1">
      <c r="B199" s="856" t="s">
        <v>603</v>
      </c>
      <c r="C199" s="856"/>
      <c r="D199" s="856"/>
      <c r="E199" s="856"/>
      <c r="F199" s="857">
        <f ca="1">+F183-F194-F197</f>
        <v>0</v>
      </c>
      <c r="G199" s="857">
        <f t="shared" ref="G199:Z199" ca="1" si="131">+G183-G194-G197</f>
        <v>0</v>
      </c>
      <c r="H199" s="857">
        <f t="shared" ca="1" si="131"/>
        <v>0</v>
      </c>
      <c r="I199" s="857">
        <f t="shared" ca="1" si="131"/>
        <v>-2.7609375000000002E-6</v>
      </c>
      <c r="J199" s="857">
        <f t="shared" ca="1" si="131"/>
        <v>1.959375000000001E-6</v>
      </c>
      <c r="K199" s="857">
        <f t="shared" ca="1" si="131"/>
        <v>1.9593749999999993E-6</v>
      </c>
      <c r="L199" s="857">
        <f t="shared" ca="1" si="131"/>
        <v>2.7431250000000001E-6</v>
      </c>
      <c r="M199" s="857">
        <f t="shared" ca="1" si="131"/>
        <v>2.7431250000000001E-6</v>
      </c>
      <c r="N199" s="857">
        <f t="shared" ca="1" si="131"/>
        <v>2.7431250000000001E-6</v>
      </c>
      <c r="O199" s="857">
        <f t="shared" ca="1" si="131"/>
        <v>2.7431250000000001E-6</v>
      </c>
      <c r="P199" s="857">
        <f t="shared" ca="1" si="131"/>
        <v>2.7431250000000001E-6</v>
      </c>
      <c r="Q199" s="857">
        <f t="shared" ca="1" si="131"/>
        <v>3.6052499999999999E-6</v>
      </c>
      <c r="R199" s="857">
        <f t="shared" ca="1" si="131"/>
        <v>3.6052499999999999E-6</v>
      </c>
      <c r="S199" s="857">
        <f t="shared" ca="1" si="131"/>
        <v>3.6052499999999999E-6</v>
      </c>
      <c r="T199" s="857">
        <f t="shared" ca="1" si="131"/>
        <v>3.6052499999999999E-6</v>
      </c>
      <c r="U199" s="857">
        <f t="shared" ca="1" si="131"/>
        <v>3.6052499999999999E-6</v>
      </c>
      <c r="V199" s="857">
        <f t="shared" ca="1" si="131"/>
        <v>4.5535875000000016E-6</v>
      </c>
      <c r="W199" s="857">
        <f t="shared" ca="1" si="131"/>
        <v>4.5535875000000016E-6</v>
      </c>
      <c r="X199" s="857">
        <f t="shared" ca="1" si="131"/>
        <v>4.5535875000000016E-6</v>
      </c>
      <c r="Y199" s="857">
        <f t="shared" ca="1" si="131"/>
        <v>4.5535875000000016E-6</v>
      </c>
      <c r="Z199" s="857">
        <f t="shared" ca="1" si="131"/>
        <v>4.5535875000000016E-6</v>
      </c>
    </row>
    <row r="200" spans="2:26" s="852" customFormat="1" hidden="1"/>
    <row r="201" spans="2:26" s="852" customFormat="1" hidden="1">
      <c r="B201" s="849" t="s">
        <v>630</v>
      </c>
    </row>
    <row r="202" spans="2:26" s="852" customFormat="1" hidden="1">
      <c r="B202" s="848" t="s">
        <v>605</v>
      </c>
      <c r="F202" s="854">
        <f>+IF(YEAR(F$139)=YEAR(Assumptions!$G$30),F185,0)</f>
        <v>0</v>
      </c>
      <c r="G202" s="854">
        <f>+IF(YEAR(G$139)=YEAR(Assumptions!$G$30),G185,0)</f>
        <v>0</v>
      </c>
      <c r="H202" s="854">
        <f>+IF(YEAR(H$139)=YEAR(Assumptions!$G$30),H185,0)</f>
        <v>0</v>
      </c>
      <c r="I202" s="854">
        <f>+IF(YEAR(I$139)=YEAR(Assumptions!$G$30),I185,0)</f>
        <v>0</v>
      </c>
      <c r="J202" s="854">
        <f>+IF(YEAR(J$139)=YEAR(Assumptions!$G$30),J185,0)</f>
        <v>0</v>
      </c>
      <c r="K202" s="854">
        <f>+IF(YEAR(K$139)=YEAR(Assumptions!$G$30),K185,0)</f>
        <v>0</v>
      </c>
      <c r="L202" s="854">
        <f>+IF(YEAR(L$139)=YEAR(Assumptions!$G$30),L185,0)</f>
        <v>0</v>
      </c>
      <c r="M202" s="854">
        <f>+IF(YEAR(M$139)=YEAR(Assumptions!$G$30),M185,0)</f>
        <v>0</v>
      </c>
      <c r="N202" s="854">
        <f>+IF(YEAR(N$139)=YEAR(Assumptions!$G$30),N185,0)</f>
        <v>0</v>
      </c>
      <c r="O202" s="854">
        <f ca="1">+IF(YEAR(O$139)=YEAR(Assumptions!$G$30),O185,0)</f>
        <v>1.5674999999999999E-4</v>
      </c>
      <c r="P202" s="854">
        <f>+IF(YEAR(P$139)=YEAR(Assumptions!$G$30),P185,0)</f>
        <v>0</v>
      </c>
      <c r="Q202" s="854">
        <f>+IF(YEAR(Q$139)=YEAR(Assumptions!$G$30),Q185,0)</f>
        <v>0</v>
      </c>
      <c r="R202" s="854">
        <f>+IF(YEAR(R$139)=YEAR(Assumptions!$G$30),R185,0)</f>
        <v>0</v>
      </c>
      <c r="S202" s="854">
        <f>+IF(YEAR(S$139)=YEAR(Assumptions!$G$30),S185,0)</f>
        <v>0</v>
      </c>
      <c r="T202" s="854">
        <f>+IF(YEAR(T$139)=YEAR(Assumptions!$G$30),T185,0)</f>
        <v>0</v>
      </c>
      <c r="U202" s="854">
        <f>+IF(YEAR(U$139)=YEAR(Assumptions!$G$30),U185,0)</f>
        <v>0</v>
      </c>
      <c r="V202" s="854">
        <f>+IF(YEAR(V$139)=YEAR(Assumptions!$G$30),V185,0)</f>
        <v>0</v>
      </c>
      <c r="W202" s="854">
        <f>+IF(YEAR(W$139)=YEAR(Assumptions!$G$30),W185,0)</f>
        <v>0</v>
      </c>
      <c r="X202" s="854">
        <f>+IF(YEAR(X$139)=YEAR(Assumptions!$G$30),X185,0)</f>
        <v>0</v>
      </c>
      <c r="Y202" s="854">
        <f>+IF(YEAR(Y$139)=YEAR(Assumptions!$G$30),Y185,0)</f>
        <v>0</v>
      </c>
      <c r="Z202" s="854">
        <f>+IF(YEAR(Z$139)=YEAR(Assumptions!$G$30),Z185,0)</f>
        <v>0</v>
      </c>
    </row>
    <row r="203" spans="2:26" s="852" customFormat="1" hidden="1">
      <c r="B203" s="848" t="s">
        <v>607</v>
      </c>
      <c r="F203" s="855">
        <f>-F202*Assumptions!$O$136</f>
        <v>0</v>
      </c>
      <c r="G203" s="855">
        <f>-G202*Assumptions!$O$136</f>
        <v>0</v>
      </c>
      <c r="H203" s="855">
        <f>-H202*Assumptions!$O$136</f>
        <v>0</v>
      </c>
      <c r="I203" s="855">
        <f>-I202*Assumptions!$O$136</f>
        <v>0</v>
      </c>
      <c r="J203" s="855">
        <f>-J202*Assumptions!$O$136</f>
        <v>0</v>
      </c>
      <c r="K203" s="855">
        <f>-K202*Assumptions!$O$136</f>
        <v>0</v>
      </c>
      <c r="L203" s="855">
        <f>-L202*Assumptions!$O$136</f>
        <v>0</v>
      </c>
      <c r="M203" s="855">
        <f>-M202*Assumptions!$O$136</f>
        <v>0</v>
      </c>
      <c r="N203" s="855">
        <f>-N202*Assumptions!$O$136</f>
        <v>0</v>
      </c>
      <c r="O203" s="855">
        <f ca="1">-O202*Assumptions!$O$136</f>
        <v>-3.1349999999999996E-6</v>
      </c>
      <c r="P203" s="855">
        <f>-P202*Assumptions!$O$136</f>
        <v>0</v>
      </c>
      <c r="Q203" s="855">
        <f>-Q202*Assumptions!$O$136</f>
        <v>0</v>
      </c>
      <c r="R203" s="855">
        <f>-R202*Assumptions!$O$136</f>
        <v>0</v>
      </c>
      <c r="S203" s="855">
        <f>-S202*Assumptions!$O$136</f>
        <v>0</v>
      </c>
      <c r="T203" s="855">
        <f>-T202*Assumptions!$O$136</f>
        <v>0</v>
      </c>
      <c r="U203" s="855">
        <f>-U202*Assumptions!$O$136</f>
        <v>0</v>
      </c>
      <c r="V203" s="855">
        <f>-V202*Assumptions!$O$136</f>
        <v>0</v>
      </c>
      <c r="W203" s="855">
        <f>-W202*Assumptions!$O$136</f>
        <v>0</v>
      </c>
      <c r="X203" s="855">
        <f>-X202*Assumptions!$O$136</f>
        <v>0</v>
      </c>
      <c r="Y203" s="855">
        <f>-Y202*Assumptions!$O$136</f>
        <v>0</v>
      </c>
      <c r="Z203" s="855">
        <f>-Z202*Assumptions!$O$136</f>
        <v>0</v>
      </c>
    </row>
    <row r="204" spans="2:26" s="852" customFormat="1" hidden="1">
      <c r="B204" s="848" t="s">
        <v>608</v>
      </c>
      <c r="F204" s="855">
        <f>+IF(YEAR(F$139)=YEAR(Assumptions!$G$30),-F191,0)</f>
        <v>0</v>
      </c>
      <c r="G204" s="855">
        <f>+IF(YEAR(G$139)=YEAR(Assumptions!$G$30),-G191,0)</f>
        <v>0</v>
      </c>
      <c r="H204" s="855">
        <f>+IF(YEAR(H$139)=YEAR(Assumptions!$G$30),-H191,0)</f>
        <v>0</v>
      </c>
      <c r="I204" s="855">
        <f>+IF(YEAR(I$139)=YEAR(Assumptions!$G$30),-I191,0)</f>
        <v>0</v>
      </c>
      <c r="J204" s="855">
        <f>+IF(YEAR(J$139)=YEAR(Assumptions!$G$30),-J191,0)</f>
        <v>0</v>
      </c>
      <c r="K204" s="855">
        <f>+IF(YEAR(K$139)=YEAR(Assumptions!$G$30),-K191,0)</f>
        <v>0</v>
      </c>
      <c r="L204" s="855">
        <f>+IF(YEAR(L$139)=YEAR(Assumptions!$G$30),-L191,0)</f>
        <v>0</v>
      </c>
      <c r="M204" s="855">
        <f>+IF(YEAR(M$139)=YEAR(Assumptions!$G$30),-M191,0)</f>
        <v>0</v>
      </c>
      <c r="N204" s="855">
        <f>+IF(YEAR(N$139)=YEAR(Assumptions!$G$30),-N191,0)</f>
        <v>0</v>
      </c>
      <c r="O204" s="855">
        <f ca="1">+IF(YEAR(O$139)=YEAR(Assumptions!$G$30),-O191,0)</f>
        <v>-1.06875E-4</v>
      </c>
      <c r="P204" s="855">
        <f>+IF(YEAR(P$139)=YEAR(Assumptions!$G$30),-P191,0)</f>
        <v>0</v>
      </c>
      <c r="Q204" s="855">
        <f>+IF(YEAR(Q$139)=YEAR(Assumptions!$G$30),-Q191,0)</f>
        <v>0</v>
      </c>
      <c r="R204" s="855">
        <f>+IF(YEAR(R$139)=YEAR(Assumptions!$G$30),-R191,0)</f>
        <v>0</v>
      </c>
      <c r="S204" s="855">
        <f>+IF(YEAR(S$139)=YEAR(Assumptions!$G$30),-S191,0)</f>
        <v>0</v>
      </c>
      <c r="T204" s="855">
        <f>+IF(YEAR(T$139)=YEAR(Assumptions!$G$30),-T191,0)</f>
        <v>0</v>
      </c>
      <c r="U204" s="855">
        <f>+IF(YEAR(U$139)=YEAR(Assumptions!$G$30),-U191,0)</f>
        <v>0</v>
      </c>
      <c r="V204" s="855">
        <f>+IF(YEAR(V$139)=YEAR(Assumptions!$G$30),-V191,0)</f>
        <v>0</v>
      </c>
      <c r="W204" s="855">
        <f>+IF(YEAR(W$139)=YEAR(Assumptions!$G$30),-W191,0)</f>
        <v>0</v>
      </c>
      <c r="X204" s="855">
        <f>+IF(YEAR(X$139)=YEAR(Assumptions!$G$30),-X191,0)</f>
        <v>0</v>
      </c>
      <c r="Y204" s="855">
        <f>+IF(YEAR(Y$139)=YEAR(Assumptions!$G$30),-Y191,0)</f>
        <v>0</v>
      </c>
      <c r="Z204" s="855">
        <f>+IF(YEAR(Z$139)=YEAR(Assumptions!$G$30),-Z191,0)</f>
        <v>0</v>
      </c>
    </row>
    <row r="205" spans="2:26" s="852" customFormat="1" hidden="1">
      <c r="B205" s="856" t="s">
        <v>609</v>
      </c>
      <c r="C205" s="856"/>
      <c r="D205" s="856"/>
      <c r="E205" s="856"/>
      <c r="F205" s="857">
        <f t="shared" ref="F205:Z205" si="132">+SUM(F202:F204)</f>
        <v>0</v>
      </c>
      <c r="G205" s="857">
        <f t="shared" si="132"/>
        <v>0</v>
      </c>
      <c r="H205" s="857">
        <f t="shared" si="132"/>
        <v>0</v>
      </c>
      <c r="I205" s="857">
        <f t="shared" si="132"/>
        <v>0</v>
      </c>
      <c r="J205" s="857">
        <f t="shared" si="132"/>
        <v>0</v>
      </c>
      <c r="K205" s="857">
        <f t="shared" si="132"/>
        <v>0</v>
      </c>
      <c r="L205" s="857">
        <f t="shared" si="132"/>
        <v>0</v>
      </c>
      <c r="M205" s="857">
        <f t="shared" si="132"/>
        <v>0</v>
      </c>
      <c r="N205" s="857">
        <f t="shared" si="132"/>
        <v>0</v>
      </c>
      <c r="O205" s="857">
        <f t="shared" ca="1" si="132"/>
        <v>4.673999999999999E-5</v>
      </c>
      <c r="P205" s="857">
        <f t="shared" si="132"/>
        <v>0</v>
      </c>
      <c r="Q205" s="857">
        <f t="shared" si="132"/>
        <v>0</v>
      </c>
      <c r="R205" s="857">
        <f t="shared" si="132"/>
        <v>0</v>
      </c>
      <c r="S205" s="857">
        <f t="shared" si="132"/>
        <v>0</v>
      </c>
      <c r="T205" s="857">
        <f t="shared" si="132"/>
        <v>0</v>
      </c>
      <c r="U205" s="857">
        <f t="shared" si="132"/>
        <v>0</v>
      </c>
      <c r="V205" s="857">
        <f t="shared" si="132"/>
        <v>0</v>
      </c>
      <c r="W205" s="857">
        <f t="shared" si="132"/>
        <v>0</v>
      </c>
      <c r="X205" s="857">
        <f t="shared" si="132"/>
        <v>0</v>
      </c>
      <c r="Y205" s="857">
        <f t="shared" si="132"/>
        <v>0</v>
      </c>
      <c r="Z205" s="857">
        <f t="shared" si="132"/>
        <v>0</v>
      </c>
    </row>
    <row r="206" spans="2:26" s="852" customFormat="1" hidden="1"/>
    <row r="207" spans="2:26" s="852" customFormat="1" hidden="1">
      <c r="B207" s="860" t="s">
        <v>611</v>
      </c>
      <c r="C207" s="860"/>
      <c r="D207" s="860"/>
      <c r="E207" s="860"/>
      <c r="F207" s="851">
        <f ca="1">+IF(YEAR(F$139)&lt;=YEAR(Assumptions!$G$30),'Phase II Pro Forma'!F205+'Phase II Pro Forma'!F199,0)</f>
        <v>0</v>
      </c>
      <c r="G207" s="851">
        <f ca="1">+IF(YEAR(G$139)&lt;=YEAR(Assumptions!$G$30),'Phase II Pro Forma'!G205+'Phase II Pro Forma'!G199,0)</f>
        <v>0</v>
      </c>
      <c r="H207" s="851">
        <f ca="1">+IF(YEAR(H$139)&lt;=YEAR(Assumptions!$G$30),'Phase II Pro Forma'!H205+'Phase II Pro Forma'!H199,0)</f>
        <v>0</v>
      </c>
      <c r="I207" s="851">
        <f ca="1">+IF(YEAR(I$139)&lt;=YEAR(Assumptions!$G$30),'Phase II Pro Forma'!I205+'Phase II Pro Forma'!I199,0)</f>
        <v>-2.7609375000000002E-6</v>
      </c>
      <c r="J207" s="851">
        <f ca="1">+IF(YEAR(J$139)&lt;=YEAR(Assumptions!$G$30),'Phase II Pro Forma'!J205+'Phase II Pro Forma'!J199,0)</f>
        <v>1.959375000000001E-6</v>
      </c>
      <c r="K207" s="851">
        <f ca="1">+IF(YEAR(K$139)&lt;=YEAR(Assumptions!$G$30),'Phase II Pro Forma'!K205+'Phase II Pro Forma'!K199,0)</f>
        <v>1.9593749999999993E-6</v>
      </c>
      <c r="L207" s="851">
        <f ca="1">+IF(YEAR(L$139)&lt;=YEAR(Assumptions!$G$30),'Phase II Pro Forma'!L205+'Phase II Pro Forma'!L199,0)</f>
        <v>2.7431250000000001E-6</v>
      </c>
      <c r="M207" s="851">
        <f ca="1">+IF(YEAR(M$139)&lt;=YEAR(Assumptions!$G$30),'Phase II Pro Forma'!M205+'Phase II Pro Forma'!M199,0)</f>
        <v>2.7431250000000001E-6</v>
      </c>
      <c r="N207" s="851">
        <f ca="1">+IF(YEAR(N$139)&lt;=YEAR(Assumptions!$G$30),'Phase II Pro Forma'!N205+'Phase II Pro Forma'!N199,0)</f>
        <v>2.7431250000000001E-6</v>
      </c>
      <c r="O207" s="851">
        <f ca="1">+IF(YEAR(O$139)&lt;=YEAR(Assumptions!$G$30),'Phase II Pro Forma'!O205+'Phase II Pro Forma'!O199,0)</f>
        <v>4.9483124999999989E-5</v>
      </c>
      <c r="P207" s="851">
        <f>+IF(YEAR(P$139)&lt;=YEAR(Assumptions!$G$30),'Phase II Pro Forma'!P205+'Phase II Pro Forma'!P199,0)</f>
        <v>0</v>
      </c>
      <c r="Q207" s="851">
        <f>+IF(YEAR(Q$139)&lt;=YEAR(Assumptions!$G$30),'Phase II Pro Forma'!Q205+'Phase II Pro Forma'!Q199,0)</f>
        <v>0</v>
      </c>
      <c r="R207" s="851">
        <f>+IF(YEAR(R$139)&lt;=YEAR(Assumptions!$G$30),'Phase II Pro Forma'!R205+'Phase II Pro Forma'!R199,0)</f>
        <v>0</v>
      </c>
      <c r="S207" s="851">
        <f>+IF(YEAR(S$139)&lt;=YEAR(Assumptions!$G$30),'Phase II Pro Forma'!S205+'Phase II Pro Forma'!S199,0)</f>
        <v>0</v>
      </c>
      <c r="T207" s="851">
        <f>+IF(YEAR(T$139)&lt;=YEAR(Assumptions!$G$30),'Phase II Pro Forma'!T205+'Phase II Pro Forma'!T199,0)</f>
        <v>0</v>
      </c>
      <c r="U207" s="851">
        <f>+IF(YEAR(U$139)&lt;=YEAR(Assumptions!$G$30),'Phase II Pro Forma'!U205+'Phase II Pro Forma'!U199,0)</f>
        <v>0</v>
      </c>
      <c r="V207" s="851">
        <f>+IF(YEAR(V$139)&lt;=YEAR(Assumptions!$G$30),'Phase II Pro Forma'!V205+'Phase II Pro Forma'!V199,0)</f>
        <v>0</v>
      </c>
      <c r="W207" s="851">
        <f>+IF(YEAR(W$139)&lt;=YEAR(Assumptions!$G$30),'Phase II Pro Forma'!W205+'Phase II Pro Forma'!W199,0)</f>
        <v>0</v>
      </c>
      <c r="X207" s="851">
        <f>+IF(YEAR(X$139)&lt;=YEAR(Assumptions!$G$30),'Phase II Pro Forma'!X205+'Phase II Pro Forma'!X199,0)</f>
        <v>0</v>
      </c>
      <c r="Y207" s="851">
        <f>+IF(YEAR(Y$139)&lt;=YEAR(Assumptions!$G$30),'Phase II Pro Forma'!Y205+'Phase II Pro Forma'!Y199,0)</f>
        <v>0</v>
      </c>
      <c r="Z207" s="851">
        <f>+IF(YEAR(Z$139)&lt;=YEAR(Assumptions!$G$30),'Phase II Pro Forma'!Z205+'Phase II Pro Forma'!Z199,0)</f>
        <v>0</v>
      </c>
    </row>
    <row r="208" spans="2:26" s="852" customFormat="1" hidden="1"/>
    <row r="209" spans="2:26" s="538" customFormat="1">
      <c r="B209" s="863" t="s">
        <v>631</v>
      </c>
      <c r="C209" s="863"/>
      <c r="D209" s="863"/>
      <c r="E209" s="863"/>
      <c r="F209" s="864">
        <f ca="1">F161</f>
        <v>0</v>
      </c>
      <c r="G209" s="864">
        <f t="shared" ref="G209:Z209" ca="1" si="133">G161</f>
        <v>0</v>
      </c>
      <c r="H209" s="864">
        <f t="shared" ca="1" si="133"/>
        <v>0</v>
      </c>
      <c r="I209" s="864">
        <f t="shared" ca="1" si="133"/>
        <v>207308926.00587893</v>
      </c>
      <c r="J209" s="864">
        <f t="shared" ca="1" si="133"/>
        <v>6085337.3423324972</v>
      </c>
      <c r="K209" s="864">
        <f t="shared" ca="1" si="133"/>
        <v>6397966.3186974339</v>
      </c>
      <c r="L209" s="864">
        <f t="shared" ca="1" si="133"/>
        <v>8640304.1386130154</v>
      </c>
      <c r="M209" s="864">
        <f t="shared" ca="1" si="133"/>
        <v>8972685.1476414427</v>
      </c>
      <c r="N209" s="864">
        <f t="shared" ca="1" si="133"/>
        <v>9314962.9447696544</v>
      </c>
      <c r="O209" s="864">
        <f t="shared" ca="1" si="133"/>
        <v>259720023.40841848</v>
      </c>
      <c r="P209" s="864">
        <f t="shared" si="133"/>
        <v>0</v>
      </c>
      <c r="Q209" s="864">
        <f t="shared" si="133"/>
        <v>0</v>
      </c>
      <c r="R209" s="864">
        <f t="shared" si="133"/>
        <v>0</v>
      </c>
      <c r="S209" s="864">
        <f t="shared" si="133"/>
        <v>0</v>
      </c>
      <c r="T209" s="864">
        <f t="shared" si="133"/>
        <v>0</v>
      </c>
      <c r="U209" s="864">
        <f t="shared" si="133"/>
        <v>0</v>
      </c>
      <c r="V209" s="864">
        <f t="shared" si="133"/>
        <v>0</v>
      </c>
      <c r="W209" s="864">
        <f t="shared" si="133"/>
        <v>0</v>
      </c>
      <c r="X209" s="864">
        <f t="shared" si="133"/>
        <v>0</v>
      </c>
      <c r="Y209" s="864">
        <f t="shared" si="133"/>
        <v>0</v>
      </c>
      <c r="Z209" s="864">
        <f t="shared" si="133"/>
        <v>0</v>
      </c>
    </row>
    <row r="210" spans="2:26" s="538" customFormat="1"/>
    <row r="211" spans="2:26" s="538" customFormat="1">
      <c r="B211" s="538" t="s">
        <v>632</v>
      </c>
      <c r="F211" s="819">
        <f t="shared" ref="F211:Z211" si="134">F155+F233</f>
        <v>0</v>
      </c>
      <c r="G211" s="819">
        <f t="shared" ca="1" si="134"/>
        <v>73173665.917189285</v>
      </c>
      <c r="H211" s="819">
        <f t="shared" ca="1" si="134"/>
        <v>28192631.602605008</v>
      </c>
      <c r="I211" s="819">
        <f t="shared" ca="1" si="134"/>
        <v>218444987.22674948</v>
      </c>
      <c r="J211" s="819">
        <f t="shared" si="134"/>
        <v>0</v>
      </c>
      <c r="K211" s="819">
        <f t="shared" si="134"/>
        <v>0</v>
      </c>
      <c r="L211" s="819">
        <f t="shared" si="134"/>
        <v>0</v>
      </c>
      <c r="M211" s="819">
        <f t="shared" si="134"/>
        <v>0</v>
      </c>
      <c r="N211" s="819">
        <f t="shared" si="134"/>
        <v>0</v>
      </c>
      <c r="O211" s="819">
        <f t="shared" si="134"/>
        <v>0</v>
      </c>
      <c r="P211" s="819">
        <f t="shared" si="134"/>
        <v>0</v>
      </c>
      <c r="Q211" s="819">
        <f t="shared" si="134"/>
        <v>0</v>
      </c>
      <c r="R211" s="819">
        <f t="shared" si="134"/>
        <v>0</v>
      </c>
      <c r="S211" s="819">
        <f t="shared" si="134"/>
        <v>0</v>
      </c>
      <c r="T211" s="819">
        <f t="shared" si="134"/>
        <v>0</v>
      </c>
      <c r="U211" s="819">
        <f t="shared" si="134"/>
        <v>0</v>
      </c>
      <c r="V211" s="819">
        <f t="shared" si="134"/>
        <v>0</v>
      </c>
      <c r="W211" s="819">
        <f t="shared" si="134"/>
        <v>0</v>
      </c>
      <c r="X211" s="819">
        <f t="shared" si="134"/>
        <v>0</v>
      </c>
      <c r="Y211" s="819">
        <f t="shared" si="134"/>
        <v>0</v>
      </c>
      <c r="Z211" s="819">
        <f t="shared" si="134"/>
        <v>0</v>
      </c>
    </row>
    <row r="212" spans="2:26" s="538" customFormat="1">
      <c r="B212" s="538" t="s">
        <v>602</v>
      </c>
      <c r="F212" s="819">
        <f ca="1">F146</f>
        <v>0</v>
      </c>
      <c r="G212" s="819">
        <f t="shared" ref="G212:Z212" ca="1" si="135">G146</f>
        <v>0</v>
      </c>
      <c r="H212" s="819">
        <f t="shared" ca="1" si="135"/>
        <v>0</v>
      </c>
      <c r="I212" s="819">
        <f t="shared" ca="1" si="135"/>
        <v>23233941.71906995</v>
      </c>
      <c r="J212" s="819">
        <f t="shared" ca="1" si="135"/>
        <v>23233941.719069947</v>
      </c>
      <c r="K212" s="819">
        <f t="shared" ca="1" si="135"/>
        <v>23233941.719069947</v>
      </c>
      <c r="L212" s="819">
        <f t="shared" ca="1" si="135"/>
        <v>23233941.71906995</v>
      </c>
      <c r="M212" s="819">
        <f t="shared" ca="1" si="135"/>
        <v>23233941.719069947</v>
      </c>
      <c r="N212" s="819">
        <f t="shared" ca="1" si="135"/>
        <v>23233941.719069947</v>
      </c>
      <c r="O212" s="819">
        <f t="shared" ca="1" si="135"/>
        <v>23233941.71906995</v>
      </c>
      <c r="P212" s="819">
        <f t="shared" ca="1" si="135"/>
        <v>23233941.71906995</v>
      </c>
      <c r="Q212" s="819">
        <f t="shared" ca="1" si="135"/>
        <v>23233941.71906995</v>
      </c>
      <c r="R212" s="819">
        <f t="shared" ca="1" si="135"/>
        <v>23233941.719069947</v>
      </c>
      <c r="S212" s="819">
        <f t="shared" ca="1" si="135"/>
        <v>23233941.719069947</v>
      </c>
      <c r="T212" s="819">
        <f t="shared" ca="1" si="135"/>
        <v>23233941.719069947</v>
      </c>
      <c r="U212" s="819">
        <f t="shared" ca="1" si="135"/>
        <v>23233941.71906995</v>
      </c>
      <c r="V212" s="819">
        <f t="shared" ca="1" si="135"/>
        <v>23233941.71906995</v>
      </c>
      <c r="W212" s="819">
        <f t="shared" ca="1" si="135"/>
        <v>23233941.719069947</v>
      </c>
      <c r="X212" s="819">
        <f t="shared" ca="1" si="135"/>
        <v>23233941.71906995</v>
      </c>
      <c r="Y212" s="819">
        <f t="shared" ca="1" si="135"/>
        <v>23233941.719069947</v>
      </c>
      <c r="Z212" s="819">
        <f t="shared" ca="1" si="135"/>
        <v>23233941.71906995</v>
      </c>
    </row>
    <row r="214" spans="2:26">
      <c r="B214" s="440" t="s">
        <v>634</v>
      </c>
      <c r="C214" s="441"/>
      <c r="D214" s="441"/>
      <c r="E214" s="441"/>
      <c r="F214" s="611"/>
      <c r="G214" s="611"/>
      <c r="H214" s="611"/>
      <c r="I214" s="611"/>
      <c r="J214" s="611"/>
      <c r="K214" s="611"/>
      <c r="L214" s="611"/>
      <c r="M214" s="611"/>
      <c r="N214" s="611"/>
      <c r="O214" s="611"/>
      <c r="P214" s="611"/>
      <c r="Q214" s="611"/>
      <c r="R214" s="611"/>
      <c r="S214" s="611"/>
      <c r="T214" s="611"/>
      <c r="U214" s="611"/>
      <c r="V214" s="611"/>
      <c r="W214" s="611"/>
      <c r="X214" s="611"/>
      <c r="Y214" s="611"/>
      <c r="Z214" s="611"/>
    </row>
    <row r="216" spans="2:26">
      <c r="B216" s="73" t="s">
        <v>635</v>
      </c>
      <c r="F216" s="75">
        <f>+Assumptions!$G$22</f>
        <v>44926</v>
      </c>
      <c r="G216" s="75">
        <f>+EOMONTH(F216,12)</f>
        <v>45291</v>
      </c>
      <c r="H216" s="75">
        <f t="shared" ref="H216:Z216" si="136">+EOMONTH(G216,12)</f>
        <v>45657</v>
      </c>
      <c r="I216" s="75">
        <f t="shared" si="136"/>
        <v>46022</v>
      </c>
      <c r="J216" s="75">
        <f t="shared" si="136"/>
        <v>46387</v>
      </c>
      <c r="K216" s="75">
        <f t="shared" si="136"/>
        <v>46752</v>
      </c>
      <c r="L216" s="75">
        <f t="shared" si="136"/>
        <v>47118</v>
      </c>
      <c r="M216" s="75">
        <f t="shared" si="136"/>
        <v>47483</v>
      </c>
      <c r="N216" s="75">
        <f t="shared" si="136"/>
        <v>47848</v>
      </c>
      <c r="O216" s="75">
        <f t="shared" si="136"/>
        <v>48213</v>
      </c>
      <c r="P216" s="75">
        <f t="shared" si="136"/>
        <v>48579</v>
      </c>
      <c r="Q216" s="75">
        <f t="shared" si="136"/>
        <v>48944</v>
      </c>
      <c r="R216" s="75">
        <f t="shared" si="136"/>
        <v>49309</v>
      </c>
      <c r="S216" s="75">
        <f t="shared" si="136"/>
        <v>49674</v>
      </c>
      <c r="T216" s="75">
        <f t="shared" si="136"/>
        <v>50040</v>
      </c>
      <c r="U216" s="75">
        <f t="shared" si="136"/>
        <v>50405</v>
      </c>
      <c r="V216" s="75">
        <f t="shared" si="136"/>
        <v>50770</v>
      </c>
      <c r="W216" s="75">
        <f t="shared" si="136"/>
        <v>51135</v>
      </c>
      <c r="X216" s="75">
        <f t="shared" si="136"/>
        <v>51501</v>
      </c>
      <c r="Y216" s="75">
        <f t="shared" si="136"/>
        <v>51866</v>
      </c>
      <c r="Z216" s="75">
        <f t="shared" si="136"/>
        <v>52231</v>
      </c>
    </row>
    <row r="217" spans="2:26">
      <c r="B217" s="15" t="s">
        <v>254</v>
      </c>
      <c r="D217" s="26">
        <f>+SUM(F217:Z217)</f>
        <v>86708931</v>
      </c>
      <c r="E217" s="26"/>
      <c r="F217" s="16">
        <f>+IF(AND(F$216&gt;=Assumptions!$G$22,F$216&lt;Assumptions!$G$24),'S&amp;U'!$I7/ROUNDUP(Assumptions!$G$23/12,0),IF(AND(F$216&gt;=Assumptions!$G$24,F$216&lt;Assumptions!$G$26),'S&amp;U'!$I39/ROUNDUP(Assumptions!$G$25/12,0),0))</f>
        <v>86708931</v>
      </c>
      <c r="G217" s="16">
        <f>+IF(AND(G$216&gt;=Assumptions!$G$22,G$216&lt;Assumptions!$G$24),'S&amp;U'!$I7/ROUNDUP(Assumptions!$G$23/12,0),IF(AND(G$216&gt;=Assumptions!$G$24,G$216&lt;Assumptions!$G$26),'S&amp;U'!$I39/ROUNDUP(Assumptions!$G$25/12,0),0))</f>
        <v>0</v>
      </c>
      <c r="H217" s="16">
        <f>+IF(AND(H$216&gt;=Assumptions!$G$22,H$216&lt;Assumptions!$G$24),'S&amp;U'!$I7/ROUNDUP(Assumptions!$G$23/12,0),IF(AND(H$216&gt;=Assumptions!$G$24,H$216&lt;Assumptions!$G$26),'S&amp;U'!$I39/ROUNDUP(Assumptions!$G$25/12,0),0))</f>
        <v>0</v>
      </c>
      <c r="I217" s="16">
        <f>+IF(AND(I$216&gt;=Assumptions!$G$22,I$216&lt;Assumptions!$G$24),'S&amp;U'!$I7/ROUNDUP(Assumptions!$G$23/12,0),IF(AND(I$216&gt;=Assumptions!$G$24,I$216&lt;Assumptions!$G$26),'S&amp;U'!$I39/ROUNDUP(Assumptions!$G$25/12,0),0))</f>
        <v>0</v>
      </c>
      <c r="J217" s="16">
        <f>+IF(AND(J$216&gt;=Assumptions!$G$22,J$216&lt;Assumptions!$G$24),'S&amp;U'!$I7/ROUNDUP(Assumptions!$G$23/12,0),IF(AND(J$216&gt;=Assumptions!$G$24,J$216&lt;Assumptions!$G$26),'S&amp;U'!$I39/ROUNDUP(Assumptions!$G$25/12,0),0))</f>
        <v>0</v>
      </c>
      <c r="K217" s="16">
        <f>+IF(AND(K$216&gt;=Assumptions!$G$22,K$216&lt;Assumptions!$G$24),'S&amp;U'!$I7/ROUNDUP(Assumptions!$G$23/12,0),IF(AND(K$216&gt;=Assumptions!$G$24,K$216&lt;Assumptions!$G$26),'S&amp;U'!$I39/ROUNDUP(Assumptions!$G$25/12,0),0))</f>
        <v>0</v>
      </c>
      <c r="L217" s="16">
        <f>+IF(AND(L$216&gt;=Assumptions!$G$22,L$216&lt;Assumptions!$G$24),'S&amp;U'!$I7/ROUNDUP(Assumptions!$G$23/12,0),IF(AND(L$216&gt;=Assumptions!$G$24,L$216&lt;Assumptions!$G$26),'S&amp;U'!$I39/ROUNDUP(Assumptions!$G$25/12,0),0))</f>
        <v>0</v>
      </c>
      <c r="M217" s="16">
        <f>+IF(AND(M$216&gt;=Assumptions!$G$22,M$216&lt;Assumptions!$G$24),'S&amp;U'!$I7/ROUNDUP(Assumptions!$G$23/12,0),IF(AND(M$216&gt;=Assumptions!$G$24,M$216&lt;Assumptions!$G$26),'S&amp;U'!$I39/ROUNDUP(Assumptions!$G$25/12,0),0))</f>
        <v>0</v>
      </c>
      <c r="N217" s="16">
        <f>+IF(AND(N$216&gt;=Assumptions!$G$22,N$216&lt;Assumptions!$G$24),'S&amp;U'!$I7/ROUNDUP(Assumptions!$G$23/12,0),IF(AND(N$216&gt;=Assumptions!$G$24,N$216&lt;Assumptions!$G$26),'S&amp;U'!$I39/ROUNDUP(Assumptions!$G$25/12,0),0))</f>
        <v>0</v>
      </c>
      <c r="O217" s="16">
        <f>+IF(AND(O$216&gt;=Assumptions!$G$22,O$216&lt;Assumptions!$G$24),'S&amp;U'!$I7/ROUNDUP(Assumptions!$G$23/12,0),IF(AND(O$216&gt;=Assumptions!$G$24,O$216&lt;Assumptions!$G$26),'S&amp;U'!$I39/ROUNDUP(Assumptions!$G$25/12,0),0))</f>
        <v>0</v>
      </c>
      <c r="P217" s="16">
        <f>+IF(AND(P$216&gt;=Assumptions!$G$22,P$216&lt;Assumptions!$G$24),'S&amp;U'!$I7/ROUNDUP(Assumptions!$G$23/12,0),IF(AND(P$216&gt;=Assumptions!$G$24,P$216&lt;Assumptions!$G$26),'S&amp;U'!$I39/ROUNDUP(Assumptions!$G$25/12,0),0))</f>
        <v>0</v>
      </c>
      <c r="Q217" s="16">
        <f>+IF(AND(Q$216&gt;=Assumptions!$G$22,Q$216&lt;Assumptions!$G$24),'S&amp;U'!$I7/ROUNDUP(Assumptions!$G$23/12,0),IF(AND(Q$216&gt;=Assumptions!$G$24,Q$216&lt;Assumptions!$G$26),'S&amp;U'!$I39/ROUNDUP(Assumptions!$G$25/12,0),0))</f>
        <v>0</v>
      </c>
      <c r="R217" s="16">
        <f>+IF(AND(R$216&gt;=Assumptions!$G$22,R$216&lt;Assumptions!$G$24),'S&amp;U'!$I7/ROUNDUP(Assumptions!$G$23/12,0),IF(AND(R$216&gt;=Assumptions!$G$24,R$216&lt;Assumptions!$G$26),'S&amp;U'!$I39/ROUNDUP(Assumptions!$G$25/12,0),0))</f>
        <v>0</v>
      </c>
      <c r="S217" s="16">
        <f>+IF(AND(S$216&gt;=Assumptions!$G$22,S$216&lt;Assumptions!$G$24),'S&amp;U'!$I7/ROUNDUP(Assumptions!$G$23/12,0),IF(AND(S$216&gt;=Assumptions!$G$24,S$216&lt;Assumptions!$G$26),'S&amp;U'!$I39/ROUNDUP(Assumptions!$G$25/12,0),0))</f>
        <v>0</v>
      </c>
      <c r="T217" s="16">
        <f>+IF(AND(T$216&gt;=Assumptions!$G$22,T$216&lt;Assumptions!$G$24),'S&amp;U'!$I7/ROUNDUP(Assumptions!$G$23/12,0),IF(AND(T$216&gt;=Assumptions!$G$24,T$216&lt;Assumptions!$G$26),'S&amp;U'!$I39/ROUNDUP(Assumptions!$G$25/12,0),0))</f>
        <v>0</v>
      </c>
      <c r="U217" s="16">
        <f>+IF(AND(U$216&gt;=Assumptions!$G$22,U$216&lt;Assumptions!$G$24),'S&amp;U'!$I7/ROUNDUP(Assumptions!$G$23/12,0),IF(AND(U$216&gt;=Assumptions!$G$24,U$216&lt;Assumptions!$G$26),'S&amp;U'!$I39/ROUNDUP(Assumptions!$G$25/12,0),0))</f>
        <v>0</v>
      </c>
      <c r="V217" s="16">
        <f>+IF(AND(V$216&gt;=Assumptions!$G$22,V$216&lt;Assumptions!$G$24),'S&amp;U'!$I7/ROUNDUP(Assumptions!$G$23/12,0),IF(AND(V$216&gt;=Assumptions!$G$24,V$216&lt;Assumptions!$G$26),'S&amp;U'!$I39/ROUNDUP(Assumptions!$G$25/12,0),0))</f>
        <v>0</v>
      </c>
      <c r="W217" s="16">
        <f>+IF(AND(W$216&gt;=Assumptions!$G$22,W$216&lt;Assumptions!$G$24),'S&amp;U'!$I7/ROUNDUP(Assumptions!$G$23/12,0),IF(AND(W$216&gt;=Assumptions!$G$24,W$216&lt;Assumptions!$G$26),'S&amp;U'!$I39/ROUNDUP(Assumptions!$G$25/12,0),0))</f>
        <v>0</v>
      </c>
      <c r="X217" s="16">
        <f>+IF(AND(X$216&gt;=Assumptions!$G$22,X$216&lt;Assumptions!$G$24),'S&amp;U'!$I7/ROUNDUP(Assumptions!$G$23/12,0),IF(AND(X$216&gt;=Assumptions!$G$24,X$216&lt;Assumptions!$G$26),'S&amp;U'!$I39/ROUNDUP(Assumptions!$G$25/12,0),0))</f>
        <v>0</v>
      </c>
      <c r="Y217" s="16">
        <f>+IF(AND(Y$216&gt;=Assumptions!$G$22,Y$216&lt;Assumptions!$G$24),'S&amp;U'!$I7/ROUNDUP(Assumptions!$G$23/12,0),IF(AND(Y$216&gt;=Assumptions!$G$24,Y$216&lt;Assumptions!$G$26),'S&amp;U'!$I39/ROUNDUP(Assumptions!$G$25/12,0),0))</f>
        <v>0</v>
      </c>
      <c r="Z217" s="16">
        <f>+IF(AND(Z$216&gt;=Assumptions!$G$22,Z$216&lt;Assumptions!$G$24),'S&amp;U'!$I7/ROUNDUP(Assumptions!$G$23/12,0),IF(AND(Z$216&gt;=Assumptions!$G$24,Z$216&lt;Assumptions!$G$26),'S&amp;U'!$I39/ROUNDUP(Assumptions!$G$25/12,0),0))</f>
        <v>0</v>
      </c>
    </row>
    <row r="218" spans="2:26">
      <c r="B218" s="15" t="s">
        <v>255</v>
      </c>
      <c r="D218" s="26">
        <f t="shared" ref="D218:D223" si="137">+SUM(F218:Z218)</f>
        <v>7301355</v>
      </c>
      <c r="E218" s="26"/>
      <c r="F218" s="76">
        <f>+IF(AND(F$216&gt;=Assumptions!$G$22,F$216&lt;Assumptions!$G$24),'S&amp;U'!$I8/ROUNDUP(Assumptions!$G$23/12,0),IF(AND(F$216&gt;=Assumptions!$G$24,F$216&lt;Assumptions!$G$26),'S&amp;U'!$I40/ROUNDUP(Assumptions!$G$25/12,0),0))</f>
        <v>7301355</v>
      </c>
      <c r="G218" s="76">
        <f>+IF(AND(G$216&gt;=Assumptions!$G$22,G$216&lt;Assumptions!$G$24),'S&amp;U'!$I8/ROUNDUP(Assumptions!$G$23/12,0),IF(AND(G$216&gt;=Assumptions!$G$24,G$216&lt;Assumptions!$G$26),'S&amp;U'!$I40/ROUNDUP(Assumptions!$G$25/12,0),0))</f>
        <v>0</v>
      </c>
      <c r="H218" s="76">
        <f>+IF(AND(H$216&gt;=Assumptions!$G$22,H$216&lt;Assumptions!$G$24),'S&amp;U'!$I8/ROUNDUP(Assumptions!$G$23/12,0),IF(AND(H$216&gt;=Assumptions!$G$24,H$216&lt;Assumptions!$G$26),'S&amp;U'!$I40/ROUNDUP(Assumptions!$G$25/12,0),0))</f>
        <v>0</v>
      </c>
      <c r="I218" s="76">
        <f>+IF(AND(I$216&gt;=Assumptions!$G$22,I$216&lt;Assumptions!$G$24),'S&amp;U'!$I8/ROUNDUP(Assumptions!$G$23/12,0),IF(AND(I$216&gt;=Assumptions!$G$24,I$216&lt;Assumptions!$G$26),'S&amp;U'!$I40/ROUNDUP(Assumptions!$G$25/12,0),0))</f>
        <v>0</v>
      </c>
      <c r="J218" s="76">
        <f>+IF(AND(J$216&gt;=Assumptions!$G$22,J$216&lt;Assumptions!$G$24),'S&amp;U'!$I8/ROUNDUP(Assumptions!$G$23/12,0),IF(AND(J$216&gt;=Assumptions!$G$24,J$216&lt;Assumptions!$G$26),'S&amp;U'!$I40/ROUNDUP(Assumptions!$G$25/12,0),0))</f>
        <v>0</v>
      </c>
      <c r="K218" s="76">
        <f>+IF(AND(K$216&gt;=Assumptions!$G$22,K$216&lt;Assumptions!$G$24),'S&amp;U'!$I8/ROUNDUP(Assumptions!$G$23/12,0),IF(AND(K$216&gt;=Assumptions!$G$24,K$216&lt;Assumptions!$G$26),'S&amp;U'!$I40/ROUNDUP(Assumptions!$G$25/12,0),0))</f>
        <v>0</v>
      </c>
      <c r="L218" s="76">
        <f>+IF(AND(L$216&gt;=Assumptions!$G$22,L$216&lt;Assumptions!$G$24),'S&amp;U'!$I8/ROUNDUP(Assumptions!$G$23/12,0),IF(AND(L$216&gt;=Assumptions!$G$24,L$216&lt;Assumptions!$G$26),'S&amp;U'!$I40/ROUNDUP(Assumptions!$G$25/12,0),0))</f>
        <v>0</v>
      </c>
      <c r="M218" s="76">
        <f>+IF(AND(M$216&gt;=Assumptions!$G$22,M$216&lt;Assumptions!$G$24),'S&amp;U'!$I8/ROUNDUP(Assumptions!$G$23/12,0),IF(AND(M$216&gt;=Assumptions!$G$24,M$216&lt;Assumptions!$G$26),'S&amp;U'!$I40/ROUNDUP(Assumptions!$G$25/12,0),0))</f>
        <v>0</v>
      </c>
      <c r="N218" s="76">
        <f>+IF(AND(N$216&gt;=Assumptions!$G$22,N$216&lt;Assumptions!$G$24),'S&amp;U'!$I8/ROUNDUP(Assumptions!$G$23/12,0),IF(AND(N$216&gt;=Assumptions!$G$24,N$216&lt;Assumptions!$G$26),'S&amp;U'!$I40/ROUNDUP(Assumptions!$G$25/12,0),0))</f>
        <v>0</v>
      </c>
      <c r="O218" s="76">
        <f>+IF(AND(O$216&gt;=Assumptions!$G$22,O$216&lt;Assumptions!$G$24),'S&amp;U'!$I8/ROUNDUP(Assumptions!$G$23/12,0),IF(AND(O$216&gt;=Assumptions!$G$24,O$216&lt;Assumptions!$G$26),'S&amp;U'!$I40/ROUNDUP(Assumptions!$G$25/12,0),0))</f>
        <v>0</v>
      </c>
      <c r="P218" s="76">
        <f>+IF(AND(P$216&gt;=Assumptions!$G$22,P$216&lt;Assumptions!$G$24),'S&amp;U'!$I8/ROUNDUP(Assumptions!$G$23/12,0),IF(AND(P$216&gt;=Assumptions!$G$24,P$216&lt;Assumptions!$G$26),'S&amp;U'!$I40/ROUNDUP(Assumptions!$G$25/12,0),0))</f>
        <v>0</v>
      </c>
      <c r="Q218" s="76">
        <f>+IF(AND(Q$216&gt;=Assumptions!$G$22,Q$216&lt;Assumptions!$G$24),'S&amp;U'!$I8/ROUNDUP(Assumptions!$G$23/12,0),IF(AND(Q$216&gt;=Assumptions!$G$24,Q$216&lt;Assumptions!$G$26),'S&amp;U'!$I40/ROUNDUP(Assumptions!$G$25/12,0),0))</f>
        <v>0</v>
      </c>
      <c r="R218" s="76">
        <f>+IF(AND(R$216&gt;=Assumptions!$G$22,R$216&lt;Assumptions!$G$24),'S&amp;U'!$I8/ROUNDUP(Assumptions!$G$23/12,0),IF(AND(R$216&gt;=Assumptions!$G$24,R$216&lt;Assumptions!$G$26),'S&amp;U'!$I40/ROUNDUP(Assumptions!$G$25/12,0),0))</f>
        <v>0</v>
      </c>
      <c r="S218" s="76">
        <f>+IF(AND(S$216&gt;=Assumptions!$G$22,S$216&lt;Assumptions!$G$24),'S&amp;U'!$I8/ROUNDUP(Assumptions!$G$23/12,0),IF(AND(S$216&gt;=Assumptions!$G$24,S$216&lt;Assumptions!$G$26),'S&amp;U'!$I40/ROUNDUP(Assumptions!$G$25/12,0),0))</f>
        <v>0</v>
      </c>
      <c r="T218" s="76">
        <f>+IF(AND(T$216&gt;=Assumptions!$G$22,T$216&lt;Assumptions!$G$24),'S&amp;U'!$I8/ROUNDUP(Assumptions!$G$23/12,0),IF(AND(T$216&gt;=Assumptions!$G$24,T$216&lt;Assumptions!$G$26),'S&amp;U'!$I40/ROUNDUP(Assumptions!$G$25/12,0),0))</f>
        <v>0</v>
      </c>
      <c r="U218" s="76">
        <f>+IF(AND(U$216&gt;=Assumptions!$G$22,U$216&lt;Assumptions!$G$24),'S&amp;U'!$I8/ROUNDUP(Assumptions!$G$23/12,0),IF(AND(U$216&gt;=Assumptions!$G$24,U$216&lt;Assumptions!$G$26),'S&amp;U'!$I40/ROUNDUP(Assumptions!$G$25/12,0),0))</f>
        <v>0</v>
      </c>
      <c r="V218" s="76">
        <f>+IF(AND(V$216&gt;=Assumptions!$G$22,V$216&lt;Assumptions!$G$24),'S&amp;U'!$I8/ROUNDUP(Assumptions!$G$23/12,0),IF(AND(V$216&gt;=Assumptions!$G$24,V$216&lt;Assumptions!$G$26),'S&amp;U'!$I40/ROUNDUP(Assumptions!$G$25/12,0),0))</f>
        <v>0</v>
      </c>
      <c r="W218" s="76">
        <f>+IF(AND(W$216&gt;=Assumptions!$G$22,W$216&lt;Assumptions!$G$24),'S&amp;U'!$I8/ROUNDUP(Assumptions!$G$23/12,0),IF(AND(W$216&gt;=Assumptions!$G$24,W$216&lt;Assumptions!$G$26),'S&amp;U'!$I40/ROUNDUP(Assumptions!$G$25/12,0),0))</f>
        <v>0</v>
      </c>
      <c r="X218" s="76">
        <f>+IF(AND(X$216&gt;=Assumptions!$G$22,X$216&lt;Assumptions!$G$24),'S&amp;U'!$I8/ROUNDUP(Assumptions!$G$23/12,0),IF(AND(X$216&gt;=Assumptions!$G$24,X$216&lt;Assumptions!$G$26),'S&amp;U'!$I40/ROUNDUP(Assumptions!$G$25/12,0),0))</f>
        <v>0</v>
      </c>
      <c r="Y218" s="76">
        <f>+IF(AND(Y$216&gt;=Assumptions!$G$22,Y$216&lt;Assumptions!$G$24),'S&amp;U'!$I8/ROUNDUP(Assumptions!$G$23/12,0),IF(AND(Y$216&gt;=Assumptions!$G$24,Y$216&lt;Assumptions!$G$26),'S&amp;U'!$I40/ROUNDUP(Assumptions!$G$25/12,0),0))</f>
        <v>0</v>
      </c>
      <c r="Z218" s="76">
        <f>+IF(AND(Z$216&gt;=Assumptions!$G$22,Z$216&lt;Assumptions!$G$24),'S&amp;U'!$I8/ROUNDUP(Assumptions!$G$23/12,0),IF(AND(Z$216&gt;=Assumptions!$G$24,Z$216&lt;Assumptions!$G$26),'S&amp;U'!$I40/ROUNDUP(Assumptions!$G$25/12,0),0))</f>
        <v>0</v>
      </c>
    </row>
    <row r="219" spans="2:26">
      <c r="B219" s="15" t="s">
        <v>276</v>
      </c>
      <c r="D219" s="26">
        <f t="shared" ca="1" si="137"/>
        <v>204668813.39310002</v>
      </c>
      <c r="E219" s="26"/>
      <c r="F219" s="76">
        <f>+IF(AND(F$216&gt;=Assumptions!$G$22,F$216&lt;Assumptions!$G$24),'S&amp;U'!$I9/ROUNDUP(Assumptions!$G$23/12,0),IF(AND(F$216&gt;=Assumptions!$G$24,F$216&lt;Assumptions!$G$26),'S&amp;U'!$I41/ROUNDUP(Assumptions!$G$25/12,0),0))</f>
        <v>0</v>
      </c>
      <c r="G219" s="76">
        <f ca="1">+IF(AND(G$216&gt;=Assumptions!$G$22,G$216&lt;Assumptions!$G$24),'S&amp;U'!$I9/ROUNDUP(Assumptions!$G$23/12,0),IF(AND(G$216&gt;=Assumptions!$G$24,G$216&lt;Assumptions!$G$26),'S&amp;U'!$I41/ROUNDUP(Assumptions!$G$25/12,0),0))</f>
        <v>102334406.69655001</v>
      </c>
      <c r="H219" s="76">
        <f ca="1">+IF(AND(H$216&gt;=Assumptions!$G$22,H$216&lt;Assumptions!$G$24),'S&amp;U'!$I9/ROUNDUP(Assumptions!$G$23/12,0),IF(AND(H$216&gt;=Assumptions!$G$24,H$216&lt;Assumptions!$G$26),'S&amp;U'!$I41/ROUNDUP(Assumptions!$G$25/12,0),0))</f>
        <v>102334406.69655001</v>
      </c>
      <c r="I219" s="76">
        <f>+IF(AND(I$216&gt;=Assumptions!$G$22,I$216&lt;Assumptions!$G$24),'S&amp;U'!$I9/ROUNDUP(Assumptions!$G$23/12,0),IF(AND(I$216&gt;=Assumptions!$G$24,I$216&lt;Assumptions!$G$26),'S&amp;U'!$I41/ROUNDUP(Assumptions!$G$25/12,0),0))</f>
        <v>0</v>
      </c>
      <c r="J219" s="76">
        <f>+IF(AND(J$216&gt;=Assumptions!$G$22,J$216&lt;Assumptions!$G$24),'S&amp;U'!$I9/ROUNDUP(Assumptions!$G$23/12,0),IF(AND(J$216&gt;=Assumptions!$G$24,J$216&lt;Assumptions!$G$26),'S&amp;U'!$I41/ROUNDUP(Assumptions!$G$25/12,0),0))</f>
        <v>0</v>
      </c>
      <c r="K219" s="76">
        <f>+IF(AND(K$216&gt;=Assumptions!$G$22,K$216&lt;Assumptions!$G$24),'S&amp;U'!$I9/ROUNDUP(Assumptions!$G$23/12,0),IF(AND(K$216&gt;=Assumptions!$G$24,K$216&lt;Assumptions!$G$26),'S&amp;U'!$I41/ROUNDUP(Assumptions!$G$25/12,0),0))</f>
        <v>0</v>
      </c>
      <c r="L219" s="76">
        <f>+IF(AND(L$216&gt;=Assumptions!$G$22,L$216&lt;Assumptions!$G$24),'S&amp;U'!$I9/ROUNDUP(Assumptions!$G$23/12,0),IF(AND(L$216&gt;=Assumptions!$G$24,L$216&lt;Assumptions!$G$26),'S&amp;U'!$I41/ROUNDUP(Assumptions!$G$25/12,0),0))</f>
        <v>0</v>
      </c>
      <c r="M219" s="76">
        <f>+IF(AND(M$216&gt;=Assumptions!$G$22,M$216&lt;Assumptions!$G$24),'S&amp;U'!$I9/ROUNDUP(Assumptions!$G$23/12,0),IF(AND(M$216&gt;=Assumptions!$G$24,M$216&lt;Assumptions!$G$26),'S&amp;U'!$I41/ROUNDUP(Assumptions!$G$25/12,0),0))</f>
        <v>0</v>
      </c>
      <c r="N219" s="76">
        <f>+IF(AND(N$216&gt;=Assumptions!$G$22,N$216&lt;Assumptions!$G$24),'S&amp;U'!$I9/ROUNDUP(Assumptions!$G$23/12,0),IF(AND(N$216&gt;=Assumptions!$G$24,N$216&lt;Assumptions!$G$26),'S&amp;U'!$I41/ROUNDUP(Assumptions!$G$25/12,0),0))</f>
        <v>0</v>
      </c>
      <c r="O219" s="76">
        <f>+IF(AND(O$216&gt;=Assumptions!$G$22,O$216&lt;Assumptions!$G$24),'S&amp;U'!$I9/ROUNDUP(Assumptions!$G$23/12,0),IF(AND(O$216&gt;=Assumptions!$G$24,O$216&lt;Assumptions!$G$26),'S&amp;U'!$I41/ROUNDUP(Assumptions!$G$25/12,0),0))</f>
        <v>0</v>
      </c>
      <c r="P219" s="76">
        <f>+IF(AND(P$216&gt;=Assumptions!$G$22,P$216&lt;Assumptions!$G$24),'S&amp;U'!$I9/ROUNDUP(Assumptions!$G$23/12,0),IF(AND(P$216&gt;=Assumptions!$G$24,P$216&lt;Assumptions!$G$26),'S&amp;U'!$I41/ROUNDUP(Assumptions!$G$25/12,0),0))</f>
        <v>0</v>
      </c>
      <c r="Q219" s="76">
        <f>+IF(AND(Q$216&gt;=Assumptions!$G$22,Q$216&lt;Assumptions!$G$24),'S&amp;U'!$I9/ROUNDUP(Assumptions!$G$23/12,0),IF(AND(Q$216&gt;=Assumptions!$G$24,Q$216&lt;Assumptions!$G$26),'S&amp;U'!$I41/ROUNDUP(Assumptions!$G$25/12,0),0))</f>
        <v>0</v>
      </c>
      <c r="R219" s="76">
        <f>+IF(AND(R$216&gt;=Assumptions!$G$22,R$216&lt;Assumptions!$G$24),'S&amp;U'!$I9/ROUNDUP(Assumptions!$G$23/12,0),IF(AND(R$216&gt;=Assumptions!$G$24,R$216&lt;Assumptions!$G$26),'S&amp;U'!$I41/ROUNDUP(Assumptions!$G$25/12,0),0))</f>
        <v>0</v>
      </c>
      <c r="S219" s="76">
        <f>+IF(AND(S$216&gt;=Assumptions!$G$22,S$216&lt;Assumptions!$G$24),'S&amp;U'!$I9/ROUNDUP(Assumptions!$G$23/12,0),IF(AND(S$216&gt;=Assumptions!$G$24,S$216&lt;Assumptions!$G$26),'S&amp;U'!$I41/ROUNDUP(Assumptions!$G$25/12,0),0))</f>
        <v>0</v>
      </c>
      <c r="T219" s="76">
        <f>+IF(AND(T$216&gt;=Assumptions!$G$22,T$216&lt;Assumptions!$G$24),'S&amp;U'!$I9/ROUNDUP(Assumptions!$G$23/12,0),IF(AND(T$216&gt;=Assumptions!$G$24,T$216&lt;Assumptions!$G$26),'S&amp;U'!$I41/ROUNDUP(Assumptions!$G$25/12,0),0))</f>
        <v>0</v>
      </c>
      <c r="U219" s="76">
        <f>+IF(AND(U$216&gt;=Assumptions!$G$22,U$216&lt;Assumptions!$G$24),'S&amp;U'!$I9/ROUNDUP(Assumptions!$G$23/12,0),IF(AND(U$216&gt;=Assumptions!$G$24,U$216&lt;Assumptions!$G$26),'S&amp;U'!$I41/ROUNDUP(Assumptions!$G$25/12,0),0))</f>
        <v>0</v>
      </c>
      <c r="V219" s="76">
        <f>+IF(AND(V$216&gt;=Assumptions!$G$22,V$216&lt;Assumptions!$G$24),'S&amp;U'!$I9/ROUNDUP(Assumptions!$G$23/12,0),IF(AND(V$216&gt;=Assumptions!$G$24,V$216&lt;Assumptions!$G$26),'S&amp;U'!$I41/ROUNDUP(Assumptions!$G$25/12,0),0))</f>
        <v>0</v>
      </c>
      <c r="W219" s="76">
        <f>+IF(AND(W$216&gt;=Assumptions!$G$22,W$216&lt;Assumptions!$G$24),'S&amp;U'!$I9/ROUNDUP(Assumptions!$G$23/12,0),IF(AND(W$216&gt;=Assumptions!$G$24,W$216&lt;Assumptions!$G$26),'S&amp;U'!$I41/ROUNDUP(Assumptions!$G$25/12,0),0))</f>
        <v>0</v>
      </c>
      <c r="X219" s="76">
        <f>+IF(AND(X$216&gt;=Assumptions!$G$22,X$216&lt;Assumptions!$G$24),'S&amp;U'!$I9/ROUNDUP(Assumptions!$G$23/12,0),IF(AND(X$216&gt;=Assumptions!$G$24,X$216&lt;Assumptions!$G$26),'S&amp;U'!$I41/ROUNDUP(Assumptions!$G$25/12,0),0))</f>
        <v>0</v>
      </c>
      <c r="Y219" s="76">
        <f>+IF(AND(Y$216&gt;=Assumptions!$G$22,Y$216&lt;Assumptions!$G$24),'S&amp;U'!$I9/ROUNDUP(Assumptions!$G$23/12,0),IF(AND(Y$216&gt;=Assumptions!$G$24,Y$216&lt;Assumptions!$G$26),'S&amp;U'!$I41/ROUNDUP(Assumptions!$G$25/12,0),0))</f>
        <v>0</v>
      </c>
      <c r="Z219" s="76">
        <f>+IF(AND(Z$216&gt;=Assumptions!$G$22,Z$216&lt;Assumptions!$G$24),'S&amp;U'!$I9/ROUNDUP(Assumptions!$G$23/12,0),IF(AND(Z$216&gt;=Assumptions!$G$24,Z$216&lt;Assumptions!$G$26),'S&amp;U'!$I41/ROUNDUP(Assumptions!$G$25/12,0),0))</f>
        <v>0</v>
      </c>
    </row>
    <row r="220" spans="2:26">
      <c r="B220" s="659" t="s">
        <v>262</v>
      </c>
      <c r="D220" s="26">
        <f ca="1">+SUM(F220:Z220)</f>
        <v>6588505.2784899091</v>
      </c>
      <c r="E220" s="26"/>
      <c r="F220" s="76">
        <v>0</v>
      </c>
      <c r="G220" s="76">
        <f ca="1">+IF(AND(G$216&gt;=Assumptions!$G$22,G$216&lt;Assumptions!$G$24),'S&amp;U'!$I10/ROUNDUP(Assumptions!$G$23/12,0),IF(AND(G$216&gt;=Assumptions!$G$24,G$216&lt;Assumptions!$G$26),'S&amp;U'!$I42/ROUNDUP(Assumptions!$G$25/12,0),0))</f>
        <v>3294252.6392449546</v>
      </c>
      <c r="H220" s="76">
        <f ca="1">+IF(AND(H$216&gt;=Assumptions!$G$22,H$216&lt;Assumptions!$G$24),'S&amp;U'!$I10/ROUNDUP(Assumptions!$G$23/12,0),IF(AND(H$216&gt;=Assumptions!$G$24,H$216&lt;Assumptions!$G$26),'S&amp;U'!$I42/ROUNDUP(Assumptions!$G$25/12,0),0))</f>
        <v>3294252.6392449546</v>
      </c>
      <c r="I220" s="76">
        <f>+IF(AND(I$216&gt;=Assumptions!$G$22,I$216&lt;Assumptions!$G$24),'S&amp;U'!$I10/ROUNDUP(Assumptions!$G$23/12,0),IF(AND(I$216&gt;=Assumptions!$G$24,I$216&lt;Assumptions!$G$26),'S&amp;U'!$I42/ROUNDUP(Assumptions!$G$25/12,0),0))</f>
        <v>0</v>
      </c>
      <c r="J220" s="76">
        <f>+IF(AND(J$216&gt;=Assumptions!$G$22,J$216&lt;Assumptions!$G$24),'S&amp;U'!$I10/ROUNDUP(Assumptions!$G$23/12,0),IF(AND(J$216&gt;=Assumptions!$G$24,J$216&lt;Assumptions!$G$26),'S&amp;U'!$I42/ROUNDUP(Assumptions!$G$25/12,0),0))</f>
        <v>0</v>
      </c>
      <c r="K220" s="76">
        <f>+IF(AND(K$216&gt;=Assumptions!$G$22,K$216&lt;Assumptions!$G$24),'S&amp;U'!$I10/ROUNDUP(Assumptions!$G$23/12,0),IF(AND(K$216&gt;=Assumptions!$G$24,K$216&lt;Assumptions!$G$26),'S&amp;U'!$I42/ROUNDUP(Assumptions!$G$25/12,0),0))</f>
        <v>0</v>
      </c>
      <c r="L220" s="76">
        <f>+IF(AND(L$216&gt;=Assumptions!$G$22,L$216&lt;Assumptions!$G$24),'S&amp;U'!$I10/ROUNDUP(Assumptions!$G$23/12,0),IF(AND(L$216&gt;=Assumptions!$G$24,L$216&lt;Assumptions!$G$26),'S&amp;U'!$I42/ROUNDUP(Assumptions!$G$25/12,0),0))</f>
        <v>0</v>
      </c>
      <c r="M220" s="76">
        <f>+IF(AND(M$216&gt;=Assumptions!$G$22,M$216&lt;Assumptions!$G$24),'S&amp;U'!$I10/ROUNDUP(Assumptions!$G$23/12,0),IF(AND(M$216&gt;=Assumptions!$G$24,M$216&lt;Assumptions!$G$26),'S&amp;U'!$I42/ROUNDUP(Assumptions!$G$25/12,0),0))</f>
        <v>0</v>
      </c>
      <c r="N220" s="76">
        <f>+IF(AND(N$216&gt;=Assumptions!$G$22,N$216&lt;Assumptions!$G$24),'S&amp;U'!$I10/ROUNDUP(Assumptions!$G$23/12,0),IF(AND(N$216&gt;=Assumptions!$G$24,N$216&lt;Assumptions!$G$26),'S&amp;U'!$I42/ROUNDUP(Assumptions!$G$25/12,0),0))</f>
        <v>0</v>
      </c>
      <c r="O220" s="76">
        <f>+IF(AND(O$216&gt;=Assumptions!$G$22,O$216&lt;Assumptions!$G$24),'S&amp;U'!$I10/ROUNDUP(Assumptions!$G$23/12,0),IF(AND(O$216&gt;=Assumptions!$G$24,O$216&lt;Assumptions!$G$26),'S&amp;U'!$I42/ROUNDUP(Assumptions!$G$25/12,0),0))</f>
        <v>0</v>
      </c>
      <c r="P220" s="76">
        <f>+IF(AND(P$216&gt;=Assumptions!$G$22,P$216&lt;Assumptions!$G$24),'S&amp;U'!$I10/ROUNDUP(Assumptions!$G$23/12,0),IF(AND(P$216&gt;=Assumptions!$G$24,P$216&lt;Assumptions!$G$26),'S&amp;U'!$I42/ROUNDUP(Assumptions!$G$25/12,0),0))</f>
        <v>0</v>
      </c>
      <c r="Q220" s="76">
        <f>+IF(AND(Q$216&gt;=Assumptions!$G$22,Q$216&lt;Assumptions!$G$24),'S&amp;U'!$I10/ROUNDUP(Assumptions!$G$23/12,0),IF(AND(Q$216&gt;=Assumptions!$G$24,Q$216&lt;Assumptions!$G$26),'S&amp;U'!$I42/ROUNDUP(Assumptions!$G$25/12,0),0))</f>
        <v>0</v>
      </c>
      <c r="R220" s="76">
        <f>+IF(AND(R$216&gt;=Assumptions!$G$22,R$216&lt;Assumptions!$G$24),'S&amp;U'!$I10/ROUNDUP(Assumptions!$G$23/12,0),IF(AND(R$216&gt;=Assumptions!$G$24,R$216&lt;Assumptions!$G$26),'S&amp;U'!$I42/ROUNDUP(Assumptions!$G$25/12,0),0))</f>
        <v>0</v>
      </c>
      <c r="S220" s="76">
        <f>+IF(AND(S$216&gt;=Assumptions!$G$22,S$216&lt;Assumptions!$G$24),'S&amp;U'!$I10/ROUNDUP(Assumptions!$G$23/12,0),IF(AND(S$216&gt;=Assumptions!$G$24,S$216&lt;Assumptions!$G$26),'S&amp;U'!$I42/ROUNDUP(Assumptions!$G$25/12,0),0))</f>
        <v>0</v>
      </c>
      <c r="T220" s="76">
        <f>+IF(AND(T$216&gt;=Assumptions!$G$22,T$216&lt;Assumptions!$G$24),'S&amp;U'!$I10/ROUNDUP(Assumptions!$G$23/12,0),IF(AND(T$216&gt;=Assumptions!$G$24,T$216&lt;Assumptions!$G$26),'S&amp;U'!$I42/ROUNDUP(Assumptions!$G$25/12,0),0))</f>
        <v>0</v>
      </c>
      <c r="U220" s="76">
        <f>+IF(AND(U$216&gt;=Assumptions!$G$22,U$216&lt;Assumptions!$G$24),'S&amp;U'!$I10/ROUNDUP(Assumptions!$G$23/12,0),IF(AND(U$216&gt;=Assumptions!$G$24,U$216&lt;Assumptions!$G$26),'S&amp;U'!$I42/ROUNDUP(Assumptions!$G$25/12,0),0))</f>
        <v>0</v>
      </c>
      <c r="V220" s="76">
        <f>+IF(AND(V$216&gt;=Assumptions!$G$22,V$216&lt;Assumptions!$G$24),'S&amp;U'!$I10/ROUNDUP(Assumptions!$G$23/12,0),IF(AND(V$216&gt;=Assumptions!$G$24,V$216&lt;Assumptions!$G$26),'S&amp;U'!$I42/ROUNDUP(Assumptions!$G$25/12,0),0))</f>
        <v>0</v>
      </c>
      <c r="W220" s="76">
        <f>+IF(AND(W$216&gt;=Assumptions!$G$22,W$216&lt;Assumptions!$G$24),'S&amp;U'!$I10/ROUNDUP(Assumptions!$G$23/12,0),IF(AND(W$216&gt;=Assumptions!$G$24,W$216&lt;Assumptions!$G$26),'S&amp;U'!$I42/ROUNDUP(Assumptions!$G$25/12,0),0))</f>
        <v>0</v>
      </c>
      <c r="X220" s="76">
        <f>+IF(AND(X$216&gt;=Assumptions!$G$22,X$216&lt;Assumptions!$G$24),'S&amp;U'!$I10/ROUNDUP(Assumptions!$G$23/12,0),IF(AND(X$216&gt;=Assumptions!$G$24,X$216&lt;Assumptions!$G$26),'S&amp;U'!$I42/ROUNDUP(Assumptions!$G$25/12,0),0))</f>
        <v>0</v>
      </c>
      <c r="Y220" s="76">
        <f>+IF(AND(Y$216&gt;=Assumptions!$G$22,Y$216&lt;Assumptions!$G$24),'S&amp;U'!$I10/ROUNDUP(Assumptions!$G$23/12,0),IF(AND(Y$216&gt;=Assumptions!$G$24,Y$216&lt;Assumptions!$G$26),'S&amp;U'!$I42/ROUNDUP(Assumptions!$G$25/12,0),0))</f>
        <v>0</v>
      </c>
      <c r="Z220" s="76">
        <f>+IF(AND(Z$216&gt;=Assumptions!$G$22,Z$216&lt;Assumptions!$G$24),'S&amp;U'!$I10/ROUNDUP(Assumptions!$G$23/12,0),IF(AND(Z$216&gt;=Assumptions!$G$24,Z$216&lt;Assumptions!$G$26),'S&amp;U'!$I42/ROUNDUP(Assumptions!$G$25/12,0),0))</f>
        <v>0</v>
      </c>
    </row>
    <row r="221" spans="2:26">
      <c r="B221" s="15" t="s">
        <v>263</v>
      </c>
      <c r="D221" s="26">
        <f t="shared" ca="1" si="137"/>
        <v>9908594.5940193366</v>
      </c>
      <c r="E221" s="26"/>
      <c r="F221" s="76">
        <f>+IF(AND(F$216&gt;=Assumptions!$G$22,F$216&lt;Assumptions!$G$24),'S&amp;U'!$I11/ROUNDUP(Assumptions!$G$23/12,0),IF(AND(F$216&gt;=Assumptions!$G$24,F$216&lt;Assumptions!$G$26),'S&amp;U'!$I43/ROUNDUP(Assumptions!$G$25/12,0),0))</f>
        <v>0</v>
      </c>
      <c r="G221" s="76">
        <f ca="1">+IF(AND(G$216&gt;=Assumptions!$G$22,G$216&lt;Assumptions!$G$24),'S&amp;U'!$I11/ROUNDUP(Assumptions!$G$23/12,0),IF(AND(G$216&gt;=Assumptions!$G$24,G$216&lt;Assumptions!$G$26),'S&amp;U'!$I43/ROUNDUP(Assumptions!$G$25/12,0),0))</f>
        <v>4954297.2970096683</v>
      </c>
      <c r="H221" s="76">
        <f ca="1">+IF(AND(H$216&gt;=Assumptions!$G$22,H$216&lt;Assumptions!$G$24),'S&amp;U'!$I11/ROUNDUP(Assumptions!$G$23/12,0),IF(AND(H$216&gt;=Assumptions!$G$24,H$216&lt;Assumptions!$G$26),'S&amp;U'!$I43/ROUNDUP(Assumptions!$G$25/12,0),0))</f>
        <v>4954297.2970096683</v>
      </c>
      <c r="I221" s="76">
        <f>+IF(AND(I$216&gt;=Assumptions!$G$22,I$216&lt;Assumptions!$G$24),'S&amp;U'!$I11/ROUNDUP(Assumptions!$G$23/12,0),IF(AND(I$216&gt;=Assumptions!$G$24,I$216&lt;Assumptions!$G$26),'S&amp;U'!$I43/ROUNDUP(Assumptions!$G$25/12,0),0))</f>
        <v>0</v>
      </c>
      <c r="J221" s="76">
        <f>+IF(AND(J$216&gt;=Assumptions!$G$22,J$216&lt;Assumptions!$G$24),'S&amp;U'!$I11/ROUNDUP(Assumptions!$G$23/12,0),IF(AND(J$216&gt;=Assumptions!$G$24,J$216&lt;Assumptions!$G$26),'S&amp;U'!$I43/ROUNDUP(Assumptions!$G$25/12,0),0))</f>
        <v>0</v>
      </c>
      <c r="K221" s="76">
        <f>+IF(AND(K$216&gt;=Assumptions!$G$22,K$216&lt;Assumptions!$G$24),'S&amp;U'!$I11/ROUNDUP(Assumptions!$G$23/12,0),IF(AND(K$216&gt;=Assumptions!$G$24,K$216&lt;Assumptions!$G$26),'S&amp;U'!$I43/ROUNDUP(Assumptions!$G$25/12,0),0))</f>
        <v>0</v>
      </c>
      <c r="L221" s="76">
        <f>+IF(AND(L$216&gt;=Assumptions!$G$22,L$216&lt;Assumptions!$G$24),'S&amp;U'!$I11/ROUNDUP(Assumptions!$G$23/12,0),IF(AND(L$216&gt;=Assumptions!$G$24,L$216&lt;Assumptions!$G$26),'S&amp;U'!$I43/ROUNDUP(Assumptions!$G$25/12,0),0))</f>
        <v>0</v>
      </c>
      <c r="M221" s="76">
        <f>+IF(AND(M$216&gt;=Assumptions!$G$22,M$216&lt;Assumptions!$G$24),'S&amp;U'!$I11/ROUNDUP(Assumptions!$G$23/12,0),IF(AND(M$216&gt;=Assumptions!$G$24,M$216&lt;Assumptions!$G$26),'S&amp;U'!$I43/ROUNDUP(Assumptions!$G$25/12,0),0))</f>
        <v>0</v>
      </c>
      <c r="N221" s="76">
        <f>+IF(AND(N$216&gt;=Assumptions!$G$22,N$216&lt;Assumptions!$G$24),'S&amp;U'!$I11/ROUNDUP(Assumptions!$G$23/12,0),IF(AND(N$216&gt;=Assumptions!$G$24,N$216&lt;Assumptions!$G$26),'S&amp;U'!$I43/ROUNDUP(Assumptions!$G$25/12,0),0))</f>
        <v>0</v>
      </c>
      <c r="O221" s="76">
        <f>+IF(AND(O$216&gt;=Assumptions!$G$22,O$216&lt;Assumptions!$G$24),'S&amp;U'!$I11/ROUNDUP(Assumptions!$G$23/12,0),IF(AND(O$216&gt;=Assumptions!$G$24,O$216&lt;Assumptions!$G$26),'S&amp;U'!$I43/ROUNDUP(Assumptions!$G$25/12,0),0))</f>
        <v>0</v>
      </c>
      <c r="P221" s="76">
        <f>+IF(AND(P$216&gt;=Assumptions!$G$22,P$216&lt;Assumptions!$G$24),'S&amp;U'!$I11/ROUNDUP(Assumptions!$G$23/12,0),IF(AND(P$216&gt;=Assumptions!$G$24,P$216&lt;Assumptions!$G$26),'S&amp;U'!$I43/ROUNDUP(Assumptions!$G$25/12,0),0))</f>
        <v>0</v>
      </c>
      <c r="Q221" s="76">
        <f>+IF(AND(Q$216&gt;=Assumptions!$G$22,Q$216&lt;Assumptions!$G$24),'S&amp;U'!$I11/ROUNDUP(Assumptions!$G$23/12,0),IF(AND(Q$216&gt;=Assumptions!$G$24,Q$216&lt;Assumptions!$G$26),'S&amp;U'!$I43/ROUNDUP(Assumptions!$G$25/12,0),0))</f>
        <v>0</v>
      </c>
      <c r="R221" s="76">
        <f>+IF(AND(R$216&gt;=Assumptions!$G$22,R$216&lt;Assumptions!$G$24),'S&amp;U'!$I11/ROUNDUP(Assumptions!$G$23/12,0),IF(AND(R$216&gt;=Assumptions!$G$24,R$216&lt;Assumptions!$G$26),'S&amp;U'!$I43/ROUNDUP(Assumptions!$G$25/12,0),0))</f>
        <v>0</v>
      </c>
      <c r="S221" s="76">
        <f>+IF(AND(S$216&gt;=Assumptions!$G$22,S$216&lt;Assumptions!$G$24),'S&amp;U'!$I11/ROUNDUP(Assumptions!$G$23/12,0),IF(AND(S$216&gt;=Assumptions!$G$24,S$216&lt;Assumptions!$G$26),'S&amp;U'!$I43/ROUNDUP(Assumptions!$G$25/12,0),0))</f>
        <v>0</v>
      </c>
      <c r="T221" s="76">
        <f>+IF(AND(T$216&gt;=Assumptions!$G$22,T$216&lt;Assumptions!$G$24),'S&amp;U'!$I11/ROUNDUP(Assumptions!$G$23/12,0),IF(AND(T$216&gt;=Assumptions!$G$24,T$216&lt;Assumptions!$G$26),'S&amp;U'!$I43/ROUNDUP(Assumptions!$G$25/12,0),0))</f>
        <v>0</v>
      </c>
      <c r="U221" s="76">
        <f>+IF(AND(U$216&gt;=Assumptions!$G$22,U$216&lt;Assumptions!$G$24),'S&amp;U'!$I11/ROUNDUP(Assumptions!$G$23/12,0),IF(AND(U$216&gt;=Assumptions!$G$24,U$216&lt;Assumptions!$G$26),'S&amp;U'!$I43/ROUNDUP(Assumptions!$G$25/12,0),0))</f>
        <v>0</v>
      </c>
      <c r="V221" s="76">
        <f>+IF(AND(V$216&gt;=Assumptions!$G$22,V$216&lt;Assumptions!$G$24),'S&amp;U'!$I11/ROUNDUP(Assumptions!$G$23/12,0),IF(AND(V$216&gt;=Assumptions!$G$24,V$216&lt;Assumptions!$G$26),'S&amp;U'!$I43/ROUNDUP(Assumptions!$G$25/12,0),0))</f>
        <v>0</v>
      </c>
      <c r="W221" s="76">
        <f>+IF(AND(W$216&gt;=Assumptions!$G$22,W$216&lt;Assumptions!$G$24),'S&amp;U'!$I11/ROUNDUP(Assumptions!$G$23/12,0),IF(AND(W$216&gt;=Assumptions!$G$24,W$216&lt;Assumptions!$G$26),'S&amp;U'!$I43/ROUNDUP(Assumptions!$G$25/12,0),0))</f>
        <v>0</v>
      </c>
      <c r="X221" s="76">
        <f>+IF(AND(X$216&gt;=Assumptions!$G$22,X$216&lt;Assumptions!$G$24),'S&amp;U'!$I11/ROUNDUP(Assumptions!$G$23/12,0),IF(AND(X$216&gt;=Assumptions!$G$24,X$216&lt;Assumptions!$G$26),'S&amp;U'!$I43/ROUNDUP(Assumptions!$G$25/12,0),0))</f>
        <v>0</v>
      </c>
      <c r="Y221" s="76">
        <f>+IF(AND(Y$216&gt;=Assumptions!$G$22,Y$216&lt;Assumptions!$G$24),'S&amp;U'!$I11/ROUNDUP(Assumptions!$G$23/12,0),IF(AND(Y$216&gt;=Assumptions!$G$24,Y$216&lt;Assumptions!$G$26),'S&amp;U'!$I43/ROUNDUP(Assumptions!$G$25/12,0),0))</f>
        <v>0</v>
      </c>
      <c r="Z221" s="76">
        <f>+IF(AND(Z$216&gt;=Assumptions!$G$22,Z$216&lt;Assumptions!$G$24),'S&amp;U'!$I11/ROUNDUP(Assumptions!$G$23/12,0),IF(AND(Z$216&gt;=Assumptions!$G$24,Z$216&lt;Assumptions!$G$26),'S&amp;U'!$I43/ROUNDUP(Assumptions!$G$25/12,0),0))</f>
        <v>0</v>
      </c>
    </row>
    <row r="222" spans="2:26">
      <c r="B222" s="15" t="s">
        <v>264</v>
      </c>
      <c r="D222" s="26">
        <f t="shared" ca="1" si="137"/>
        <v>436197.10222555295</v>
      </c>
      <c r="E222" s="26"/>
      <c r="F222" s="76">
        <f>+IF(AND(F$216&gt;=Assumptions!$G$22,F$216&lt;Assumptions!$G$24),'S&amp;U'!$I12/ROUNDUP(Assumptions!$G$23/12,0),IF(AND(F$216&gt;=Assumptions!$G$24,F$216&lt;Assumptions!$G$26),'S&amp;U'!$I44/ROUNDUP(Assumptions!$G$25/12,0),0))</f>
        <v>0</v>
      </c>
      <c r="G222" s="76">
        <f ca="1">+IF(AND(G$216&gt;=Assumptions!$G$22,G$216&lt;Assumptions!$G$24),'S&amp;U'!$I12/ROUNDUP(Assumptions!$G$23/12,0),IF(AND(G$216&gt;=Assumptions!$G$24,G$216&lt;Assumptions!$G$26),'S&amp;U'!$I44/ROUNDUP(Assumptions!$G$25/12,0),0))</f>
        <v>218098.55111277648</v>
      </c>
      <c r="H222" s="76">
        <f ca="1">+IF(AND(H$216&gt;=Assumptions!$G$22,H$216&lt;Assumptions!$G$24),'S&amp;U'!$I12/ROUNDUP(Assumptions!$G$23/12,0),IF(AND(H$216&gt;=Assumptions!$G$24,H$216&lt;Assumptions!$G$26),'S&amp;U'!$I44/ROUNDUP(Assumptions!$G$25/12,0),0))</f>
        <v>218098.55111277648</v>
      </c>
      <c r="I222" s="76">
        <f>+IF(AND(I$216&gt;=Assumptions!$G$22,I$216&lt;Assumptions!$G$24),'S&amp;U'!$I12/ROUNDUP(Assumptions!$G$23/12,0),IF(AND(I$216&gt;=Assumptions!$G$24,I$216&lt;Assumptions!$G$26),'S&amp;U'!$I44/ROUNDUP(Assumptions!$G$25/12,0),0))</f>
        <v>0</v>
      </c>
      <c r="J222" s="76">
        <f>+IF(AND(J$216&gt;=Assumptions!$G$22,J$216&lt;Assumptions!$G$24),'S&amp;U'!$I12/ROUNDUP(Assumptions!$G$23/12,0),IF(AND(J$216&gt;=Assumptions!$G$24,J$216&lt;Assumptions!$G$26),'S&amp;U'!$I44/ROUNDUP(Assumptions!$G$25/12,0),0))</f>
        <v>0</v>
      </c>
      <c r="K222" s="76">
        <f>+IF(AND(K$216&gt;=Assumptions!$G$22,K$216&lt;Assumptions!$G$24),'S&amp;U'!$I12/ROUNDUP(Assumptions!$G$23/12,0),IF(AND(K$216&gt;=Assumptions!$G$24,K$216&lt;Assumptions!$G$26),'S&amp;U'!$I44/ROUNDUP(Assumptions!$G$25/12,0),0))</f>
        <v>0</v>
      </c>
      <c r="L222" s="76">
        <f>+IF(AND(L$216&gt;=Assumptions!$G$22,L$216&lt;Assumptions!$G$24),'S&amp;U'!$I12/ROUNDUP(Assumptions!$G$23/12,0),IF(AND(L$216&gt;=Assumptions!$G$24,L$216&lt;Assumptions!$G$26),'S&amp;U'!$I44/ROUNDUP(Assumptions!$G$25/12,0),0))</f>
        <v>0</v>
      </c>
      <c r="M222" s="76">
        <f>+IF(AND(M$216&gt;=Assumptions!$G$22,M$216&lt;Assumptions!$G$24),'S&amp;U'!$I12/ROUNDUP(Assumptions!$G$23/12,0),IF(AND(M$216&gt;=Assumptions!$G$24,M$216&lt;Assumptions!$G$26),'S&amp;U'!$I44/ROUNDUP(Assumptions!$G$25/12,0),0))</f>
        <v>0</v>
      </c>
      <c r="N222" s="76">
        <f>+IF(AND(N$216&gt;=Assumptions!$G$22,N$216&lt;Assumptions!$G$24),'S&amp;U'!$I12/ROUNDUP(Assumptions!$G$23/12,0),IF(AND(N$216&gt;=Assumptions!$G$24,N$216&lt;Assumptions!$G$26),'S&amp;U'!$I44/ROUNDUP(Assumptions!$G$25/12,0),0))</f>
        <v>0</v>
      </c>
      <c r="O222" s="76">
        <f>+IF(AND(O$216&gt;=Assumptions!$G$22,O$216&lt;Assumptions!$G$24),'S&amp;U'!$I12/ROUNDUP(Assumptions!$G$23/12,0),IF(AND(O$216&gt;=Assumptions!$G$24,O$216&lt;Assumptions!$G$26),'S&amp;U'!$I44/ROUNDUP(Assumptions!$G$25/12,0),0))</f>
        <v>0</v>
      </c>
      <c r="P222" s="76">
        <f>+IF(AND(P$216&gt;=Assumptions!$G$22,P$216&lt;Assumptions!$G$24),'S&amp;U'!$I12/ROUNDUP(Assumptions!$G$23/12,0),IF(AND(P$216&gt;=Assumptions!$G$24,P$216&lt;Assumptions!$G$26),'S&amp;U'!$I44/ROUNDUP(Assumptions!$G$25/12,0),0))</f>
        <v>0</v>
      </c>
      <c r="Q222" s="76">
        <f>+IF(AND(Q$216&gt;=Assumptions!$G$22,Q$216&lt;Assumptions!$G$24),'S&amp;U'!$I12/ROUNDUP(Assumptions!$G$23/12,0),IF(AND(Q$216&gt;=Assumptions!$G$24,Q$216&lt;Assumptions!$G$26),'S&amp;U'!$I44/ROUNDUP(Assumptions!$G$25/12,0),0))</f>
        <v>0</v>
      </c>
      <c r="R222" s="76">
        <f>+IF(AND(R$216&gt;=Assumptions!$G$22,R$216&lt;Assumptions!$G$24),'S&amp;U'!$I12/ROUNDUP(Assumptions!$G$23/12,0),IF(AND(R$216&gt;=Assumptions!$G$24,R$216&lt;Assumptions!$G$26),'S&amp;U'!$I44/ROUNDUP(Assumptions!$G$25/12,0),0))</f>
        <v>0</v>
      </c>
      <c r="S222" s="76">
        <f>+IF(AND(S$216&gt;=Assumptions!$G$22,S$216&lt;Assumptions!$G$24),'S&amp;U'!$I12/ROUNDUP(Assumptions!$G$23/12,0),IF(AND(S$216&gt;=Assumptions!$G$24,S$216&lt;Assumptions!$G$26),'S&amp;U'!$I44/ROUNDUP(Assumptions!$G$25/12,0),0))</f>
        <v>0</v>
      </c>
      <c r="T222" s="76">
        <f>+IF(AND(T$216&gt;=Assumptions!$G$22,T$216&lt;Assumptions!$G$24),'S&amp;U'!$I12/ROUNDUP(Assumptions!$G$23/12,0),IF(AND(T$216&gt;=Assumptions!$G$24,T$216&lt;Assumptions!$G$26),'S&amp;U'!$I44/ROUNDUP(Assumptions!$G$25/12,0),0))</f>
        <v>0</v>
      </c>
      <c r="U222" s="76">
        <f>+IF(AND(U$216&gt;=Assumptions!$G$22,U$216&lt;Assumptions!$G$24),'S&amp;U'!$I12/ROUNDUP(Assumptions!$G$23/12,0),IF(AND(U$216&gt;=Assumptions!$G$24,U$216&lt;Assumptions!$G$26),'S&amp;U'!$I44/ROUNDUP(Assumptions!$G$25/12,0),0))</f>
        <v>0</v>
      </c>
      <c r="V222" s="76">
        <f>+IF(AND(V$216&gt;=Assumptions!$G$22,V$216&lt;Assumptions!$G$24),'S&amp;U'!$I12/ROUNDUP(Assumptions!$G$23/12,0),IF(AND(V$216&gt;=Assumptions!$G$24,V$216&lt;Assumptions!$G$26),'S&amp;U'!$I44/ROUNDUP(Assumptions!$G$25/12,0),0))</f>
        <v>0</v>
      </c>
      <c r="W222" s="76">
        <f>+IF(AND(W$216&gt;=Assumptions!$G$22,W$216&lt;Assumptions!$G$24),'S&amp;U'!$I12/ROUNDUP(Assumptions!$G$23/12,0),IF(AND(W$216&gt;=Assumptions!$G$24,W$216&lt;Assumptions!$G$26),'S&amp;U'!$I44/ROUNDUP(Assumptions!$G$25/12,0),0))</f>
        <v>0</v>
      </c>
      <c r="X222" s="76">
        <f>+IF(AND(X$216&gt;=Assumptions!$G$22,X$216&lt;Assumptions!$G$24),'S&amp;U'!$I12/ROUNDUP(Assumptions!$G$23/12,0),IF(AND(X$216&gt;=Assumptions!$G$24,X$216&lt;Assumptions!$G$26),'S&amp;U'!$I44/ROUNDUP(Assumptions!$G$25/12,0),0))</f>
        <v>0</v>
      </c>
      <c r="Y222" s="76">
        <f>+IF(AND(Y$216&gt;=Assumptions!$G$22,Y$216&lt;Assumptions!$G$24),'S&amp;U'!$I12/ROUNDUP(Assumptions!$G$23/12,0),IF(AND(Y$216&gt;=Assumptions!$G$24,Y$216&lt;Assumptions!$G$26),'S&amp;U'!$I44/ROUNDUP(Assumptions!$G$25/12,0),0))</f>
        <v>0</v>
      </c>
      <c r="Z222" s="76">
        <f>+IF(AND(Z$216&gt;=Assumptions!$G$22,Z$216&lt;Assumptions!$G$24),'S&amp;U'!$I12/ROUNDUP(Assumptions!$G$23/12,0),IF(AND(Z$216&gt;=Assumptions!$G$24,Z$216&lt;Assumptions!$G$26),'S&amp;U'!$I44/ROUNDUP(Assumptions!$G$25/12,0),0))</f>
        <v>0</v>
      </c>
    </row>
    <row r="223" spans="2:26">
      <c r="B223" s="15" t="s">
        <v>265</v>
      </c>
      <c r="D223" s="26">
        <f t="shared" ca="1" si="137"/>
        <v>7095261.8316490008</v>
      </c>
      <c r="E223" s="26"/>
      <c r="F223" s="76">
        <f ca="1">+IF(AND(F$216&gt;=Assumptions!$G$22,F$216&lt;Assumptions!$G$24),'S&amp;U'!$I13/ROUNDUP(Assumptions!$G$23/12,0),IF(AND(F$216&gt;=Assumptions!$G$24,F$216&lt;Assumptions!$G$28),'S&amp;U'!$I45/ROUNDUP((Assumptions!$G$25+Assumptions!$G$27)/12,0),0))</f>
        <v>0</v>
      </c>
      <c r="G223" s="76">
        <f ca="1">+IF(AND(G$216&gt;=Assumptions!$G$22,G$216&lt;Assumptions!$G$24),'S&amp;U'!$I13/ROUNDUP(Assumptions!$G$23/12,0),IF(AND(G$216&gt;=Assumptions!$G$24,G$216&lt;Assumptions!$G$28),'S&amp;U'!$I45/ROUNDUP((Assumptions!$G$25+Assumptions!$G$27)/12,0),0))</f>
        <v>1773815.4579122502</v>
      </c>
      <c r="H223" s="76">
        <f ca="1">+IF(AND(H$216&gt;=Assumptions!$G$22,H$216&lt;Assumptions!$G$24),'S&amp;U'!$I13/ROUNDUP(Assumptions!$G$23/12,0),IF(AND(H$216&gt;=Assumptions!$G$24,H$216&lt;Assumptions!$G$28),'S&amp;U'!$I45/ROUNDUP((Assumptions!$G$25+Assumptions!$G$27)/12,0),0))</f>
        <v>1773815.4579122502</v>
      </c>
      <c r="I223" s="76">
        <f ca="1">+IF(AND(I$216&gt;=Assumptions!$G$22,I$216&lt;Assumptions!$G$24),'S&amp;U'!$I13/ROUNDUP(Assumptions!$G$23/12,0),IF(AND(I$216&gt;=Assumptions!$G$24,I$216&lt;Assumptions!$G$28),'S&amp;U'!$I45/ROUNDUP((Assumptions!$G$25+Assumptions!$G$27)/12,0),0))</f>
        <v>1773815.4579122502</v>
      </c>
      <c r="J223" s="76">
        <f ca="1">+IF(AND(J$216&gt;=Assumptions!$G$22,J$216&lt;Assumptions!$G$24),'S&amp;U'!$I13/ROUNDUP(Assumptions!$G$23/12,0),IF(AND(J$216&gt;=Assumptions!$G$24,J$216&lt;Assumptions!$G$28),'S&amp;U'!$I45/ROUNDUP((Assumptions!$G$25+Assumptions!$G$27)/12,0),0))</f>
        <v>1773815.4579122502</v>
      </c>
      <c r="K223" s="76">
        <f>+IF(AND(K$216&gt;=Assumptions!$G$22,K$216&lt;Assumptions!$G$24),'S&amp;U'!$I13/ROUNDUP(Assumptions!$G$23/12,0),IF(AND(K$216&gt;=Assumptions!$G$24,K$216&lt;Assumptions!$G$28),'S&amp;U'!$I45/ROUNDUP((Assumptions!$G$25+Assumptions!$G$27)/12,0),0))</f>
        <v>0</v>
      </c>
      <c r="L223" s="76">
        <f>+IF(AND(L$216&gt;=Assumptions!$G$22,L$216&lt;Assumptions!$G$24),'S&amp;U'!$I13/ROUNDUP(Assumptions!$G$23/12,0),IF(AND(L$216&gt;=Assumptions!$G$24,L$216&lt;Assumptions!$G$28),'S&amp;U'!$I45/ROUNDUP((Assumptions!$G$25+Assumptions!$G$27)/12,0),0))</f>
        <v>0</v>
      </c>
      <c r="M223" s="76">
        <f>+IF(AND(M$216&gt;=Assumptions!$G$22,M$216&lt;Assumptions!$G$24),'S&amp;U'!$I13/ROUNDUP(Assumptions!$G$23/12,0),IF(AND(M$216&gt;=Assumptions!$G$24,M$216&lt;Assumptions!$G$28),'S&amp;U'!$I45/ROUNDUP((Assumptions!$G$25+Assumptions!$G$27)/12,0),0))</f>
        <v>0</v>
      </c>
      <c r="N223" s="76">
        <f>+IF(AND(N$216&gt;=Assumptions!$G$22,N$216&lt;Assumptions!$G$24),'S&amp;U'!$I13/ROUNDUP(Assumptions!$G$23/12,0),IF(AND(N$216&gt;=Assumptions!$G$24,N$216&lt;Assumptions!$G$28),'S&amp;U'!$I45/ROUNDUP((Assumptions!$G$25+Assumptions!$G$27)/12,0),0))</f>
        <v>0</v>
      </c>
      <c r="O223" s="76">
        <f>+IF(AND(O$216&gt;=Assumptions!$G$22,O$216&lt;Assumptions!$G$24),'S&amp;U'!$I13/ROUNDUP(Assumptions!$G$23/12,0),IF(AND(O$216&gt;=Assumptions!$G$24,O$216&lt;Assumptions!$G$28),'S&amp;U'!$I45/ROUNDUP((Assumptions!$G$25+Assumptions!$G$27)/12,0),0))</f>
        <v>0</v>
      </c>
      <c r="P223" s="76">
        <f>+IF(AND(P$216&gt;=Assumptions!$G$22,P$216&lt;Assumptions!$G$24),'S&amp;U'!$I13/ROUNDUP(Assumptions!$G$23/12,0),IF(AND(P$216&gt;=Assumptions!$G$24,P$216&lt;Assumptions!$G$28),'S&amp;U'!$I45/ROUNDUP((Assumptions!$G$25+Assumptions!$G$27)/12,0),0))</f>
        <v>0</v>
      </c>
      <c r="Q223" s="76">
        <f>+IF(AND(Q$216&gt;=Assumptions!$G$22,Q$216&lt;Assumptions!$G$24),'S&amp;U'!$I13/ROUNDUP(Assumptions!$G$23/12,0),IF(AND(Q$216&gt;=Assumptions!$G$24,Q$216&lt;Assumptions!$G$28),'S&amp;U'!$I45/ROUNDUP((Assumptions!$G$25+Assumptions!$G$27)/12,0),0))</f>
        <v>0</v>
      </c>
      <c r="R223" s="76">
        <f>+IF(AND(R$216&gt;=Assumptions!$G$22,R$216&lt;Assumptions!$G$24),'S&amp;U'!$I13/ROUNDUP(Assumptions!$G$23/12,0),IF(AND(R$216&gt;=Assumptions!$G$24,R$216&lt;Assumptions!$G$28),'S&amp;U'!$I45/ROUNDUP((Assumptions!$G$25+Assumptions!$G$27)/12,0),0))</f>
        <v>0</v>
      </c>
      <c r="S223" s="76">
        <f>+IF(AND(S$216&gt;=Assumptions!$G$22,S$216&lt;Assumptions!$G$24),'S&amp;U'!$I13/ROUNDUP(Assumptions!$G$23/12,0),IF(AND(S$216&gt;=Assumptions!$G$24,S$216&lt;Assumptions!$G$28),'S&amp;U'!$I45/ROUNDUP((Assumptions!$G$25+Assumptions!$G$27)/12,0),0))</f>
        <v>0</v>
      </c>
      <c r="T223" s="76">
        <f>+IF(AND(T$216&gt;=Assumptions!$G$22,T$216&lt;Assumptions!$G$24),'S&amp;U'!$I13/ROUNDUP(Assumptions!$G$23/12,0),IF(AND(T$216&gt;=Assumptions!$G$24,T$216&lt;Assumptions!$G$28),'S&amp;U'!$I45/ROUNDUP((Assumptions!$G$25+Assumptions!$G$27)/12,0),0))</f>
        <v>0</v>
      </c>
      <c r="U223" s="76">
        <f>+IF(AND(U$216&gt;=Assumptions!$G$22,U$216&lt;Assumptions!$G$24),'S&amp;U'!$I13/ROUNDUP(Assumptions!$G$23/12,0),IF(AND(U$216&gt;=Assumptions!$G$24,U$216&lt;Assumptions!$G$28),'S&amp;U'!$I45/ROUNDUP((Assumptions!$G$25+Assumptions!$G$27)/12,0),0))</f>
        <v>0</v>
      </c>
      <c r="V223" s="76">
        <f>+IF(AND(V$216&gt;=Assumptions!$G$22,V$216&lt;Assumptions!$G$24),'S&amp;U'!$I13/ROUNDUP(Assumptions!$G$23/12,0),IF(AND(V$216&gt;=Assumptions!$G$24,V$216&lt;Assumptions!$G$28),'S&amp;U'!$I45/ROUNDUP((Assumptions!$G$25+Assumptions!$G$27)/12,0),0))</f>
        <v>0</v>
      </c>
      <c r="W223" s="76">
        <f>+IF(AND(W$216&gt;=Assumptions!$G$22,W$216&lt;Assumptions!$G$24),'S&amp;U'!$I13/ROUNDUP(Assumptions!$G$23/12,0),IF(AND(W$216&gt;=Assumptions!$G$24,W$216&lt;Assumptions!$G$28),'S&amp;U'!$I45/ROUNDUP((Assumptions!$G$25+Assumptions!$G$27)/12,0),0))</f>
        <v>0</v>
      </c>
      <c r="X223" s="76">
        <f>+IF(AND(X$216&gt;=Assumptions!$G$22,X$216&lt;Assumptions!$G$24),'S&amp;U'!$I13/ROUNDUP(Assumptions!$G$23/12,0),IF(AND(X$216&gt;=Assumptions!$G$24,X$216&lt;Assumptions!$G$28),'S&amp;U'!$I45/ROUNDUP((Assumptions!$G$25+Assumptions!$G$27)/12,0),0))</f>
        <v>0</v>
      </c>
      <c r="Y223" s="76">
        <f>+IF(AND(Y$216&gt;=Assumptions!$G$22,Y$216&lt;Assumptions!$G$24),'S&amp;U'!$I13/ROUNDUP(Assumptions!$G$23/12,0),IF(AND(Y$216&gt;=Assumptions!$G$24,Y$216&lt;Assumptions!$G$28),'S&amp;U'!$I45/ROUNDUP((Assumptions!$G$25+Assumptions!$G$27)/12,0),0))</f>
        <v>0</v>
      </c>
      <c r="Z223" s="76">
        <f>+IF(AND(Z$216&gt;=Assumptions!$G$22,Z$216&lt;Assumptions!$G$24),'S&amp;U'!$I13/ROUNDUP(Assumptions!$G$23/12,0),IF(AND(Z$216&gt;=Assumptions!$G$24,Z$216&lt;Assumptions!$G$28),'S&amp;U'!$I45/ROUNDUP((Assumptions!$G$25+Assumptions!$G$27)/12,0),0))</f>
        <v>0</v>
      </c>
    </row>
    <row r="224" spans="2:26">
      <c r="B224" s="653" t="s">
        <v>636</v>
      </c>
      <c r="C224" s="653"/>
      <c r="D224" s="544">
        <f ca="1">+SUM(D217:D223)</f>
        <v>322707658.19948381</v>
      </c>
      <c r="E224" s="544"/>
      <c r="F224" s="544">
        <f ca="1">+SUM(F217:F223)</f>
        <v>94010286</v>
      </c>
      <c r="G224" s="544">
        <f ca="1">+SUM(G217:G223)</f>
        <v>112574870.64182965</v>
      </c>
      <c r="H224" s="544">
        <f ca="1">+SUM(H217:H223)</f>
        <v>112574870.64182965</v>
      </c>
      <c r="I224" s="544">
        <f t="shared" ref="I224:Z224" ca="1" si="138">+SUM(I217:I223)</f>
        <v>1773815.4579122502</v>
      </c>
      <c r="J224" s="544">
        <f t="shared" ca="1" si="138"/>
        <v>1773815.4579122502</v>
      </c>
      <c r="K224" s="544">
        <f t="shared" si="138"/>
        <v>0</v>
      </c>
      <c r="L224" s="544">
        <f t="shared" si="138"/>
        <v>0</v>
      </c>
      <c r="M224" s="544">
        <f t="shared" si="138"/>
        <v>0</v>
      </c>
      <c r="N224" s="544">
        <f t="shared" si="138"/>
        <v>0</v>
      </c>
      <c r="O224" s="544">
        <f t="shared" si="138"/>
        <v>0</v>
      </c>
      <c r="P224" s="544">
        <f t="shared" si="138"/>
        <v>0</v>
      </c>
      <c r="Q224" s="544">
        <f t="shared" si="138"/>
        <v>0</v>
      </c>
      <c r="R224" s="544">
        <f t="shared" si="138"/>
        <v>0</v>
      </c>
      <c r="S224" s="544">
        <f t="shared" si="138"/>
        <v>0</v>
      </c>
      <c r="T224" s="544">
        <f t="shared" si="138"/>
        <v>0</v>
      </c>
      <c r="U224" s="544">
        <f t="shared" si="138"/>
        <v>0</v>
      </c>
      <c r="V224" s="544">
        <f t="shared" si="138"/>
        <v>0</v>
      </c>
      <c r="W224" s="544">
        <f t="shared" si="138"/>
        <v>0</v>
      </c>
      <c r="X224" s="544">
        <f t="shared" si="138"/>
        <v>0</v>
      </c>
      <c r="Y224" s="544">
        <f t="shared" si="138"/>
        <v>0</v>
      </c>
      <c r="Z224" s="544">
        <f t="shared" si="138"/>
        <v>0</v>
      </c>
    </row>
    <row r="226" spans="1:26">
      <c r="B226" s="73" t="s">
        <v>637</v>
      </c>
      <c r="F226" s="75">
        <f>+Assumptions!$G$22</f>
        <v>44926</v>
      </c>
      <c r="G226" s="75">
        <f>+EOMONTH(F226,12)</f>
        <v>45291</v>
      </c>
      <c r="H226" s="75">
        <f t="shared" ref="H226:Z226" si="139">+EOMONTH(G226,12)</f>
        <v>45657</v>
      </c>
      <c r="I226" s="75">
        <f t="shared" si="139"/>
        <v>46022</v>
      </c>
      <c r="J226" s="75">
        <f t="shared" si="139"/>
        <v>46387</v>
      </c>
      <c r="K226" s="75">
        <f t="shared" si="139"/>
        <v>46752</v>
      </c>
      <c r="L226" s="75">
        <f t="shared" si="139"/>
        <v>47118</v>
      </c>
      <c r="M226" s="75">
        <f t="shared" si="139"/>
        <v>47483</v>
      </c>
      <c r="N226" s="75">
        <f t="shared" si="139"/>
        <v>47848</v>
      </c>
      <c r="O226" s="75">
        <f t="shared" si="139"/>
        <v>48213</v>
      </c>
      <c r="P226" s="75">
        <f t="shared" si="139"/>
        <v>48579</v>
      </c>
      <c r="Q226" s="75">
        <f t="shared" si="139"/>
        <v>48944</v>
      </c>
      <c r="R226" s="75">
        <f t="shared" si="139"/>
        <v>49309</v>
      </c>
      <c r="S226" s="75">
        <f t="shared" si="139"/>
        <v>49674</v>
      </c>
      <c r="T226" s="75">
        <f t="shared" si="139"/>
        <v>50040</v>
      </c>
      <c r="U226" s="75">
        <f t="shared" si="139"/>
        <v>50405</v>
      </c>
      <c r="V226" s="75">
        <f t="shared" si="139"/>
        <v>50770</v>
      </c>
      <c r="W226" s="75">
        <f t="shared" si="139"/>
        <v>51135</v>
      </c>
      <c r="X226" s="75">
        <f t="shared" si="139"/>
        <v>51501</v>
      </c>
      <c r="Y226" s="75">
        <f t="shared" si="139"/>
        <v>51866</v>
      </c>
      <c r="Z226" s="75">
        <f t="shared" si="139"/>
        <v>52231</v>
      </c>
    </row>
    <row r="227" spans="1:26">
      <c r="B227" s="15" t="s">
        <v>176</v>
      </c>
      <c r="D227" s="26">
        <f t="shared" ref="D227:D235" si="140">+SUM(F227:Z227)</f>
        <v>0</v>
      </c>
      <c r="E227" s="26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</row>
    <row r="228" spans="1:26">
      <c r="B228" s="15" t="s">
        <v>638</v>
      </c>
      <c r="D228" s="26">
        <f t="shared" si="140"/>
        <v>0</v>
      </c>
      <c r="E228" s="26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</row>
    <row r="229" spans="1:26">
      <c r="B229" s="15" t="s">
        <v>312</v>
      </c>
      <c r="D229" s="26">
        <f t="shared" si="140"/>
        <v>44981034.314584278</v>
      </c>
      <c r="E229" s="26"/>
      <c r="F229" s="76">
        <v>0</v>
      </c>
      <c r="G229" s="76">
        <v>0</v>
      </c>
      <c r="H229" s="76">
        <f>'S&amp;U'!I20</f>
        <v>44981034.314584278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</row>
    <row r="230" spans="1:26">
      <c r="B230" s="15" t="s">
        <v>313</v>
      </c>
      <c r="D230" s="26">
        <f t="shared" si="140"/>
        <v>0</v>
      </c>
      <c r="E230" s="26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</row>
    <row r="231" spans="1:26">
      <c r="B231" s="659" t="s">
        <v>314</v>
      </c>
      <c r="D231" s="26">
        <f t="shared" si="140"/>
        <v>0</v>
      </c>
      <c r="E231" s="26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</row>
    <row r="232" spans="1:26">
      <c r="A232" s="49"/>
      <c r="B232" s="15" t="s">
        <v>639</v>
      </c>
      <c r="D232" s="26">
        <f t="shared" si="140"/>
        <v>0</v>
      </c>
      <c r="E232" s="26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</row>
    <row r="233" spans="1:26">
      <c r="A233" s="49"/>
      <c r="B233" s="15" t="s">
        <v>270</v>
      </c>
      <c r="D233" s="26">
        <f t="shared" ca="1" si="140"/>
        <v>101366297.51979429</v>
      </c>
      <c r="E233" s="26"/>
      <c r="F233" s="76">
        <v>0</v>
      </c>
      <c r="G233" s="76">
        <f ca="1">MIN('S&amp;U'!$I$17,G224*0.65-SUM(G227:G231))</f>
        <v>73173665.917189285</v>
      </c>
      <c r="H233" s="76">
        <f ca="1">MIN('S&amp;U'!$I$17-G233,H224*0.65-SUM(H227:H231))</f>
        <v>28192631.602605008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</row>
    <row r="234" spans="1:26">
      <c r="A234" s="49"/>
      <c r="B234" s="15" t="s">
        <v>640</v>
      </c>
      <c r="D234" s="26">
        <f t="shared" ca="1" si="140"/>
        <v>176360326.36510521</v>
      </c>
      <c r="E234" s="26"/>
      <c r="F234" s="16">
        <f ca="1">F224-SUM(F227:F233)</f>
        <v>94010286</v>
      </c>
      <c r="G234" s="16">
        <f t="shared" ref="G234:Z234" ca="1" si="141">G224-SUM(G227:G233)</f>
        <v>39401204.724640369</v>
      </c>
      <c r="H234" s="16">
        <f t="shared" ca="1" si="141"/>
        <v>39401204.724640369</v>
      </c>
      <c r="I234" s="16">
        <f t="shared" ca="1" si="141"/>
        <v>1773815.4579122502</v>
      </c>
      <c r="J234" s="16">
        <f t="shared" ca="1" si="141"/>
        <v>1773815.4579122502</v>
      </c>
      <c r="K234" s="16">
        <f t="shared" si="141"/>
        <v>0</v>
      </c>
      <c r="L234" s="16">
        <f t="shared" si="141"/>
        <v>0</v>
      </c>
      <c r="M234" s="16">
        <f t="shared" si="141"/>
        <v>0</v>
      </c>
      <c r="N234" s="16">
        <f t="shared" si="141"/>
        <v>0</v>
      </c>
      <c r="O234" s="16">
        <f t="shared" si="141"/>
        <v>0</v>
      </c>
      <c r="P234" s="16">
        <f t="shared" si="141"/>
        <v>0</v>
      </c>
      <c r="Q234" s="16">
        <f t="shared" si="141"/>
        <v>0</v>
      </c>
      <c r="R234" s="16">
        <f t="shared" si="141"/>
        <v>0</v>
      </c>
      <c r="S234" s="16">
        <f t="shared" si="141"/>
        <v>0</v>
      </c>
      <c r="T234" s="16">
        <f t="shared" si="141"/>
        <v>0</v>
      </c>
      <c r="U234" s="16">
        <f t="shared" si="141"/>
        <v>0</v>
      </c>
      <c r="V234" s="16">
        <f t="shared" si="141"/>
        <v>0</v>
      </c>
      <c r="W234" s="16">
        <f t="shared" si="141"/>
        <v>0</v>
      </c>
      <c r="X234" s="16">
        <f t="shared" si="141"/>
        <v>0</v>
      </c>
      <c r="Y234" s="16">
        <f t="shared" si="141"/>
        <v>0</v>
      </c>
      <c r="Z234" s="16">
        <f t="shared" si="141"/>
        <v>0</v>
      </c>
    </row>
    <row r="235" spans="1:26">
      <c r="B235" s="653" t="s">
        <v>641</v>
      </c>
      <c r="C235" s="653"/>
      <c r="D235" s="544">
        <f t="shared" ca="1" si="140"/>
        <v>322707658.19948387</v>
      </c>
      <c r="E235" s="544"/>
      <c r="F235" s="544">
        <f ca="1">SUM(F227:F234)</f>
        <v>94010286</v>
      </c>
      <c r="G235" s="544">
        <f t="shared" ref="G235:Z235" ca="1" si="142">SUM(G227:G234)</f>
        <v>112574870.64182965</v>
      </c>
      <c r="H235" s="544">
        <f t="shared" ca="1" si="142"/>
        <v>112574870.64182965</v>
      </c>
      <c r="I235" s="544">
        <f t="shared" ca="1" si="142"/>
        <v>1773815.4579122502</v>
      </c>
      <c r="J235" s="544">
        <f t="shared" ca="1" si="142"/>
        <v>1773815.4579122502</v>
      </c>
      <c r="K235" s="544">
        <f t="shared" si="142"/>
        <v>0</v>
      </c>
      <c r="L235" s="544">
        <f t="shared" si="142"/>
        <v>0</v>
      </c>
      <c r="M235" s="544">
        <f t="shared" si="142"/>
        <v>0</v>
      </c>
      <c r="N235" s="544">
        <f t="shared" si="142"/>
        <v>0</v>
      </c>
      <c r="O235" s="544">
        <f t="shared" si="142"/>
        <v>0</v>
      </c>
      <c r="P235" s="544">
        <f t="shared" si="142"/>
        <v>0</v>
      </c>
      <c r="Q235" s="544">
        <f t="shared" si="142"/>
        <v>0</v>
      </c>
      <c r="R235" s="544">
        <f t="shared" si="142"/>
        <v>0</v>
      </c>
      <c r="S235" s="544">
        <f t="shared" si="142"/>
        <v>0</v>
      </c>
      <c r="T235" s="544">
        <f t="shared" si="142"/>
        <v>0</v>
      </c>
      <c r="U235" s="544">
        <f t="shared" si="142"/>
        <v>0</v>
      </c>
      <c r="V235" s="544">
        <f t="shared" si="142"/>
        <v>0</v>
      </c>
      <c r="W235" s="544">
        <f t="shared" si="142"/>
        <v>0</v>
      </c>
      <c r="X235" s="544">
        <f t="shared" si="142"/>
        <v>0</v>
      </c>
      <c r="Y235" s="544">
        <f t="shared" si="142"/>
        <v>0</v>
      </c>
      <c r="Z235" s="544">
        <f t="shared" si="142"/>
        <v>0</v>
      </c>
    </row>
    <row r="237" spans="1:26">
      <c r="B237" s="15" t="s">
        <v>642</v>
      </c>
      <c r="D237" s="26">
        <f t="shared" ref="D237" si="143">+SUM(F237:Z237)</f>
        <v>44981034.314584278</v>
      </c>
      <c r="F237" s="22">
        <f t="shared" ref="F237:Z237" si="144">+SUM(F227:F230,F232)</f>
        <v>0</v>
      </c>
      <c r="G237" s="22">
        <f t="shared" si="144"/>
        <v>0</v>
      </c>
      <c r="H237" s="22">
        <f t="shared" si="144"/>
        <v>44981034.314584278</v>
      </c>
      <c r="I237" s="22">
        <f t="shared" si="144"/>
        <v>0</v>
      </c>
      <c r="J237" s="22">
        <f t="shared" si="144"/>
        <v>0</v>
      </c>
      <c r="K237" s="22">
        <f t="shared" si="144"/>
        <v>0</v>
      </c>
      <c r="L237" s="22">
        <f t="shared" si="144"/>
        <v>0</v>
      </c>
      <c r="M237" s="22">
        <f t="shared" si="144"/>
        <v>0</v>
      </c>
      <c r="N237" s="22">
        <f t="shared" si="144"/>
        <v>0</v>
      </c>
      <c r="O237" s="22">
        <f t="shared" si="144"/>
        <v>0</v>
      </c>
      <c r="P237" s="22">
        <f t="shared" si="144"/>
        <v>0</v>
      </c>
      <c r="Q237" s="22">
        <f t="shared" si="144"/>
        <v>0</v>
      </c>
      <c r="R237" s="22">
        <f t="shared" si="144"/>
        <v>0</v>
      </c>
      <c r="S237" s="22">
        <f t="shared" si="144"/>
        <v>0</v>
      </c>
      <c r="T237" s="22">
        <f t="shared" si="144"/>
        <v>0</v>
      </c>
      <c r="U237" s="22">
        <f t="shared" si="144"/>
        <v>0</v>
      </c>
      <c r="V237" s="22">
        <f t="shared" si="144"/>
        <v>0</v>
      </c>
      <c r="W237" s="22">
        <f t="shared" si="144"/>
        <v>0</v>
      </c>
      <c r="X237" s="22">
        <f t="shared" si="144"/>
        <v>0</v>
      </c>
      <c r="Y237" s="22">
        <f t="shared" si="144"/>
        <v>0</v>
      </c>
      <c r="Z237" s="22">
        <f t="shared" si="144"/>
        <v>0</v>
      </c>
    </row>
    <row r="239" spans="1:26">
      <c r="B239" s="73" t="s">
        <v>643</v>
      </c>
    </row>
    <row r="240" spans="1:26">
      <c r="B240" s="15" t="s">
        <v>644</v>
      </c>
      <c r="D240" s="26">
        <f ca="1">+SUM(F240:Z240)</f>
        <v>-176360326.36510521</v>
      </c>
      <c r="E240" s="26"/>
      <c r="F240" s="16">
        <f ca="1">-F234</f>
        <v>-94010286</v>
      </c>
      <c r="G240" s="16">
        <f t="shared" ref="G240:Z240" ca="1" si="145">-G234</f>
        <v>-39401204.724640369</v>
      </c>
      <c r="H240" s="16">
        <f t="shared" ca="1" si="145"/>
        <v>-39401204.724640369</v>
      </c>
      <c r="I240" s="16">
        <f t="shared" ca="1" si="145"/>
        <v>-1773815.4579122502</v>
      </c>
      <c r="J240" s="16">
        <f t="shared" ca="1" si="145"/>
        <v>-1773815.4579122502</v>
      </c>
      <c r="K240" s="16">
        <f t="shared" si="145"/>
        <v>0</v>
      </c>
      <c r="L240" s="16">
        <f t="shared" si="145"/>
        <v>0</v>
      </c>
      <c r="M240" s="16">
        <f t="shared" si="145"/>
        <v>0</v>
      </c>
      <c r="N240" s="16">
        <f t="shared" si="145"/>
        <v>0</v>
      </c>
      <c r="O240" s="16">
        <f t="shared" si="145"/>
        <v>0</v>
      </c>
      <c r="P240" s="16">
        <f t="shared" si="145"/>
        <v>0</v>
      </c>
      <c r="Q240" s="16">
        <f t="shared" si="145"/>
        <v>0</v>
      </c>
      <c r="R240" s="16">
        <f t="shared" si="145"/>
        <v>0</v>
      </c>
      <c r="S240" s="16">
        <f t="shared" si="145"/>
        <v>0</v>
      </c>
      <c r="T240" s="16">
        <f t="shared" si="145"/>
        <v>0</v>
      </c>
      <c r="U240" s="16">
        <f t="shared" si="145"/>
        <v>0</v>
      </c>
      <c r="V240" s="16">
        <f t="shared" si="145"/>
        <v>0</v>
      </c>
      <c r="W240" s="16">
        <f t="shared" si="145"/>
        <v>0</v>
      </c>
      <c r="X240" s="16">
        <f t="shared" si="145"/>
        <v>0</v>
      </c>
      <c r="Y240" s="16">
        <f t="shared" si="145"/>
        <v>0</v>
      </c>
      <c r="Z240" s="16">
        <f t="shared" si="145"/>
        <v>0</v>
      </c>
    </row>
    <row r="241" spans="2:26">
      <c r="B241" s="15" t="s">
        <v>645</v>
      </c>
      <c r="D241" s="26">
        <f ca="1">+SUM(F241:Z241)</f>
        <v>506440205.30635142</v>
      </c>
      <c r="E241" s="26"/>
      <c r="F241" s="76">
        <f t="shared" ref="F241:Z241" ca="1" si="146">F161</f>
        <v>0</v>
      </c>
      <c r="G241" s="76">
        <f t="shared" ca="1" si="146"/>
        <v>0</v>
      </c>
      <c r="H241" s="76">
        <f t="shared" ca="1" si="146"/>
        <v>0</v>
      </c>
      <c r="I241" s="76">
        <f t="shared" ca="1" si="146"/>
        <v>207308926.00587893</v>
      </c>
      <c r="J241" s="76">
        <f t="shared" ca="1" si="146"/>
        <v>6085337.3423324972</v>
      </c>
      <c r="K241" s="76">
        <f t="shared" ca="1" si="146"/>
        <v>6397966.3186974339</v>
      </c>
      <c r="L241" s="76">
        <f t="shared" ca="1" si="146"/>
        <v>8640304.1386130154</v>
      </c>
      <c r="M241" s="76">
        <f t="shared" ca="1" si="146"/>
        <v>8972685.1476414427</v>
      </c>
      <c r="N241" s="76">
        <f t="shared" ca="1" si="146"/>
        <v>9314962.9447696544</v>
      </c>
      <c r="O241" s="76">
        <f t="shared" ca="1" si="146"/>
        <v>259720023.40841848</v>
      </c>
      <c r="P241" s="76">
        <f t="shared" si="146"/>
        <v>0</v>
      </c>
      <c r="Q241" s="76">
        <f t="shared" si="146"/>
        <v>0</v>
      </c>
      <c r="R241" s="76">
        <f t="shared" si="146"/>
        <v>0</v>
      </c>
      <c r="S241" s="76">
        <f t="shared" si="146"/>
        <v>0</v>
      </c>
      <c r="T241" s="76">
        <f t="shared" si="146"/>
        <v>0</v>
      </c>
      <c r="U241" s="76">
        <f t="shared" si="146"/>
        <v>0</v>
      </c>
      <c r="V241" s="76">
        <f t="shared" si="146"/>
        <v>0</v>
      </c>
      <c r="W241" s="76">
        <f t="shared" si="146"/>
        <v>0</v>
      </c>
      <c r="X241" s="76">
        <f t="shared" si="146"/>
        <v>0</v>
      </c>
      <c r="Y241" s="76">
        <f t="shared" si="146"/>
        <v>0</v>
      </c>
      <c r="Z241" s="76">
        <f t="shared" si="146"/>
        <v>0</v>
      </c>
    </row>
    <row r="242" spans="2:26">
      <c r="B242" s="653" t="s">
        <v>646</v>
      </c>
      <c r="C242" s="653"/>
      <c r="D242" s="544">
        <f ca="1">+SUM(F242:Z242)</f>
        <v>330079878.94124621</v>
      </c>
      <c r="E242" s="544"/>
      <c r="F242" s="544">
        <f ca="1">+SUM(F240:F241)</f>
        <v>-94010286</v>
      </c>
      <c r="G242" s="544">
        <f t="shared" ref="G242:Z242" ca="1" si="147">+SUM(G240:G241)</f>
        <v>-39401204.724640369</v>
      </c>
      <c r="H242" s="544">
        <f t="shared" ca="1" si="147"/>
        <v>-39401204.724640369</v>
      </c>
      <c r="I242" s="544">
        <f t="shared" ca="1" si="147"/>
        <v>205535110.54796669</v>
      </c>
      <c r="J242" s="544">
        <f t="shared" ca="1" si="147"/>
        <v>4311521.8844202468</v>
      </c>
      <c r="K242" s="544">
        <f t="shared" ca="1" si="147"/>
        <v>6397966.3186974339</v>
      </c>
      <c r="L242" s="544">
        <f t="shared" ca="1" si="147"/>
        <v>8640304.1386130154</v>
      </c>
      <c r="M242" s="544">
        <f t="shared" ca="1" si="147"/>
        <v>8972685.1476414427</v>
      </c>
      <c r="N242" s="544">
        <f t="shared" ca="1" si="147"/>
        <v>9314962.9447696544</v>
      </c>
      <c r="O242" s="544">
        <f t="shared" ca="1" si="147"/>
        <v>259720023.40841848</v>
      </c>
      <c r="P242" s="544">
        <f t="shared" si="147"/>
        <v>0</v>
      </c>
      <c r="Q242" s="544">
        <f t="shared" si="147"/>
        <v>0</v>
      </c>
      <c r="R242" s="544">
        <f t="shared" si="147"/>
        <v>0</v>
      </c>
      <c r="S242" s="544">
        <f t="shared" si="147"/>
        <v>0</v>
      </c>
      <c r="T242" s="544">
        <f t="shared" si="147"/>
        <v>0</v>
      </c>
      <c r="U242" s="544">
        <f t="shared" si="147"/>
        <v>0</v>
      </c>
      <c r="V242" s="544">
        <f t="shared" si="147"/>
        <v>0</v>
      </c>
      <c r="W242" s="544">
        <f t="shared" si="147"/>
        <v>0</v>
      </c>
      <c r="X242" s="544">
        <f t="shared" si="147"/>
        <v>0</v>
      </c>
      <c r="Y242" s="544">
        <f t="shared" si="147"/>
        <v>0</v>
      </c>
      <c r="Z242" s="544">
        <f t="shared" si="147"/>
        <v>0</v>
      </c>
    </row>
    <row r="244" spans="2:26">
      <c r="B244" s="672" t="s">
        <v>1</v>
      </c>
      <c r="C244" s="672"/>
      <c r="D244" s="673">
        <f ca="1">+IRR(F242:Z242)</f>
        <v>0.24777486724194886</v>
      </c>
    </row>
    <row r="245" spans="2:26">
      <c r="B245" s="655" t="s">
        <v>647</v>
      </c>
      <c r="C245" s="528"/>
      <c r="D245" s="658">
        <f ca="1">+SUM(F242:Z242)</f>
        <v>330079878.94124621</v>
      </c>
    </row>
    <row r="246" spans="2:26">
      <c r="B246" s="674" t="s">
        <v>14</v>
      </c>
      <c r="C246" s="531"/>
      <c r="D246" s="675">
        <f ca="1">+D241/-D240</f>
        <v>2.8716220691149505</v>
      </c>
    </row>
    <row r="248" spans="2:26">
      <c r="B248" s="440" t="s">
        <v>648</v>
      </c>
      <c r="C248" s="441"/>
      <c r="D248" s="441"/>
      <c r="E248" s="441"/>
      <c r="F248" s="611"/>
      <c r="G248" s="611"/>
      <c r="H248" s="611"/>
      <c r="I248" s="611"/>
      <c r="J248" s="611"/>
      <c r="K248" s="611"/>
      <c r="L248" s="611"/>
      <c r="M248" s="611"/>
      <c r="N248" s="611"/>
      <c r="O248" s="611"/>
      <c r="P248" s="611"/>
      <c r="Q248" s="611"/>
      <c r="R248" s="611"/>
      <c r="S248" s="611"/>
      <c r="T248" s="611"/>
      <c r="U248" s="611"/>
      <c r="V248" s="611"/>
      <c r="W248" s="611"/>
      <c r="X248" s="611"/>
      <c r="Y248" s="611"/>
      <c r="Z248" s="611"/>
    </row>
    <row r="250" spans="2:26">
      <c r="B250" s="73" t="s">
        <v>587</v>
      </c>
      <c r="F250" s="75">
        <f>+F$226</f>
        <v>44926</v>
      </c>
      <c r="G250" s="75">
        <f t="shared" ref="G250:Z250" si="148">+G$226</f>
        <v>45291</v>
      </c>
      <c r="H250" s="75">
        <f t="shared" si="148"/>
        <v>45657</v>
      </c>
      <c r="I250" s="75">
        <f t="shared" si="148"/>
        <v>46022</v>
      </c>
      <c r="J250" s="75">
        <f t="shared" si="148"/>
        <v>46387</v>
      </c>
      <c r="K250" s="75">
        <f t="shared" si="148"/>
        <v>46752</v>
      </c>
      <c r="L250" s="75">
        <f t="shared" si="148"/>
        <v>47118</v>
      </c>
      <c r="M250" s="75">
        <f t="shared" si="148"/>
        <v>47483</v>
      </c>
      <c r="N250" s="75">
        <f t="shared" si="148"/>
        <v>47848</v>
      </c>
      <c r="O250" s="75">
        <f t="shared" si="148"/>
        <v>48213</v>
      </c>
      <c r="P250" s="75">
        <f t="shared" si="148"/>
        <v>48579</v>
      </c>
      <c r="Q250" s="75">
        <f t="shared" si="148"/>
        <v>48944</v>
      </c>
      <c r="R250" s="75">
        <f t="shared" si="148"/>
        <v>49309</v>
      </c>
      <c r="S250" s="75">
        <f t="shared" si="148"/>
        <v>49674</v>
      </c>
      <c r="T250" s="75">
        <f t="shared" si="148"/>
        <v>50040</v>
      </c>
      <c r="U250" s="75">
        <f t="shared" si="148"/>
        <v>50405</v>
      </c>
      <c r="V250" s="75">
        <f t="shared" si="148"/>
        <v>50770</v>
      </c>
      <c r="W250" s="75">
        <f t="shared" si="148"/>
        <v>51135</v>
      </c>
      <c r="X250" s="75">
        <f t="shared" si="148"/>
        <v>51501</v>
      </c>
      <c r="Y250" s="75">
        <f t="shared" si="148"/>
        <v>51866</v>
      </c>
      <c r="Z250" s="75">
        <f t="shared" si="148"/>
        <v>52231</v>
      </c>
    </row>
    <row r="251" spans="2:26">
      <c r="B251" s="15" t="s">
        <v>574</v>
      </c>
      <c r="C251"/>
      <c r="D251"/>
      <c r="E251"/>
      <c r="F251" s="16">
        <f ca="1">+F$137</f>
        <v>0</v>
      </c>
      <c r="G251" s="16">
        <f t="shared" ref="G251:Z251" ca="1" si="149">+G$137</f>
        <v>0</v>
      </c>
      <c r="H251" s="16">
        <f t="shared" ca="1" si="149"/>
        <v>0</v>
      </c>
      <c r="I251" s="16">
        <f t="shared" ca="1" si="149"/>
        <v>14496465.133798465</v>
      </c>
      <c r="J251" s="16">
        <f t="shared" ca="1" si="149"/>
        <v>29319279.061402444</v>
      </c>
      <c r="K251" s="16">
        <f t="shared" ca="1" si="149"/>
        <v>29631908.03776738</v>
      </c>
      <c r="L251" s="16">
        <f t="shared" ca="1" si="149"/>
        <v>31874245.857682966</v>
      </c>
      <c r="M251" s="16">
        <f t="shared" ca="1" si="149"/>
        <v>32206626.866711389</v>
      </c>
      <c r="N251" s="16">
        <f t="shared" ca="1" si="149"/>
        <v>32548904.663839601</v>
      </c>
      <c r="O251" s="16">
        <f t="shared" ca="1" si="149"/>
        <v>32902260.677375492</v>
      </c>
      <c r="P251" s="16">
        <f t="shared" ca="1" si="149"/>
        <v>33266593.895779602</v>
      </c>
      <c r="Q251" s="16">
        <f t="shared" ca="1" si="149"/>
        <v>35754221.590639651</v>
      </c>
      <c r="R251" s="16">
        <f t="shared" ca="1" si="149"/>
        <v>36141530.014694929</v>
      </c>
      <c r="S251" s="16">
        <f t="shared" ca="1" si="149"/>
        <v>36540857.262243293</v>
      </c>
      <c r="T251" s="16">
        <f t="shared" ca="1" si="149"/>
        <v>36952571.889404967</v>
      </c>
      <c r="U251" s="16">
        <f t="shared" ca="1" si="149"/>
        <v>37377053.668812089</v>
      </c>
      <c r="V251" s="16">
        <f t="shared" ca="1" si="149"/>
        <v>40137872.396748289</v>
      </c>
      <c r="W251" s="16">
        <f t="shared" ca="1" si="149"/>
        <v>40589074.373304665</v>
      </c>
      <c r="X251" s="16">
        <f t="shared" ca="1" si="149"/>
        <v>41054253.567575999</v>
      </c>
      <c r="Y251" s="16">
        <f t="shared" ca="1" si="149"/>
        <v>41533838.119262084</v>
      </c>
      <c r="Z251" s="16">
        <f t="shared" ca="1" si="149"/>
        <v>42028269.188717104</v>
      </c>
    </row>
    <row r="252" spans="2:26">
      <c r="B252" s="15" t="s">
        <v>612</v>
      </c>
      <c r="C252"/>
      <c r="D252"/>
      <c r="E252"/>
      <c r="F252" s="76">
        <v>0</v>
      </c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</row>
    <row r="253" spans="2:26">
      <c r="B253" s="15" t="s">
        <v>649</v>
      </c>
      <c r="C253"/>
      <c r="D253"/>
      <c r="E253"/>
      <c r="F253" s="76">
        <f ca="1">+F$183</f>
        <v>0</v>
      </c>
      <c r="G253" s="76">
        <f t="shared" ref="G253:Z253" ca="1" si="150">+G$183</f>
        <v>0</v>
      </c>
      <c r="H253" s="76">
        <f t="shared" ca="1" si="150"/>
        <v>0</v>
      </c>
      <c r="I253" s="76">
        <f t="shared" ca="1" si="150"/>
        <v>3.9187499999999995E-6</v>
      </c>
      <c r="J253" s="76">
        <f t="shared" ca="1" si="150"/>
        <v>7.8375000000000008E-6</v>
      </c>
      <c r="K253" s="76">
        <f t="shared" ca="1" si="150"/>
        <v>7.8374999999999991E-6</v>
      </c>
      <c r="L253" s="76">
        <f t="shared" ca="1" si="150"/>
        <v>8.6212499999999998E-6</v>
      </c>
      <c r="M253" s="76">
        <f t="shared" ca="1" si="150"/>
        <v>8.6212499999999998E-6</v>
      </c>
      <c r="N253" s="76">
        <f t="shared" ca="1" si="150"/>
        <v>8.6212499999999998E-6</v>
      </c>
      <c r="O253" s="76">
        <f t="shared" ca="1" si="150"/>
        <v>8.6212499999999998E-6</v>
      </c>
      <c r="P253" s="76">
        <f t="shared" ca="1" si="150"/>
        <v>8.6212499999999998E-6</v>
      </c>
      <c r="Q253" s="76">
        <f t="shared" ca="1" si="150"/>
        <v>9.4833749999999996E-6</v>
      </c>
      <c r="R253" s="76">
        <f t="shared" ca="1" si="150"/>
        <v>9.4833749999999996E-6</v>
      </c>
      <c r="S253" s="76">
        <f t="shared" ca="1" si="150"/>
        <v>9.4833749999999996E-6</v>
      </c>
      <c r="T253" s="76">
        <f t="shared" ca="1" si="150"/>
        <v>9.4833749999999996E-6</v>
      </c>
      <c r="U253" s="76">
        <f t="shared" ca="1" si="150"/>
        <v>9.4833749999999996E-6</v>
      </c>
      <c r="V253" s="76">
        <f t="shared" ca="1" si="150"/>
        <v>1.0431712500000001E-5</v>
      </c>
      <c r="W253" s="76">
        <f t="shared" ca="1" si="150"/>
        <v>1.0431712500000001E-5</v>
      </c>
      <c r="X253" s="76">
        <f t="shared" ca="1" si="150"/>
        <v>1.0431712500000001E-5</v>
      </c>
      <c r="Y253" s="76">
        <f t="shared" ca="1" si="150"/>
        <v>1.0431712500000001E-5</v>
      </c>
      <c r="Z253" s="76">
        <f t="shared" ca="1" si="150"/>
        <v>1.0431712500000001E-5</v>
      </c>
    </row>
    <row r="254" spans="2:26">
      <c r="B254" s="653" t="s">
        <v>587</v>
      </c>
      <c r="C254" s="653"/>
      <c r="D254" s="544"/>
      <c r="E254" s="544"/>
      <c r="F254" s="544">
        <f t="shared" ref="F254:Z254" ca="1" si="151">+SUM(F251:F253)</f>
        <v>0</v>
      </c>
      <c r="G254" s="544">
        <f t="shared" ca="1" si="151"/>
        <v>0</v>
      </c>
      <c r="H254" s="544">
        <f t="shared" ca="1" si="151"/>
        <v>0</v>
      </c>
      <c r="I254" s="544">
        <f t="shared" ca="1" si="151"/>
        <v>14496465.133802384</v>
      </c>
      <c r="J254" s="544">
        <f t="shared" ca="1" si="151"/>
        <v>29319279.061410282</v>
      </c>
      <c r="K254" s="544">
        <f t="shared" ca="1" si="151"/>
        <v>29631908.037775218</v>
      </c>
      <c r="L254" s="544">
        <f t="shared" ca="1" si="151"/>
        <v>31874245.857691586</v>
      </c>
      <c r="M254" s="544">
        <f t="shared" ca="1" si="151"/>
        <v>32206626.86672001</v>
      </c>
      <c r="N254" s="544">
        <f t="shared" ca="1" si="151"/>
        <v>32548904.663848221</v>
      </c>
      <c r="O254" s="544">
        <f t="shared" ca="1" si="151"/>
        <v>32902260.677384112</v>
      </c>
      <c r="P254" s="544">
        <f t="shared" ca="1" si="151"/>
        <v>33266593.895788223</v>
      </c>
      <c r="Q254" s="544">
        <f t="shared" ca="1" si="151"/>
        <v>35754221.590649135</v>
      </c>
      <c r="R254" s="544">
        <f t="shared" ca="1" si="151"/>
        <v>36141530.014704414</v>
      </c>
      <c r="S254" s="544">
        <f t="shared" ca="1" si="151"/>
        <v>36540857.262252778</v>
      </c>
      <c r="T254" s="544">
        <f t="shared" ca="1" si="151"/>
        <v>36952571.889414452</v>
      </c>
      <c r="U254" s="544">
        <f t="shared" ca="1" si="151"/>
        <v>37377053.668821573</v>
      </c>
      <c r="V254" s="544">
        <f t="shared" ca="1" si="151"/>
        <v>40137872.39675872</v>
      </c>
      <c r="W254" s="544">
        <f t="shared" ca="1" si="151"/>
        <v>40589074.373315096</v>
      </c>
      <c r="X254" s="544">
        <f t="shared" ca="1" si="151"/>
        <v>41054253.567586429</v>
      </c>
      <c r="Y254" s="544">
        <f t="shared" ca="1" si="151"/>
        <v>41533838.119272515</v>
      </c>
      <c r="Z254" s="544">
        <f t="shared" ca="1" si="151"/>
        <v>42028269.188727535</v>
      </c>
    </row>
    <row r="256" spans="2:26">
      <c r="B256" s="73" t="s">
        <v>152</v>
      </c>
      <c r="F256" s="75">
        <f>+F$226</f>
        <v>44926</v>
      </c>
      <c r="G256" s="75">
        <f t="shared" ref="G256:Z256" si="152">+G$226</f>
        <v>45291</v>
      </c>
      <c r="H256" s="75">
        <f t="shared" si="152"/>
        <v>45657</v>
      </c>
      <c r="I256" s="75">
        <f t="shared" si="152"/>
        <v>46022</v>
      </c>
      <c r="J256" s="75">
        <f t="shared" si="152"/>
        <v>46387</v>
      </c>
      <c r="K256" s="75">
        <f t="shared" si="152"/>
        <v>46752</v>
      </c>
      <c r="L256" s="75">
        <f t="shared" si="152"/>
        <v>47118</v>
      </c>
      <c r="M256" s="75">
        <f t="shared" si="152"/>
        <v>47483</v>
      </c>
      <c r="N256" s="75">
        <f t="shared" si="152"/>
        <v>47848</v>
      </c>
      <c r="O256" s="75">
        <f t="shared" si="152"/>
        <v>48213</v>
      </c>
      <c r="P256" s="75">
        <f t="shared" si="152"/>
        <v>48579</v>
      </c>
      <c r="Q256" s="75">
        <f t="shared" si="152"/>
        <v>48944</v>
      </c>
      <c r="R256" s="75">
        <f t="shared" si="152"/>
        <v>49309</v>
      </c>
      <c r="S256" s="75">
        <f t="shared" si="152"/>
        <v>49674</v>
      </c>
      <c r="T256" s="75">
        <f t="shared" si="152"/>
        <v>50040</v>
      </c>
      <c r="U256" s="75">
        <f t="shared" si="152"/>
        <v>50405</v>
      </c>
      <c r="V256" s="75">
        <f t="shared" si="152"/>
        <v>50770</v>
      </c>
      <c r="W256" s="75">
        <f t="shared" si="152"/>
        <v>51135</v>
      </c>
      <c r="X256" s="75">
        <f t="shared" si="152"/>
        <v>51501</v>
      </c>
      <c r="Y256" s="75">
        <f t="shared" si="152"/>
        <v>51866</v>
      </c>
      <c r="Z256" s="75">
        <f t="shared" si="152"/>
        <v>52231</v>
      </c>
    </row>
    <row r="257" spans="2:26">
      <c r="B257" s="15" t="s">
        <v>605</v>
      </c>
      <c r="C257"/>
      <c r="D257"/>
      <c r="E257"/>
      <c r="F257" s="16">
        <f t="shared" ref="F257:Z257" si="153">+F202+F154</f>
        <v>0</v>
      </c>
      <c r="G257" s="16">
        <f t="shared" si="153"/>
        <v>0</v>
      </c>
      <c r="H257" s="16">
        <f t="shared" si="153"/>
        <v>0</v>
      </c>
      <c r="I257" s="16">
        <f t="shared" si="153"/>
        <v>0</v>
      </c>
      <c r="J257" s="16">
        <f t="shared" si="153"/>
        <v>0</v>
      </c>
      <c r="K257" s="16">
        <f t="shared" si="153"/>
        <v>0</v>
      </c>
      <c r="L257" s="16">
        <f t="shared" si="153"/>
        <v>0</v>
      </c>
      <c r="M257" s="16">
        <f t="shared" si="153"/>
        <v>0</v>
      </c>
      <c r="N257" s="16">
        <f t="shared" si="153"/>
        <v>0</v>
      </c>
      <c r="O257" s="16">
        <f t="shared" ca="1" si="153"/>
        <v>546844586.33263505</v>
      </c>
      <c r="P257" s="16">
        <f t="shared" si="153"/>
        <v>0</v>
      </c>
      <c r="Q257" s="16">
        <f t="shared" si="153"/>
        <v>0</v>
      </c>
      <c r="R257" s="16">
        <f t="shared" si="153"/>
        <v>0</v>
      </c>
      <c r="S257" s="16">
        <f t="shared" si="153"/>
        <v>0</v>
      </c>
      <c r="T257" s="16">
        <f t="shared" si="153"/>
        <v>0</v>
      </c>
      <c r="U257" s="16">
        <f t="shared" si="153"/>
        <v>0</v>
      </c>
      <c r="V257" s="16">
        <f t="shared" si="153"/>
        <v>0</v>
      </c>
      <c r="W257" s="16">
        <f t="shared" si="153"/>
        <v>0</v>
      </c>
      <c r="X257" s="16">
        <f t="shared" si="153"/>
        <v>0</v>
      </c>
      <c r="Y257" s="16">
        <f t="shared" si="153"/>
        <v>0</v>
      </c>
      <c r="Z257" s="16">
        <f t="shared" si="153"/>
        <v>0</v>
      </c>
    </row>
    <row r="258" spans="2:26">
      <c r="B258" s="15" t="s">
        <v>607</v>
      </c>
      <c r="F258" s="76">
        <f t="shared" ref="F258:Z258" si="154">+F203+F156</f>
        <v>0</v>
      </c>
      <c r="G258" s="76">
        <f t="shared" si="154"/>
        <v>0</v>
      </c>
      <c r="H258" s="76">
        <f t="shared" si="154"/>
        <v>0</v>
      </c>
      <c r="I258" s="76">
        <f t="shared" si="154"/>
        <v>0</v>
      </c>
      <c r="J258" s="76">
        <f t="shared" si="154"/>
        <v>0</v>
      </c>
      <c r="K258" s="76">
        <f t="shared" si="154"/>
        <v>0</v>
      </c>
      <c r="L258" s="76">
        <f t="shared" si="154"/>
        <v>0</v>
      </c>
      <c r="M258" s="76">
        <f t="shared" si="154"/>
        <v>0</v>
      </c>
      <c r="N258" s="76">
        <f t="shared" si="154"/>
        <v>0</v>
      </c>
      <c r="O258" s="76">
        <f t="shared" ca="1" si="154"/>
        <v>-10936891.7266527</v>
      </c>
      <c r="P258" s="76">
        <f t="shared" si="154"/>
        <v>0</v>
      </c>
      <c r="Q258" s="76">
        <f t="shared" si="154"/>
        <v>0</v>
      </c>
      <c r="R258" s="76">
        <f t="shared" si="154"/>
        <v>0</v>
      </c>
      <c r="S258" s="76">
        <f t="shared" si="154"/>
        <v>0</v>
      </c>
      <c r="T258" s="76">
        <f t="shared" si="154"/>
        <v>0</v>
      </c>
      <c r="U258" s="76">
        <f t="shared" si="154"/>
        <v>0</v>
      </c>
      <c r="V258" s="76">
        <f t="shared" si="154"/>
        <v>0</v>
      </c>
      <c r="W258" s="76">
        <f t="shared" si="154"/>
        <v>0</v>
      </c>
      <c r="X258" s="76">
        <f t="shared" si="154"/>
        <v>0</v>
      </c>
      <c r="Y258" s="76">
        <f t="shared" si="154"/>
        <v>0</v>
      </c>
      <c r="Z258" s="76">
        <f t="shared" si="154"/>
        <v>0</v>
      </c>
    </row>
    <row r="259" spans="2:26">
      <c r="B259" s="653" t="s">
        <v>609</v>
      </c>
      <c r="C259" s="653"/>
      <c r="D259" s="544"/>
      <c r="E259" s="544"/>
      <c r="F259" s="544">
        <f t="shared" ref="F259:Z259" si="155">+SUM(F257:F258)</f>
        <v>0</v>
      </c>
      <c r="G259" s="544">
        <f t="shared" si="155"/>
        <v>0</v>
      </c>
      <c r="H259" s="544">
        <f t="shared" si="155"/>
        <v>0</v>
      </c>
      <c r="I259" s="544">
        <f t="shared" si="155"/>
        <v>0</v>
      </c>
      <c r="J259" s="544">
        <f t="shared" si="155"/>
        <v>0</v>
      </c>
      <c r="K259" s="544">
        <f t="shared" si="155"/>
        <v>0</v>
      </c>
      <c r="L259" s="544">
        <f t="shared" si="155"/>
        <v>0</v>
      </c>
      <c r="M259" s="544">
        <f t="shared" si="155"/>
        <v>0</v>
      </c>
      <c r="N259" s="544">
        <f t="shared" si="155"/>
        <v>0</v>
      </c>
      <c r="O259" s="544">
        <f t="shared" ca="1" si="155"/>
        <v>535907694.60598236</v>
      </c>
      <c r="P259" s="544">
        <f t="shared" si="155"/>
        <v>0</v>
      </c>
      <c r="Q259" s="544">
        <f t="shared" si="155"/>
        <v>0</v>
      </c>
      <c r="R259" s="544">
        <f t="shared" si="155"/>
        <v>0</v>
      </c>
      <c r="S259" s="544">
        <f t="shared" si="155"/>
        <v>0</v>
      </c>
      <c r="T259" s="544">
        <f t="shared" si="155"/>
        <v>0</v>
      </c>
      <c r="U259" s="544">
        <f t="shared" si="155"/>
        <v>0</v>
      </c>
      <c r="V259" s="544">
        <f t="shared" si="155"/>
        <v>0</v>
      </c>
      <c r="W259" s="544">
        <f t="shared" si="155"/>
        <v>0</v>
      </c>
      <c r="X259" s="544">
        <f t="shared" si="155"/>
        <v>0</v>
      </c>
      <c r="Y259" s="544">
        <f t="shared" si="155"/>
        <v>0</v>
      </c>
      <c r="Z259" s="544">
        <f t="shared" si="155"/>
        <v>0</v>
      </c>
    </row>
    <row r="261" spans="2:26">
      <c r="B261" s="73" t="s">
        <v>650</v>
      </c>
      <c r="F261" s="75">
        <f t="shared" ref="F261:Z261" si="156">+F$226</f>
        <v>44926</v>
      </c>
      <c r="G261" s="75">
        <f t="shared" si="156"/>
        <v>45291</v>
      </c>
      <c r="H261" s="75">
        <f t="shared" si="156"/>
        <v>45657</v>
      </c>
      <c r="I261" s="75">
        <f t="shared" si="156"/>
        <v>46022</v>
      </c>
      <c r="J261" s="75">
        <f t="shared" si="156"/>
        <v>46387</v>
      </c>
      <c r="K261" s="75">
        <f t="shared" si="156"/>
        <v>46752</v>
      </c>
      <c r="L261" s="75">
        <f t="shared" si="156"/>
        <v>47118</v>
      </c>
      <c r="M261" s="75">
        <f t="shared" si="156"/>
        <v>47483</v>
      </c>
      <c r="N261" s="75">
        <f t="shared" si="156"/>
        <v>47848</v>
      </c>
      <c r="O261" s="75">
        <f t="shared" si="156"/>
        <v>48213</v>
      </c>
      <c r="P261" s="75">
        <f t="shared" si="156"/>
        <v>48579</v>
      </c>
      <c r="Q261" s="75">
        <f t="shared" si="156"/>
        <v>48944</v>
      </c>
      <c r="R261" s="75">
        <f t="shared" si="156"/>
        <v>49309</v>
      </c>
      <c r="S261" s="75">
        <f t="shared" si="156"/>
        <v>49674</v>
      </c>
      <c r="T261" s="75">
        <f t="shared" si="156"/>
        <v>50040</v>
      </c>
      <c r="U261" s="75">
        <f t="shared" si="156"/>
        <v>50405</v>
      </c>
      <c r="V261" s="75">
        <f t="shared" si="156"/>
        <v>50770</v>
      </c>
      <c r="W261" s="75">
        <f t="shared" si="156"/>
        <v>51135</v>
      </c>
      <c r="X261" s="75">
        <f t="shared" si="156"/>
        <v>51501</v>
      </c>
      <c r="Y261" s="75">
        <f t="shared" si="156"/>
        <v>51866</v>
      </c>
      <c r="Z261" s="75">
        <f t="shared" si="156"/>
        <v>52231</v>
      </c>
    </row>
    <row r="262" spans="2:26">
      <c r="B262" s="15" t="s">
        <v>254</v>
      </c>
      <c r="D262" s="26">
        <f>+SUM(F262:Z262)</f>
        <v>86708931</v>
      </c>
      <c r="E262" s="26"/>
      <c r="F262" s="16">
        <f t="shared" ref="F262:Z262" si="157">+F217</f>
        <v>86708931</v>
      </c>
      <c r="G262" s="16">
        <f t="shared" si="157"/>
        <v>0</v>
      </c>
      <c r="H262" s="16">
        <f t="shared" si="157"/>
        <v>0</v>
      </c>
      <c r="I262" s="16">
        <f t="shared" si="157"/>
        <v>0</v>
      </c>
      <c r="J262" s="16">
        <f t="shared" si="157"/>
        <v>0</v>
      </c>
      <c r="K262" s="16">
        <f t="shared" si="157"/>
        <v>0</v>
      </c>
      <c r="L262" s="16">
        <f t="shared" si="157"/>
        <v>0</v>
      </c>
      <c r="M262" s="16">
        <f t="shared" si="157"/>
        <v>0</v>
      </c>
      <c r="N262" s="16">
        <f t="shared" si="157"/>
        <v>0</v>
      </c>
      <c r="O262" s="16">
        <f t="shared" si="157"/>
        <v>0</v>
      </c>
      <c r="P262" s="16">
        <f t="shared" si="157"/>
        <v>0</v>
      </c>
      <c r="Q262" s="16">
        <f t="shared" si="157"/>
        <v>0</v>
      </c>
      <c r="R262" s="16">
        <f t="shared" si="157"/>
        <v>0</v>
      </c>
      <c r="S262" s="16">
        <f t="shared" si="157"/>
        <v>0</v>
      </c>
      <c r="T262" s="16">
        <f t="shared" si="157"/>
        <v>0</v>
      </c>
      <c r="U262" s="16">
        <f t="shared" si="157"/>
        <v>0</v>
      </c>
      <c r="V262" s="16">
        <f t="shared" si="157"/>
        <v>0</v>
      </c>
      <c r="W262" s="16">
        <f t="shared" si="157"/>
        <v>0</v>
      </c>
      <c r="X262" s="16">
        <f t="shared" si="157"/>
        <v>0</v>
      </c>
      <c r="Y262" s="16">
        <f t="shared" si="157"/>
        <v>0</v>
      </c>
      <c r="Z262" s="16">
        <f t="shared" si="157"/>
        <v>0</v>
      </c>
    </row>
    <row r="263" spans="2:26">
      <c r="B263" s="15" t="s">
        <v>255</v>
      </c>
      <c r="D263" s="26">
        <f t="shared" ref="D263:D268" si="158">+SUM(F263:Z263)</f>
        <v>7301355</v>
      </c>
      <c r="E263" s="26"/>
      <c r="F263" s="76">
        <f t="shared" ref="F263:Z263" si="159">+F218</f>
        <v>7301355</v>
      </c>
      <c r="G263" s="76">
        <f t="shared" si="159"/>
        <v>0</v>
      </c>
      <c r="H263" s="76">
        <f t="shared" si="159"/>
        <v>0</v>
      </c>
      <c r="I263" s="76">
        <f t="shared" si="159"/>
        <v>0</v>
      </c>
      <c r="J263" s="76">
        <f t="shared" si="159"/>
        <v>0</v>
      </c>
      <c r="K263" s="76">
        <f t="shared" si="159"/>
        <v>0</v>
      </c>
      <c r="L263" s="76">
        <f t="shared" si="159"/>
        <v>0</v>
      </c>
      <c r="M263" s="76">
        <f t="shared" si="159"/>
        <v>0</v>
      </c>
      <c r="N263" s="76">
        <f t="shared" si="159"/>
        <v>0</v>
      </c>
      <c r="O263" s="76">
        <f t="shared" si="159"/>
        <v>0</v>
      </c>
      <c r="P263" s="76">
        <f t="shared" si="159"/>
        <v>0</v>
      </c>
      <c r="Q263" s="76">
        <f t="shared" si="159"/>
        <v>0</v>
      </c>
      <c r="R263" s="76">
        <f t="shared" si="159"/>
        <v>0</v>
      </c>
      <c r="S263" s="76">
        <f t="shared" si="159"/>
        <v>0</v>
      </c>
      <c r="T263" s="76">
        <f t="shared" si="159"/>
        <v>0</v>
      </c>
      <c r="U263" s="76">
        <f t="shared" si="159"/>
        <v>0</v>
      </c>
      <c r="V263" s="76">
        <f t="shared" si="159"/>
        <v>0</v>
      </c>
      <c r="W263" s="76">
        <f t="shared" si="159"/>
        <v>0</v>
      </c>
      <c r="X263" s="76">
        <f t="shared" si="159"/>
        <v>0</v>
      </c>
      <c r="Y263" s="76">
        <f t="shared" si="159"/>
        <v>0</v>
      </c>
      <c r="Z263" s="76">
        <f t="shared" si="159"/>
        <v>0</v>
      </c>
    </row>
    <row r="264" spans="2:26">
      <c r="B264" s="15" t="s">
        <v>276</v>
      </c>
      <c r="D264" s="26">
        <f t="shared" ca="1" si="158"/>
        <v>204668813.39310002</v>
      </c>
      <c r="E264" s="26"/>
      <c r="F264" s="76">
        <f t="shared" ref="F264:Z264" si="160">+F219</f>
        <v>0</v>
      </c>
      <c r="G264" s="76">
        <f t="shared" ca="1" si="160"/>
        <v>102334406.69655001</v>
      </c>
      <c r="H264" s="76">
        <f t="shared" ca="1" si="160"/>
        <v>102334406.69655001</v>
      </c>
      <c r="I264" s="76">
        <f t="shared" si="160"/>
        <v>0</v>
      </c>
      <c r="J264" s="76">
        <f t="shared" si="160"/>
        <v>0</v>
      </c>
      <c r="K264" s="76">
        <f t="shared" si="160"/>
        <v>0</v>
      </c>
      <c r="L264" s="76">
        <f t="shared" si="160"/>
        <v>0</v>
      </c>
      <c r="M264" s="76">
        <f t="shared" si="160"/>
        <v>0</v>
      </c>
      <c r="N264" s="76">
        <f t="shared" si="160"/>
        <v>0</v>
      </c>
      <c r="O264" s="76">
        <f t="shared" si="160"/>
        <v>0</v>
      </c>
      <c r="P264" s="76">
        <f t="shared" si="160"/>
        <v>0</v>
      </c>
      <c r="Q264" s="76">
        <f t="shared" si="160"/>
        <v>0</v>
      </c>
      <c r="R264" s="76">
        <f t="shared" si="160"/>
        <v>0</v>
      </c>
      <c r="S264" s="76">
        <f t="shared" si="160"/>
        <v>0</v>
      </c>
      <c r="T264" s="76">
        <f t="shared" si="160"/>
        <v>0</v>
      </c>
      <c r="U264" s="76">
        <f t="shared" si="160"/>
        <v>0</v>
      </c>
      <c r="V264" s="76">
        <f t="shared" si="160"/>
        <v>0</v>
      </c>
      <c r="W264" s="76">
        <f t="shared" si="160"/>
        <v>0</v>
      </c>
      <c r="X264" s="76">
        <f t="shared" si="160"/>
        <v>0</v>
      </c>
      <c r="Y264" s="76">
        <f t="shared" si="160"/>
        <v>0</v>
      </c>
      <c r="Z264" s="76">
        <f t="shared" si="160"/>
        <v>0</v>
      </c>
    </row>
    <row r="265" spans="2:26">
      <c r="B265" s="15" t="s">
        <v>262</v>
      </c>
      <c r="D265" s="26">
        <f ca="1">+SUM(F265:Z265)</f>
        <v>6588505.2784899091</v>
      </c>
      <c r="E265" s="26"/>
      <c r="F265" s="76">
        <f t="shared" ref="F265:Z265" si="161">+F220</f>
        <v>0</v>
      </c>
      <c r="G265" s="76">
        <f t="shared" ca="1" si="161"/>
        <v>3294252.6392449546</v>
      </c>
      <c r="H265" s="76">
        <f t="shared" ca="1" si="161"/>
        <v>3294252.6392449546</v>
      </c>
      <c r="I265" s="76">
        <f t="shared" si="161"/>
        <v>0</v>
      </c>
      <c r="J265" s="76">
        <f t="shared" si="161"/>
        <v>0</v>
      </c>
      <c r="K265" s="76">
        <f t="shared" si="161"/>
        <v>0</v>
      </c>
      <c r="L265" s="76">
        <f t="shared" si="161"/>
        <v>0</v>
      </c>
      <c r="M265" s="76">
        <f t="shared" si="161"/>
        <v>0</v>
      </c>
      <c r="N265" s="76">
        <f t="shared" si="161"/>
        <v>0</v>
      </c>
      <c r="O265" s="76">
        <f t="shared" si="161"/>
        <v>0</v>
      </c>
      <c r="P265" s="76">
        <f t="shared" si="161"/>
        <v>0</v>
      </c>
      <c r="Q265" s="76">
        <f t="shared" si="161"/>
        <v>0</v>
      </c>
      <c r="R265" s="76">
        <f t="shared" si="161"/>
        <v>0</v>
      </c>
      <c r="S265" s="76">
        <f t="shared" si="161"/>
        <v>0</v>
      </c>
      <c r="T265" s="76">
        <f t="shared" si="161"/>
        <v>0</v>
      </c>
      <c r="U265" s="76">
        <f t="shared" si="161"/>
        <v>0</v>
      </c>
      <c r="V265" s="76">
        <f t="shared" si="161"/>
        <v>0</v>
      </c>
      <c r="W265" s="76">
        <f t="shared" si="161"/>
        <v>0</v>
      </c>
      <c r="X265" s="76">
        <f t="shared" si="161"/>
        <v>0</v>
      </c>
      <c r="Y265" s="76">
        <f t="shared" si="161"/>
        <v>0</v>
      </c>
      <c r="Z265" s="76">
        <f t="shared" si="161"/>
        <v>0</v>
      </c>
    </row>
    <row r="266" spans="2:26">
      <c r="B266" s="15" t="s">
        <v>263</v>
      </c>
      <c r="D266" s="26">
        <f t="shared" si="158"/>
        <v>0</v>
      </c>
      <c r="E266" s="26"/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6">
        <v>0</v>
      </c>
      <c r="X266" s="76">
        <v>0</v>
      </c>
      <c r="Y266" s="76">
        <v>0</v>
      </c>
      <c r="Z266" s="76">
        <v>0</v>
      </c>
    </row>
    <row r="267" spans="2:26">
      <c r="B267" s="15" t="s">
        <v>264</v>
      </c>
      <c r="D267" s="26">
        <f t="shared" ca="1" si="158"/>
        <v>436197.10222555295</v>
      </c>
      <c r="E267" s="26"/>
      <c r="F267" s="76">
        <f t="shared" ref="F267:Z267" si="162">+F222</f>
        <v>0</v>
      </c>
      <c r="G267" s="76">
        <f t="shared" ca="1" si="162"/>
        <v>218098.55111277648</v>
      </c>
      <c r="H267" s="76">
        <f t="shared" ca="1" si="162"/>
        <v>218098.55111277648</v>
      </c>
      <c r="I267" s="76">
        <f t="shared" si="162"/>
        <v>0</v>
      </c>
      <c r="J267" s="76">
        <f t="shared" si="162"/>
        <v>0</v>
      </c>
      <c r="K267" s="76">
        <f t="shared" si="162"/>
        <v>0</v>
      </c>
      <c r="L267" s="76">
        <f t="shared" si="162"/>
        <v>0</v>
      </c>
      <c r="M267" s="76">
        <f t="shared" si="162"/>
        <v>0</v>
      </c>
      <c r="N267" s="76">
        <f t="shared" si="162"/>
        <v>0</v>
      </c>
      <c r="O267" s="76">
        <f t="shared" si="162"/>
        <v>0</v>
      </c>
      <c r="P267" s="76">
        <f t="shared" si="162"/>
        <v>0</v>
      </c>
      <c r="Q267" s="76">
        <f t="shared" si="162"/>
        <v>0</v>
      </c>
      <c r="R267" s="76">
        <f t="shared" si="162"/>
        <v>0</v>
      </c>
      <c r="S267" s="76">
        <f t="shared" si="162"/>
        <v>0</v>
      </c>
      <c r="T267" s="76">
        <f t="shared" si="162"/>
        <v>0</v>
      </c>
      <c r="U267" s="76">
        <f t="shared" si="162"/>
        <v>0</v>
      </c>
      <c r="V267" s="76">
        <f t="shared" si="162"/>
        <v>0</v>
      </c>
      <c r="W267" s="76">
        <f t="shared" si="162"/>
        <v>0</v>
      </c>
      <c r="X267" s="76">
        <f t="shared" si="162"/>
        <v>0</v>
      </c>
      <c r="Y267" s="76">
        <f t="shared" si="162"/>
        <v>0</v>
      </c>
      <c r="Z267" s="76">
        <f t="shared" si="162"/>
        <v>0</v>
      </c>
    </row>
    <row r="268" spans="2:26">
      <c r="B268" s="15" t="s">
        <v>265</v>
      </c>
      <c r="D268" s="26">
        <f t="shared" ca="1" si="158"/>
        <v>7095261.8316490008</v>
      </c>
      <c r="E268" s="26"/>
      <c r="F268" s="76">
        <f t="shared" ref="F268:Z268" ca="1" si="163">+F223</f>
        <v>0</v>
      </c>
      <c r="G268" s="76">
        <f t="shared" ca="1" si="163"/>
        <v>1773815.4579122502</v>
      </c>
      <c r="H268" s="76">
        <f t="shared" ca="1" si="163"/>
        <v>1773815.4579122502</v>
      </c>
      <c r="I268" s="76">
        <f t="shared" ca="1" si="163"/>
        <v>1773815.4579122502</v>
      </c>
      <c r="J268" s="76">
        <f t="shared" ca="1" si="163"/>
        <v>1773815.4579122502</v>
      </c>
      <c r="K268" s="76">
        <f t="shared" si="163"/>
        <v>0</v>
      </c>
      <c r="L268" s="76">
        <f t="shared" si="163"/>
        <v>0</v>
      </c>
      <c r="M268" s="76">
        <f t="shared" si="163"/>
        <v>0</v>
      </c>
      <c r="N268" s="76">
        <f t="shared" si="163"/>
        <v>0</v>
      </c>
      <c r="O268" s="76">
        <f t="shared" si="163"/>
        <v>0</v>
      </c>
      <c r="P268" s="76">
        <f t="shared" si="163"/>
        <v>0</v>
      </c>
      <c r="Q268" s="76">
        <f t="shared" si="163"/>
        <v>0</v>
      </c>
      <c r="R268" s="76">
        <f t="shared" si="163"/>
        <v>0</v>
      </c>
      <c r="S268" s="76">
        <f t="shared" si="163"/>
        <v>0</v>
      </c>
      <c r="T268" s="76">
        <f t="shared" si="163"/>
        <v>0</v>
      </c>
      <c r="U268" s="76">
        <f t="shared" si="163"/>
        <v>0</v>
      </c>
      <c r="V268" s="76">
        <f t="shared" si="163"/>
        <v>0</v>
      </c>
      <c r="W268" s="76">
        <f t="shared" si="163"/>
        <v>0</v>
      </c>
      <c r="X268" s="76">
        <f t="shared" si="163"/>
        <v>0</v>
      </c>
      <c r="Y268" s="76">
        <f t="shared" si="163"/>
        <v>0</v>
      </c>
      <c r="Z268" s="76">
        <f t="shared" si="163"/>
        <v>0</v>
      </c>
    </row>
    <row r="269" spans="2:26">
      <c r="B269" s="653" t="s">
        <v>636</v>
      </c>
      <c r="C269" s="653"/>
      <c r="D269" s="544">
        <f ca="1">+SUM(F269:Z269)</f>
        <v>312799063.60546452</v>
      </c>
      <c r="E269" s="544"/>
      <c r="F269" s="544">
        <f ca="1">+SUM(F262:F268)</f>
        <v>94010286</v>
      </c>
      <c r="G269" s="544">
        <f ca="1">+SUM(G262:G268)</f>
        <v>107620573.34481999</v>
      </c>
      <c r="H269" s="544">
        <f ca="1">+SUM(H262:H268)</f>
        <v>107620573.34481999</v>
      </c>
      <c r="I269" s="544">
        <f t="shared" ref="I269:Z269" ca="1" si="164">+SUM(I262:I268)</f>
        <v>1773815.4579122502</v>
      </c>
      <c r="J269" s="544">
        <f t="shared" ca="1" si="164"/>
        <v>1773815.4579122502</v>
      </c>
      <c r="K269" s="544">
        <f t="shared" si="164"/>
        <v>0</v>
      </c>
      <c r="L269" s="544">
        <f t="shared" si="164"/>
        <v>0</v>
      </c>
      <c r="M269" s="544">
        <f t="shared" si="164"/>
        <v>0</v>
      </c>
      <c r="N269" s="544">
        <f t="shared" si="164"/>
        <v>0</v>
      </c>
      <c r="O269" s="544">
        <f t="shared" si="164"/>
        <v>0</v>
      </c>
      <c r="P269" s="544">
        <f t="shared" si="164"/>
        <v>0</v>
      </c>
      <c r="Q269" s="544">
        <f t="shared" si="164"/>
        <v>0</v>
      </c>
      <c r="R269" s="544">
        <f t="shared" si="164"/>
        <v>0</v>
      </c>
      <c r="S269" s="544">
        <f t="shared" si="164"/>
        <v>0</v>
      </c>
      <c r="T269" s="544">
        <f t="shared" si="164"/>
        <v>0</v>
      </c>
      <c r="U269" s="544">
        <f t="shared" si="164"/>
        <v>0</v>
      </c>
      <c r="V269" s="544">
        <f t="shared" si="164"/>
        <v>0</v>
      </c>
      <c r="W269" s="544">
        <f t="shared" si="164"/>
        <v>0</v>
      </c>
      <c r="X269" s="544">
        <f t="shared" si="164"/>
        <v>0</v>
      </c>
      <c r="Y269" s="544">
        <f t="shared" si="164"/>
        <v>0</v>
      </c>
      <c r="Z269" s="544">
        <f t="shared" si="164"/>
        <v>0</v>
      </c>
    </row>
    <row r="271" spans="2:26">
      <c r="B271" s="73" t="s">
        <v>637</v>
      </c>
      <c r="F271" s="75">
        <f>+Assumptions!$G$22</f>
        <v>44926</v>
      </c>
      <c r="G271" s="75">
        <f>+EOMONTH(F271,12)</f>
        <v>45291</v>
      </c>
      <c r="H271" s="75">
        <f t="shared" ref="H271:Z271" si="165">+EOMONTH(G271,12)</f>
        <v>45657</v>
      </c>
      <c r="I271" s="75">
        <f t="shared" si="165"/>
        <v>46022</v>
      </c>
      <c r="J271" s="75">
        <f t="shared" si="165"/>
        <v>46387</v>
      </c>
      <c r="K271" s="75">
        <f t="shared" si="165"/>
        <v>46752</v>
      </c>
      <c r="L271" s="75">
        <f t="shared" si="165"/>
        <v>47118</v>
      </c>
      <c r="M271" s="75">
        <f t="shared" si="165"/>
        <v>47483</v>
      </c>
      <c r="N271" s="75">
        <f t="shared" si="165"/>
        <v>47848</v>
      </c>
      <c r="O271" s="75">
        <f t="shared" si="165"/>
        <v>48213</v>
      </c>
      <c r="P271" s="75">
        <f t="shared" si="165"/>
        <v>48579</v>
      </c>
      <c r="Q271" s="75">
        <f t="shared" si="165"/>
        <v>48944</v>
      </c>
      <c r="R271" s="75">
        <f t="shared" si="165"/>
        <v>49309</v>
      </c>
      <c r="S271" s="75">
        <f t="shared" si="165"/>
        <v>49674</v>
      </c>
      <c r="T271" s="75">
        <f t="shared" si="165"/>
        <v>50040</v>
      </c>
      <c r="U271" s="75">
        <f t="shared" si="165"/>
        <v>50405</v>
      </c>
      <c r="V271" s="75">
        <f t="shared" si="165"/>
        <v>50770</v>
      </c>
      <c r="W271" s="75">
        <f t="shared" si="165"/>
        <v>51135</v>
      </c>
      <c r="X271" s="75">
        <f t="shared" si="165"/>
        <v>51501</v>
      </c>
      <c r="Y271" s="75">
        <f t="shared" si="165"/>
        <v>51866</v>
      </c>
      <c r="Z271" s="75">
        <f t="shared" si="165"/>
        <v>52231</v>
      </c>
    </row>
    <row r="272" spans="2:26">
      <c r="B272" s="15" t="s">
        <v>176</v>
      </c>
      <c r="D272" s="26">
        <f t="shared" ref="D272:D278" si="166">SUM(F272:Z272)</f>
        <v>0</v>
      </c>
      <c r="E272" s="26"/>
      <c r="F272" s="76">
        <f t="shared" ref="F272:Z272" si="167">F227</f>
        <v>0</v>
      </c>
      <c r="G272" s="76">
        <f t="shared" si="167"/>
        <v>0</v>
      </c>
      <c r="H272" s="76">
        <f t="shared" si="167"/>
        <v>0</v>
      </c>
      <c r="I272" s="76">
        <f t="shared" si="167"/>
        <v>0</v>
      </c>
      <c r="J272" s="76">
        <f t="shared" si="167"/>
        <v>0</v>
      </c>
      <c r="K272" s="76">
        <f t="shared" si="167"/>
        <v>0</v>
      </c>
      <c r="L272" s="76">
        <f t="shared" si="167"/>
        <v>0</v>
      </c>
      <c r="M272" s="76">
        <f t="shared" si="167"/>
        <v>0</v>
      </c>
      <c r="N272" s="76">
        <f t="shared" si="167"/>
        <v>0</v>
      </c>
      <c r="O272" s="76">
        <f t="shared" si="167"/>
        <v>0</v>
      </c>
      <c r="P272" s="76">
        <f t="shared" si="167"/>
        <v>0</v>
      </c>
      <c r="Q272" s="76">
        <f t="shared" si="167"/>
        <v>0</v>
      </c>
      <c r="R272" s="76">
        <f t="shared" si="167"/>
        <v>0</v>
      </c>
      <c r="S272" s="76">
        <f t="shared" si="167"/>
        <v>0</v>
      </c>
      <c r="T272" s="76">
        <f t="shared" si="167"/>
        <v>0</v>
      </c>
      <c r="U272" s="76">
        <f t="shared" si="167"/>
        <v>0</v>
      </c>
      <c r="V272" s="76">
        <f t="shared" si="167"/>
        <v>0</v>
      </c>
      <c r="W272" s="76">
        <f t="shared" si="167"/>
        <v>0</v>
      </c>
      <c r="X272" s="76">
        <f t="shared" si="167"/>
        <v>0</v>
      </c>
      <c r="Y272" s="76">
        <f t="shared" si="167"/>
        <v>0</v>
      </c>
      <c r="Z272" s="76">
        <f t="shared" si="167"/>
        <v>0</v>
      </c>
    </row>
    <row r="273" spans="2:26">
      <c r="B273" s="15" t="s">
        <v>638</v>
      </c>
      <c r="D273" s="26">
        <f t="shared" ref="D273:D277" si="168">SUM(F273:Z273)</f>
        <v>0</v>
      </c>
      <c r="E273" s="26"/>
      <c r="F273" s="76">
        <f t="shared" ref="F273:Z273" si="169">F228</f>
        <v>0</v>
      </c>
      <c r="G273" s="76">
        <f t="shared" si="169"/>
        <v>0</v>
      </c>
      <c r="H273" s="76">
        <f t="shared" si="169"/>
        <v>0</v>
      </c>
      <c r="I273" s="76">
        <f t="shared" si="169"/>
        <v>0</v>
      </c>
      <c r="J273" s="76">
        <f t="shared" si="169"/>
        <v>0</v>
      </c>
      <c r="K273" s="76">
        <f t="shared" si="169"/>
        <v>0</v>
      </c>
      <c r="L273" s="76">
        <f t="shared" si="169"/>
        <v>0</v>
      </c>
      <c r="M273" s="76">
        <f t="shared" si="169"/>
        <v>0</v>
      </c>
      <c r="N273" s="76">
        <f t="shared" si="169"/>
        <v>0</v>
      </c>
      <c r="O273" s="76">
        <f t="shared" si="169"/>
        <v>0</v>
      </c>
      <c r="P273" s="76">
        <f t="shared" si="169"/>
        <v>0</v>
      </c>
      <c r="Q273" s="76">
        <f t="shared" si="169"/>
        <v>0</v>
      </c>
      <c r="R273" s="76">
        <f t="shared" si="169"/>
        <v>0</v>
      </c>
      <c r="S273" s="76">
        <f t="shared" si="169"/>
        <v>0</v>
      </c>
      <c r="T273" s="76">
        <f t="shared" si="169"/>
        <v>0</v>
      </c>
      <c r="U273" s="76">
        <f t="shared" si="169"/>
        <v>0</v>
      </c>
      <c r="V273" s="76">
        <f t="shared" si="169"/>
        <v>0</v>
      </c>
      <c r="W273" s="76">
        <f t="shared" si="169"/>
        <v>0</v>
      </c>
      <c r="X273" s="76">
        <f t="shared" si="169"/>
        <v>0</v>
      </c>
      <c r="Y273" s="76">
        <f t="shared" si="169"/>
        <v>0</v>
      </c>
      <c r="Z273" s="76">
        <f t="shared" si="169"/>
        <v>0</v>
      </c>
    </row>
    <row r="274" spans="2:26">
      <c r="B274" s="15" t="s">
        <v>312</v>
      </c>
      <c r="D274" s="26">
        <f t="shared" si="168"/>
        <v>44981034.314584278</v>
      </c>
      <c r="E274" s="26"/>
      <c r="F274" s="76">
        <f t="shared" ref="F274:Z274" si="170">F229</f>
        <v>0</v>
      </c>
      <c r="G274" s="76">
        <f t="shared" si="170"/>
        <v>0</v>
      </c>
      <c r="H274" s="76">
        <f t="shared" si="170"/>
        <v>44981034.314584278</v>
      </c>
      <c r="I274" s="76">
        <f t="shared" si="170"/>
        <v>0</v>
      </c>
      <c r="J274" s="76">
        <f t="shared" si="170"/>
        <v>0</v>
      </c>
      <c r="K274" s="76">
        <f t="shared" si="170"/>
        <v>0</v>
      </c>
      <c r="L274" s="76">
        <f t="shared" si="170"/>
        <v>0</v>
      </c>
      <c r="M274" s="76">
        <f t="shared" si="170"/>
        <v>0</v>
      </c>
      <c r="N274" s="76">
        <f t="shared" si="170"/>
        <v>0</v>
      </c>
      <c r="O274" s="76">
        <f t="shared" si="170"/>
        <v>0</v>
      </c>
      <c r="P274" s="76">
        <f t="shared" si="170"/>
        <v>0</v>
      </c>
      <c r="Q274" s="76">
        <f t="shared" si="170"/>
        <v>0</v>
      </c>
      <c r="R274" s="76">
        <f t="shared" si="170"/>
        <v>0</v>
      </c>
      <c r="S274" s="76">
        <f t="shared" si="170"/>
        <v>0</v>
      </c>
      <c r="T274" s="76">
        <f t="shared" si="170"/>
        <v>0</v>
      </c>
      <c r="U274" s="76">
        <f t="shared" si="170"/>
        <v>0</v>
      </c>
      <c r="V274" s="76">
        <f t="shared" si="170"/>
        <v>0</v>
      </c>
      <c r="W274" s="76">
        <f t="shared" si="170"/>
        <v>0</v>
      </c>
      <c r="X274" s="76">
        <f t="shared" si="170"/>
        <v>0</v>
      </c>
      <c r="Y274" s="76">
        <f t="shared" si="170"/>
        <v>0</v>
      </c>
      <c r="Z274" s="76">
        <f t="shared" si="170"/>
        <v>0</v>
      </c>
    </row>
    <row r="275" spans="2:26">
      <c r="B275" s="15" t="s">
        <v>313</v>
      </c>
      <c r="D275" s="26">
        <f t="shared" si="168"/>
        <v>0</v>
      </c>
      <c r="E275" s="26"/>
      <c r="F275" s="76">
        <f t="shared" ref="F275:Z275" si="171">F230</f>
        <v>0</v>
      </c>
      <c r="G275" s="76">
        <f t="shared" si="171"/>
        <v>0</v>
      </c>
      <c r="H275" s="76">
        <f t="shared" si="171"/>
        <v>0</v>
      </c>
      <c r="I275" s="76">
        <f t="shared" si="171"/>
        <v>0</v>
      </c>
      <c r="J275" s="76">
        <f t="shared" si="171"/>
        <v>0</v>
      </c>
      <c r="K275" s="76">
        <f t="shared" si="171"/>
        <v>0</v>
      </c>
      <c r="L275" s="76">
        <f t="shared" si="171"/>
        <v>0</v>
      </c>
      <c r="M275" s="76">
        <f t="shared" si="171"/>
        <v>0</v>
      </c>
      <c r="N275" s="76">
        <f t="shared" si="171"/>
        <v>0</v>
      </c>
      <c r="O275" s="76">
        <f t="shared" si="171"/>
        <v>0</v>
      </c>
      <c r="P275" s="76">
        <f t="shared" si="171"/>
        <v>0</v>
      </c>
      <c r="Q275" s="76">
        <f t="shared" si="171"/>
        <v>0</v>
      </c>
      <c r="R275" s="76">
        <f t="shared" si="171"/>
        <v>0</v>
      </c>
      <c r="S275" s="76">
        <f t="shared" si="171"/>
        <v>0</v>
      </c>
      <c r="T275" s="76">
        <f t="shared" si="171"/>
        <v>0</v>
      </c>
      <c r="U275" s="76">
        <f t="shared" si="171"/>
        <v>0</v>
      </c>
      <c r="V275" s="76">
        <f t="shared" si="171"/>
        <v>0</v>
      </c>
      <c r="W275" s="76">
        <f t="shared" si="171"/>
        <v>0</v>
      </c>
      <c r="X275" s="76">
        <f t="shared" si="171"/>
        <v>0</v>
      </c>
      <c r="Y275" s="76">
        <f t="shared" si="171"/>
        <v>0</v>
      </c>
      <c r="Z275" s="76">
        <f t="shared" si="171"/>
        <v>0</v>
      </c>
    </row>
    <row r="276" spans="2:26">
      <c r="B276" s="15" t="s">
        <v>314</v>
      </c>
      <c r="D276" s="26">
        <f t="shared" si="168"/>
        <v>0</v>
      </c>
      <c r="E276" s="26"/>
      <c r="F276" s="76">
        <f t="shared" ref="F276:Z276" si="172">F231</f>
        <v>0</v>
      </c>
      <c r="G276" s="76">
        <f t="shared" si="172"/>
        <v>0</v>
      </c>
      <c r="H276" s="76">
        <f t="shared" si="172"/>
        <v>0</v>
      </c>
      <c r="I276" s="76">
        <f t="shared" si="172"/>
        <v>0</v>
      </c>
      <c r="J276" s="76">
        <f t="shared" si="172"/>
        <v>0</v>
      </c>
      <c r="K276" s="76">
        <f t="shared" si="172"/>
        <v>0</v>
      </c>
      <c r="L276" s="76">
        <f t="shared" si="172"/>
        <v>0</v>
      </c>
      <c r="M276" s="76">
        <f t="shared" si="172"/>
        <v>0</v>
      </c>
      <c r="N276" s="76">
        <f t="shared" si="172"/>
        <v>0</v>
      </c>
      <c r="O276" s="76">
        <f t="shared" si="172"/>
        <v>0</v>
      </c>
      <c r="P276" s="76">
        <f t="shared" si="172"/>
        <v>0</v>
      </c>
      <c r="Q276" s="76">
        <f t="shared" si="172"/>
        <v>0</v>
      </c>
      <c r="R276" s="76">
        <f t="shared" si="172"/>
        <v>0</v>
      </c>
      <c r="S276" s="76">
        <f t="shared" si="172"/>
        <v>0</v>
      </c>
      <c r="T276" s="76">
        <f t="shared" si="172"/>
        <v>0</v>
      </c>
      <c r="U276" s="76">
        <f t="shared" si="172"/>
        <v>0</v>
      </c>
      <c r="V276" s="76">
        <f t="shared" si="172"/>
        <v>0</v>
      </c>
      <c r="W276" s="76">
        <f t="shared" si="172"/>
        <v>0</v>
      </c>
      <c r="X276" s="76">
        <f t="shared" si="172"/>
        <v>0</v>
      </c>
      <c r="Y276" s="76">
        <f t="shared" si="172"/>
        <v>0</v>
      </c>
      <c r="Z276" s="76">
        <f t="shared" si="172"/>
        <v>0</v>
      </c>
    </row>
    <row r="277" spans="2:26">
      <c r="B277" s="15" t="s">
        <v>639</v>
      </c>
      <c r="D277" s="26">
        <f t="shared" si="168"/>
        <v>0</v>
      </c>
      <c r="E277" s="26"/>
      <c r="F277" s="76">
        <f t="shared" ref="F277:Z277" si="173">F232</f>
        <v>0</v>
      </c>
      <c r="G277" s="76">
        <f t="shared" si="173"/>
        <v>0</v>
      </c>
      <c r="H277" s="76">
        <f t="shared" si="173"/>
        <v>0</v>
      </c>
      <c r="I277" s="76">
        <f t="shared" si="173"/>
        <v>0</v>
      </c>
      <c r="J277" s="76">
        <f t="shared" si="173"/>
        <v>0</v>
      </c>
      <c r="K277" s="76">
        <f t="shared" si="173"/>
        <v>0</v>
      </c>
      <c r="L277" s="76">
        <f t="shared" si="173"/>
        <v>0</v>
      </c>
      <c r="M277" s="76">
        <f t="shared" si="173"/>
        <v>0</v>
      </c>
      <c r="N277" s="76">
        <f t="shared" si="173"/>
        <v>0</v>
      </c>
      <c r="O277" s="76">
        <f t="shared" si="173"/>
        <v>0</v>
      </c>
      <c r="P277" s="76">
        <f t="shared" si="173"/>
        <v>0</v>
      </c>
      <c r="Q277" s="76">
        <f t="shared" si="173"/>
        <v>0</v>
      </c>
      <c r="R277" s="76">
        <f t="shared" si="173"/>
        <v>0</v>
      </c>
      <c r="S277" s="76">
        <f t="shared" si="173"/>
        <v>0</v>
      </c>
      <c r="T277" s="76">
        <f t="shared" si="173"/>
        <v>0</v>
      </c>
      <c r="U277" s="76">
        <f t="shared" si="173"/>
        <v>0</v>
      </c>
      <c r="V277" s="76">
        <f t="shared" si="173"/>
        <v>0</v>
      </c>
      <c r="W277" s="76">
        <f t="shared" si="173"/>
        <v>0</v>
      </c>
      <c r="X277" s="76">
        <f t="shared" si="173"/>
        <v>0</v>
      </c>
      <c r="Y277" s="76">
        <f t="shared" si="173"/>
        <v>0</v>
      </c>
      <c r="Z277" s="76">
        <f t="shared" si="173"/>
        <v>0</v>
      </c>
    </row>
    <row r="278" spans="2:26">
      <c r="B278" s="15" t="s">
        <v>270</v>
      </c>
      <c r="D278" s="26">
        <f t="shared" si="166"/>
        <v>0</v>
      </c>
      <c r="E278" s="26"/>
      <c r="F278" s="76">
        <f>F233</f>
        <v>0</v>
      </c>
      <c r="G278" s="612">
        <v>0</v>
      </c>
      <c r="H278" s="612">
        <v>0</v>
      </c>
      <c r="I278" s="612">
        <f t="shared" ref="I278:Z278" si="174">I233</f>
        <v>0</v>
      </c>
      <c r="J278" s="612">
        <f t="shared" si="174"/>
        <v>0</v>
      </c>
      <c r="K278" s="76">
        <f t="shared" si="174"/>
        <v>0</v>
      </c>
      <c r="L278" s="76">
        <f t="shared" si="174"/>
        <v>0</v>
      </c>
      <c r="M278" s="76">
        <f t="shared" si="174"/>
        <v>0</v>
      </c>
      <c r="N278" s="76">
        <f t="shared" si="174"/>
        <v>0</v>
      </c>
      <c r="O278" s="76">
        <f t="shared" si="174"/>
        <v>0</v>
      </c>
      <c r="P278" s="76">
        <f t="shared" si="174"/>
        <v>0</v>
      </c>
      <c r="Q278" s="76">
        <f t="shared" si="174"/>
        <v>0</v>
      </c>
      <c r="R278" s="76">
        <f t="shared" si="174"/>
        <v>0</v>
      </c>
      <c r="S278" s="76">
        <f t="shared" si="174"/>
        <v>0</v>
      </c>
      <c r="T278" s="76">
        <f t="shared" si="174"/>
        <v>0</v>
      </c>
      <c r="U278" s="76">
        <f t="shared" si="174"/>
        <v>0</v>
      </c>
      <c r="V278" s="76">
        <f t="shared" si="174"/>
        <v>0</v>
      </c>
      <c r="W278" s="76">
        <f t="shared" si="174"/>
        <v>0</v>
      </c>
      <c r="X278" s="76">
        <f t="shared" si="174"/>
        <v>0</v>
      </c>
      <c r="Y278" s="76">
        <f t="shared" si="174"/>
        <v>0</v>
      </c>
      <c r="Z278" s="76">
        <f t="shared" si="174"/>
        <v>0</v>
      </c>
    </row>
    <row r="279" spans="2:26">
      <c r="B279" s="15" t="s">
        <v>640</v>
      </c>
      <c r="D279" s="26">
        <f ca="1">SUM(F279:Z279)</f>
        <v>267818029.29088017</v>
      </c>
      <c r="E279" s="26"/>
      <c r="F279" s="16">
        <f t="shared" ref="F279:Z279" ca="1" si="175">F269 - SUM(F272:F278)</f>
        <v>94010286</v>
      </c>
      <c r="G279" s="16">
        <f t="shared" ca="1" si="175"/>
        <v>107620573.34481999</v>
      </c>
      <c r="H279" s="16">
        <f t="shared" ca="1" si="175"/>
        <v>62639539.030235715</v>
      </c>
      <c r="I279" s="16">
        <f t="shared" ca="1" si="175"/>
        <v>1773815.4579122502</v>
      </c>
      <c r="J279" s="16">
        <f t="shared" ca="1" si="175"/>
        <v>1773815.4579122502</v>
      </c>
      <c r="K279" s="16">
        <f t="shared" si="175"/>
        <v>0</v>
      </c>
      <c r="L279" s="16">
        <f t="shared" si="175"/>
        <v>0</v>
      </c>
      <c r="M279" s="16">
        <f t="shared" si="175"/>
        <v>0</v>
      </c>
      <c r="N279" s="16">
        <f t="shared" si="175"/>
        <v>0</v>
      </c>
      <c r="O279" s="16">
        <f t="shared" si="175"/>
        <v>0</v>
      </c>
      <c r="P279" s="16">
        <f t="shared" si="175"/>
        <v>0</v>
      </c>
      <c r="Q279" s="16">
        <f t="shared" si="175"/>
        <v>0</v>
      </c>
      <c r="R279" s="16">
        <f t="shared" si="175"/>
        <v>0</v>
      </c>
      <c r="S279" s="16">
        <f t="shared" si="175"/>
        <v>0</v>
      </c>
      <c r="T279" s="16">
        <f t="shared" si="175"/>
        <v>0</v>
      </c>
      <c r="U279" s="16">
        <f t="shared" si="175"/>
        <v>0</v>
      </c>
      <c r="V279" s="16">
        <f t="shared" si="175"/>
        <v>0</v>
      </c>
      <c r="W279" s="16">
        <f t="shared" si="175"/>
        <v>0</v>
      </c>
      <c r="X279" s="16">
        <f t="shared" si="175"/>
        <v>0</v>
      </c>
      <c r="Y279" s="16">
        <f t="shared" si="175"/>
        <v>0</v>
      </c>
      <c r="Z279" s="16">
        <f t="shared" si="175"/>
        <v>0</v>
      </c>
    </row>
    <row r="280" spans="2:26">
      <c r="B280" s="653" t="s">
        <v>641</v>
      </c>
      <c r="C280" s="653"/>
      <c r="D280" s="544">
        <f t="shared" ref="D280" ca="1" si="176">+SUM(F280:Z280)</f>
        <v>312799063.60546452</v>
      </c>
      <c r="E280" s="544"/>
      <c r="F280" s="544">
        <f ca="1">SUM(F272:F279)</f>
        <v>94010286</v>
      </c>
      <c r="G280" s="544">
        <f t="shared" ref="G280:Z280" ca="1" si="177">SUM(G272:G279)</f>
        <v>107620573.34481999</v>
      </c>
      <c r="H280" s="544">
        <f t="shared" ca="1" si="177"/>
        <v>107620573.34481999</v>
      </c>
      <c r="I280" s="544">
        <f t="shared" ca="1" si="177"/>
        <v>1773815.4579122502</v>
      </c>
      <c r="J280" s="544">
        <f t="shared" ca="1" si="177"/>
        <v>1773815.4579122502</v>
      </c>
      <c r="K280" s="544">
        <f t="shared" si="177"/>
        <v>0</v>
      </c>
      <c r="L280" s="544">
        <f t="shared" si="177"/>
        <v>0</v>
      </c>
      <c r="M280" s="544">
        <f t="shared" si="177"/>
        <v>0</v>
      </c>
      <c r="N280" s="544">
        <f t="shared" si="177"/>
        <v>0</v>
      </c>
      <c r="O280" s="544">
        <f t="shared" si="177"/>
        <v>0</v>
      </c>
      <c r="P280" s="544">
        <f t="shared" si="177"/>
        <v>0</v>
      </c>
      <c r="Q280" s="544">
        <f t="shared" si="177"/>
        <v>0</v>
      </c>
      <c r="R280" s="544">
        <f t="shared" si="177"/>
        <v>0</v>
      </c>
      <c r="S280" s="544">
        <f t="shared" si="177"/>
        <v>0</v>
      </c>
      <c r="T280" s="544">
        <f t="shared" si="177"/>
        <v>0</v>
      </c>
      <c r="U280" s="544">
        <f t="shared" si="177"/>
        <v>0</v>
      </c>
      <c r="V280" s="544">
        <f t="shared" si="177"/>
        <v>0</v>
      </c>
      <c r="W280" s="544">
        <f t="shared" si="177"/>
        <v>0</v>
      </c>
      <c r="X280" s="544">
        <f t="shared" si="177"/>
        <v>0</v>
      </c>
      <c r="Y280" s="544">
        <f t="shared" si="177"/>
        <v>0</v>
      </c>
      <c r="Z280" s="544">
        <f t="shared" si="177"/>
        <v>0</v>
      </c>
    </row>
    <row r="282" spans="2:26">
      <c r="B282" s="73" t="s">
        <v>643</v>
      </c>
    </row>
    <row r="283" spans="2:26">
      <c r="B283" s="15" t="s">
        <v>644</v>
      </c>
      <c r="D283" s="26">
        <f ca="1">+SUM(F283:Z283)</f>
        <v>-267818029.29088017</v>
      </c>
      <c r="E283" s="26"/>
      <c r="F283" s="16">
        <f ca="1">-F279</f>
        <v>-94010286</v>
      </c>
      <c r="G283" s="16">
        <f t="shared" ref="G283:Z283" ca="1" si="178">-G279</f>
        <v>-107620573.34481999</v>
      </c>
      <c r="H283" s="16">
        <f t="shared" ca="1" si="178"/>
        <v>-62639539.030235715</v>
      </c>
      <c r="I283" s="16">
        <f t="shared" ca="1" si="178"/>
        <v>-1773815.4579122502</v>
      </c>
      <c r="J283" s="16">
        <f t="shared" ca="1" si="178"/>
        <v>-1773815.4579122502</v>
      </c>
      <c r="K283" s="16">
        <f t="shared" si="178"/>
        <v>0</v>
      </c>
      <c r="L283" s="16">
        <f t="shared" si="178"/>
        <v>0</v>
      </c>
      <c r="M283" s="16">
        <f t="shared" si="178"/>
        <v>0</v>
      </c>
      <c r="N283" s="16">
        <f t="shared" si="178"/>
        <v>0</v>
      </c>
      <c r="O283" s="16">
        <f t="shared" si="178"/>
        <v>0</v>
      </c>
      <c r="P283" s="16">
        <f t="shared" si="178"/>
        <v>0</v>
      </c>
      <c r="Q283" s="16">
        <f t="shared" si="178"/>
        <v>0</v>
      </c>
      <c r="R283" s="16">
        <f t="shared" si="178"/>
        <v>0</v>
      </c>
      <c r="S283" s="16">
        <f t="shared" si="178"/>
        <v>0</v>
      </c>
      <c r="T283" s="16">
        <f t="shared" si="178"/>
        <v>0</v>
      </c>
      <c r="U283" s="16">
        <f t="shared" si="178"/>
        <v>0</v>
      </c>
      <c r="V283" s="16">
        <f t="shared" si="178"/>
        <v>0</v>
      </c>
      <c r="W283" s="16">
        <f t="shared" si="178"/>
        <v>0</v>
      </c>
      <c r="X283" s="16">
        <f t="shared" si="178"/>
        <v>0</v>
      </c>
      <c r="Y283" s="16">
        <f t="shared" si="178"/>
        <v>0</v>
      </c>
      <c r="Z283" s="16">
        <f t="shared" si="178"/>
        <v>0</v>
      </c>
    </row>
    <row r="284" spans="2:26">
      <c r="B284" s="15" t="s">
        <v>645</v>
      </c>
      <c r="D284" s="26">
        <f t="shared" ref="D284" ca="1" si="179">+SUM(F284:Z284)</f>
        <v>738887384.90461421</v>
      </c>
      <c r="E284" s="26"/>
      <c r="F284" s="76">
        <f ca="1">+IF(YEAR(F$139)&lt;=YEAR(Assumptions!$G$30),F254+F259,0)</f>
        <v>0</v>
      </c>
      <c r="G284" s="76">
        <f ca="1">+IF(YEAR(G$139)&lt;=YEAR(Assumptions!$G$30),G254+G259,0)</f>
        <v>0</v>
      </c>
      <c r="H284" s="76">
        <f ca="1">+IF(YEAR(H$139)&lt;=YEAR(Assumptions!$G$30),H254+H259,0)</f>
        <v>0</v>
      </c>
      <c r="I284" s="76">
        <f ca="1">+IF(YEAR(I$139)&lt;=YEAR(Assumptions!$G$30),I254+I259,0)</f>
        <v>14496465.133802384</v>
      </c>
      <c r="J284" s="76">
        <f ca="1">+IF(YEAR(J$139)&lt;=YEAR(Assumptions!$G$30),J254+J259,0)</f>
        <v>29319279.061410282</v>
      </c>
      <c r="K284" s="76">
        <f ca="1">+IF(YEAR(K$139)&lt;=YEAR(Assumptions!$G$30),K254+K259,0)</f>
        <v>29631908.037775218</v>
      </c>
      <c r="L284" s="76">
        <f ca="1">+IF(YEAR(L$139)&lt;=YEAR(Assumptions!$G$30),L254+L259,0)</f>
        <v>31874245.857691586</v>
      </c>
      <c r="M284" s="76">
        <f ca="1">+IF(YEAR(M$139)&lt;=YEAR(Assumptions!$G$30),M254+M259,0)</f>
        <v>32206626.86672001</v>
      </c>
      <c r="N284" s="76">
        <f ca="1">+IF(YEAR(N$139)&lt;=YEAR(Assumptions!$G$30),N254+N259,0)</f>
        <v>32548904.663848221</v>
      </c>
      <c r="O284" s="76">
        <f ca="1">+IF(YEAR(O$139)&lt;=YEAR(Assumptions!$G$30),O254+O259,0)</f>
        <v>568809955.28336644</v>
      </c>
      <c r="P284" s="76">
        <f>+IF(YEAR(P$139)&lt;=YEAR(Assumptions!$G$30),P254+P259,0)</f>
        <v>0</v>
      </c>
      <c r="Q284" s="76">
        <f>+IF(YEAR(Q$139)&lt;=YEAR(Assumptions!$G$30),Q254+Q259,0)</f>
        <v>0</v>
      </c>
      <c r="R284" s="76">
        <f>+IF(YEAR(R$139)&lt;=YEAR(Assumptions!$G$30),R254+R259,0)</f>
        <v>0</v>
      </c>
      <c r="S284" s="76">
        <f>+IF(YEAR(S$139)&lt;=YEAR(Assumptions!$G$30),S254+S259,0)</f>
        <v>0</v>
      </c>
      <c r="T284" s="76">
        <f>+IF(YEAR(T$139)&lt;=YEAR(Assumptions!$G$30),T254+T259,0)</f>
        <v>0</v>
      </c>
      <c r="U284" s="76">
        <f>+IF(YEAR(U$139)&lt;=YEAR(Assumptions!$G$30),U254+U259,0)</f>
        <v>0</v>
      </c>
      <c r="V284" s="76">
        <f>+IF(YEAR(V$139)&lt;=YEAR(Assumptions!$G$30),V254+V259,0)</f>
        <v>0</v>
      </c>
      <c r="W284" s="76">
        <f>+IF(YEAR(W$139)&lt;=YEAR(Assumptions!$G$30),W254+W259,0)</f>
        <v>0</v>
      </c>
      <c r="X284" s="76">
        <f>+IF(YEAR(X$139)&lt;=YEAR(Assumptions!$G$30),X254+X259,0)</f>
        <v>0</v>
      </c>
      <c r="Y284" s="76">
        <f>+IF(YEAR(Y$139)&lt;=YEAR(Assumptions!$G$30),Y254+Y259,0)</f>
        <v>0</v>
      </c>
      <c r="Z284" s="76">
        <f>+IF(YEAR(Z$139)&lt;=YEAR(Assumptions!$G$30),Z254+Z259,0)</f>
        <v>0</v>
      </c>
    </row>
    <row r="285" spans="2:26">
      <c r="B285" s="653" t="s">
        <v>646</v>
      </c>
      <c r="C285" s="653"/>
      <c r="D285" s="544">
        <f ca="1">+SUM(F285:Z285)</f>
        <v>471069355.61373395</v>
      </c>
      <c r="E285" s="544"/>
      <c r="F285" s="544">
        <f ca="1">+SUM(F283:F284)</f>
        <v>-94010286</v>
      </c>
      <c r="G285" s="544">
        <f t="shared" ref="G285:Z285" ca="1" si="180">+SUM(G283:G284)</f>
        <v>-107620573.34481999</v>
      </c>
      <c r="H285" s="544">
        <f t="shared" ca="1" si="180"/>
        <v>-62639539.030235715</v>
      </c>
      <c r="I285" s="544">
        <f t="shared" ca="1" si="180"/>
        <v>12722649.675890135</v>
      </c>
      <c r="J285" s="544">
        <f t="shared" ca="1" si="180"/>
        <v>27545463.60349803</v>
      </c>
      <c r="K285" s="544">
        <f t="shared" ca="1" si="180"/>
        <v>29631908.037775218</v>
      </c>
      <c r="L285" s="544">
        <f t="shared" ca="1" si="180"/>
        <v>31874245.857691586</v>
      </c>
      <c r="M285" s="544">
        <f t="shared" ca="1" si="180"/>
        <v>32206626.86672001</v>
      </c>
      <c r="N285" s="544">
        <f t="shared" ca="1" si="180"/>
        <v>32548904.663848221</v>
      </c>
      <c r="O285" s="544">
        <f t="shared" ca="1" si="180"/>
        <v>568809955.28336644</v>
      </c>
      <c r="P285" s="544">
        <f t="shared" si="180"/>
        <v>0</v>
      </c>
      <c r="Q285" s="544">
        <f t="shared" si="180"/>
        <v>0</v>
      </c>
      <c r="R285" s="544">
        <f t="shared" si="180"/>
        <v>0</v>
      </c>
      <c r="S285" s="544">
        <f t="shared" si="180"/>
        <v>0</v>
      </c>
      <c r="T285" s="544">
        <f t="shared" si="180"/>
        <v>0</v>
      </c>
      <c r="U285" s="544">
        <f t="shared" si="180"/>
        <v>0</v>
      </c>
      <c r="V285" s="544">
        <f t="shared" si="180"/>
        <v>0</v>
      </c>
      <c r="W285" s="544">
        <f t="shared" si="180"/>
        <v>0</v>
      </c>
      <c r="X285" s="544">
        <f t="shared" si="180"/>
        <v>0</v>
      </c>
      <c r="Y285" s="544">
        <f t="shared" si="180"/>
        <v>0</v>
      </c>
      <c r="Z285" s="544">
        <f t="shared" si="180"/>
        <v>0</v>
      </c>
    </row>
    <row r="287" spans="2:26">
      <c r="B287" s="672" t="s">
        <v>2</v>
      </c>
      <c r="C287" s="672"/>
      <c r="D287" s="673">
        <f ca="1">+IRR(F285:Z285)</f>
        <v>0.15145135409570609</v>
      </c>
    </row>
    <row r="288" spans="2:26">
      <c r="B288" s="655" t="s">
        <v>647</v>
      </c>
      <c r="C288" s="528"/>
      <c r="D288" s="658">
        <f ca="1">+SUM(F285:Z285)</f>
        <v>471069355.61373395</v>
      </c>
    </row>
    <row r="289" spans="2:4">
      <c r="B289" s="674" t="s">
        <v>14</v>
      </c>
      <c r="C289" s="531"/>
      <c r="D289" s="675">
        <f ca="1">+D284/-D283</f>
        <v>2.7589157715073034</v>
      </c>
    </row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2:AE253"/>
  <sheetViews>
    <sheetView showGridLines="0" topLeftCell="A230" zoomScale="80" zoomScaleNormal="80" workbookViewId="0">
      <selection activeCell="D197" sqref="D197"/>
    </sheetView>
  </sheetViews>
  <sheetFormatPr defaultColWidth="14.453125" defaultRowHeight="15.5"/>
  <cols>
    <col min="1" max="1" width="9.54296875" style="21" bestFit="1" customWidth="1"/>
    <col min="2" max="2" width="79.453125" style="21" bestFit="1" customWidth="1"/>
    <col min="3" max="3" width="14.453125" style="21"/>
    <col min="4" max="4" width="18.1796875" style="21" bestFit="1" customWidth="1"/>
    <col min="5" max="5" width="3.453125" style="21" bestFit="1" customWidth="1"/>
    <col min="6" max="6" width="17" style="21" bestFit="1" customWidth="1"/>
    <col min="7" max="8" width="16.81640625" style="21" customWidth="1"/>
    <col min="9" max="9" width="17.54296875" style="21" customWidth="1"/>
    <col min="10" max="26" width="16.26953125" style="21" bestFit="1" customWidth="1"/>
    <col min="27" max="30" width="1.81640625" style="21" bestFit="1" customWidth="1"/>
    <col min="31" max="31" width="2.54296875" style="21" bestFit="1" customWidth="1"/>
    <col min="32" max="16384" width="14.453125" style="21"/>
  </cols>
  <sheetData>
    <row r="2" spans="1:26">
      <c r="B2" s="71" t="s">
        <v>572</v>
      </c>
      <c r="E2" s="71">
        <v>0</v>
      </c>
      <c r="F2" s="72">
        <f>+IF(F7&gt;=Assumptions!$H$26,'Phase III Pro Forma'!E2+1,'Phase III Pro Forma'!E2)</f>
        <v>0</v>
      </c>
      <c r="G2" s="72">
        <f>+IF(G7&gt;=Assumptions!$H$26,'Phase III Pro Forma'!F2+1,'Phase III Pro Forma'!F2)</f>
        <v>0</v>
      </c>
      <c r="H2" s="72">
        <f>+IF(H7&gt;=Assumptions!$H$26,'Phase III Pro Forma'!G2+1,'Phase III Pro Forma'!G2)</f>
        <v>0</v>
      </c>
      <c r="I2" s="72">
        <f>+IF(I7&gt;=Assumptions!$H$26,'Phase III Pro Forma'!H2+1,'Phase III Pro Forma'!H2)</f>
        <v>1</v>
      </c>
      <c r="J2" s="72">
        <f>+IF(J7&gt;=Assumptions!$H$26,'Phase III Pro Forma'!I2+1,'Phase III Pro Forma'!I2)</f>
        <v>2</v>
      </c>
      <c r="K2" s="72">
        <f>+IF(K7&gt;=Assumptions!$H$26,'Phase III Pro Forma'!J2+1,'Phase III Pro Forma'!J2)</f>
        <v>3</v>
      </c>
      <c r="L2" s="72">
        <f>+IF(L7&gt;=Assumptions!$H$26,'Phase III Pro Forma'!K2+1,'Phase III Pro Forma'!K2)</f>
        <v>4</v>
      </c>
      <c r="M2" s="72">
        <f>+IF(M7&gt;=Assumptions!$H$26,'Phase III Pro Forma'!L2+1,'Phase III Pro Forma'!L2)</f>
        <v>5</v>
      </c>
      <c r="N2" s="72">
        <f>+IF(N7&gt;=Assumptions!$H$26,'Phase III Pro Forma'!M2+1,'Phase III Pro Forma'!M2)</f>
        <v>6</v>
      </c>
      <c r="O2" s="72">
        <f>+IF(O7&gt;=Assumptions!$H$26,'Phase III Pro Forma'!N2+1,'Phase III Pro Forma'!N2)</f>
        <v>7</v>
      </c>
      <c r="P2" s="72">
        <f>+IF(P7&gt;=Assumptions!$H$26,'Phase III Pro Forma'!O2+1,'Phase III Pro Forma'!O2)</f>
        <v>8</v>
      </c>
      <c r="Q2" s="72">
        <f>+IF(Q7&gt;=Assumptions!$H$26,'Phase III Pro Forma'!P2+1,'Phase III Pro Forma'!P2)</f>
        <v>9</v>
      </c>
      <c r="R2" s="72">
        <f>+IF(R7&gt;=Assumptions!$H$26,'Phase III Pro Forma'!Q2+1,'Phase III Pro Forma'!Q2)</f>
        <v>10</v>
      </c>
      <c r="S2" s="72">
        <f>+IF(S7&gt;=Assumptions!$H$26,'Phase III Pro Forma'!R2+1,'Phase III Pro Forma'!R2)</f>
        <v>11</v>
      </c>
      <c r="T2" s="72">
        <f>+IF(T7&gt;=Assumptions!$H$26,'Phase III Pro Forma'!S2+1,'Phase III Pro Forma'!S2)</f>
        <v>12</v>
      </c>
      <c r="U2" s="72">
        <f>+IF(U7&gt;=Assumptions!$H$26,'Phase III Pro Forma'!T2+1,'Phase III Pro Forma'!T2)</f>
        <v>13</v>
      </c>
      <c r="V2" s="72">
        <f>+IF(V7&gt;=Assumptions!$H$26,'Phase III Pro Forma'!U2+1,'Phase III Pro Forma'!U2)</f>
        <v>14</v>
      </c>
      <c r="W2" s="72">
        <f>+IF(W7&gt;=Assumptions!$H$26,'Phase III Pro Forma'!V2+1,'Phase III Pro Forma'!V2)</f>
        <v>15</v>
      </c>
      <c r="X2" s="72">
        <f>+IF(X7&gt;=Assumptions!$H$26,'Phase III Pro Forma'!W2+1,'Phase III Pro Forma'!W2)</f>
        <v>16</v>
      </c>
      <c r="Y2" s="72">
        <f>+IF(Y7&gt;=Assumptions!$H$26,'Phase III Pro Forma'!X2+1,'Phase III Pro Forma'!X2)</f>
        <v>17</v>
      </c>
      <c r="Z2" s="72">
        <f>+IF(Z7&gt;=Assumptions!$H$26,'Phase III Pro Forma'!Y2+1,'Phase III Pro Forma'!Y2)</f>
        <v>18</v>
      </c>
    </row>
    <row r="3" spans="1:26">
      <c r="B3" s="71" t="s">
        <v>573</v>
      </c>
      <c r="F3" s="72">
        <f>+IF(F7&gt;=Assumptions!$H$28,'Phase III Pro Forma'!E3+1,'Phase III Pro Forma'!E3)</f>
        <v>0</v>
      </c>
      <c r="G3" s="72">
        <f>+IF(G7&gt;=Assumptions!$H$28,'Phase III Pro Forma'!F3+1,'Phase III Pro Forma'!F3)</f>
        <v>0</v>
      </c>
      <c r="H3" s="72">
        <f>+IF(H7&gt;=Assumptions!$H$28,'Phase III Pro Forma'!G3+1,'Phase III Pro Forma'!G3)</f>
        <v>0</v>
      </c>
      <c r="I3" s="72">
        <f>+IF(I7&gt;=Assumptions!$H$28,'Phase III Pro Forma'!H3+1,'Phase III Pro Forma'!H3)</f>
        <v>0</v>
      </c>
      <c r="J3" s="72">
        <f>+IF(J7&gt;=Assumptions!$H$28,'Phase III Pro Forma'!I3+1,'Phase III Pro Forma'!I3)</f>
        <v>0</v>
      </c>
      <c r="K3" s="72">
        <f>+IF(K7&gt;=Assumptions!$H$28,'Phase III Pro Forma'!J3+1,'Phase III Pro Forma'!J3)</f>
        <v>1</v>
      </c>
      <c r="L3" s="72">
        <f>+IF(L7&gt;=Assumptions!$H$28,'Phase III Pro Forma'!K3+1,'Phase III Pro Forma'!K3)</f>
        <v>2</v>
      </c>
      <c r="M3" s="72">
        <f>+IF(M7&gt;=Assumptions!$H$28,'Phase III Pro Forma'!L3+1,'Phase III Pro Forma'!L3)</f>
        <v>3</v>
      </c>
      <c r="N3" s="72">
        <f>+IF(N7&gt;=Assumptions!$H$28,'Phase III Pro Forma'!M3+1,'Phase III Pro Forma'!M3)</f>
        <v>4</v>
      </c>
      <c r="O3" s="72">
        <f>+IF(O7&gt;=Assumptions!$H$28,'Phase III Pro Forma'!N3+1,'Phase III Pro Forma'!N3)</f>
        <v>5</v>
      </c>
      <c r="P3" s="72">
        <f>+IF(P7&gt;=Assumptions!$H$28,'Phase III Pro Forma'!O3+1,'Phase III Pro Forma'!O3)</f>
        <v>6</v>
      </c>
      <c r="Q3" s="72">
        <f>+IF(Q7&gt;=Assumptions!$H$28,'Phase III Pro Forma'!P3+1,'Phase III Pro Forma'!P3)</f>
        <v>7</v>
      </c>
      <c r="R3" s="72">
        <f>+IF(R7&gt;=Assumptions!$H$28,'Phase III Pro Forma'!Q3+1,'Phase III Pro Forma'!Q3)</f>
        <v>8</v>
      </c>
      <c r="S3" s="72">
        <f>+IF(S7&gt;=Assumptions!$H$28,'Phase III Pro Forma'!R3+1,'Phase III Pro Forma'!R3)</f>
        <v>9</v>
      </c>
      <c r="T3" s="72">
        <f>+IF(T7&gt;=Assumptions!$H$28,'Phase III Pro Forma'!S3+1,'Phase III Pro Forma'!S3)</f>
        <v>10</v>
      </c>
      <c r="U3" s="72">
        <f>+IF(U7&gt;=Assumptions!$H$28,'Phase III Pro Forma'!T3+1,'Phase III Pro Forma'!T3)</f>
        <v>11</v>
      </c>
      <c r="V3" s="72">
        <f>+IF(V7&gt;=Assumptions!$H$28,'Phase III Pro Forma'!U3+1,'Phase III Pro Forma'!U3)</f>
        <v>12</v>
      </c>
      <c r="W3" s="72">
        <f>+IF(W7&gt;=Assumptions!$H$28,'Phase III Pro Forma'!V3+1,'Phase III Pro Forma'!V3)</f>
        <v>13</v>
      </c>
      <c r="X3" s="72">
        <f>+IF(X7&gt;=Assumptions!$H$28,'Phase III Pro Forma'!W3+1,'Phase III Pro Forma'!W3)</f>
        <v>14</v>
      </c>
      <c r="Y3" s="72">
        <f>+IF(Y7&gt;=Assumptions!$H$28,'Phase III Pro Forma'!X3+1,'Phase III Pro Forma'!X3)</f>
        <v>15</v>
      </c>
      <c r="Z3" s="72">
        <f>+IF(Z7&gt;=Assumptions!$H$28,'Phase III Pro Forma'!Y3+1,'Phase III Pro Forma'!Y3)</f>
        <v>16</v>
      </c>
    </row>
    <row r="4" spans="1:26">
      <c r="F4" s="22"/>
      <c r="G4" s="22"/>
      <c r="H4" s="22"/>
      <c r="I4" s="22"/>
      <c r="J4" s="22"/>
      <c r="K4" s="22"/>
      <c r="L4" s="22"/>
      <c r="M4" s="22"/>
      <c r="N4" s="22"/>
    </row>
    <row r="5" spans="1:26">
      <c r="B5" s="440" t="s">
        <v>574</v>
      </c>
      <c r="C5" s="441"/>
      <c r="D5" s="441"/>
      <c r="E5" s="44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</row>
    <row r="6" spans="1:26">
      <c r="B6" s="54"/>
      <c r="F6" s="106">
        <f>+YEAR(F7)</f>
        <v>2024</v>
      </c>
      <c r="G6" s="106">
        <f t="shared" ref="G6:Z6" si="0">+YEAR(G7)</f>
        <v>2025</v>
      </c>
      <c r="H6" s="106">
        <f t="shared" si="0"/>
        <v>2026</v>
      </c>
      <c r="I6" s="106">
        <f t="shared" si="0"/>
        <v>2027</v>
      </c>
      <c r="J6" s="106">
        <f t="shared" si="0"/>
        <v>2028</v>
      </c>
      <c r="K6" s="106">
        <f t="shared" si="0"/>
        <v>2029</v>
      </c>
      <c r="L6" s="106">
        <f t="shared" si="0"/>
        <v>2030</v>
      </c>
      <c r="M6" s="106">
        <f t="shared" si="0"/>
        <v>2031</v>
      </c>
      <c r="N6" s="106">
        <f t="shared" si="0"/>
        <v>2032</v>
      </c>
      <c r="O6" s="106">
        <f t="shared" si="0"/>
        <v>2033</v>
      </c>
      <c r="P6" s="106">
        <f t="shared" si="0"/>
        <v>2034</v>
      </c>
      <c r="Q6" s="106">
        <f t="shared" si="0"/>
        <v>2035</v>
      </c>
      <c r="R6" s="106">
        <f t="shared" si="0"/>
        <v>2036</v>
      </c>
      <c r="S6" s="106">
        <f t="shared" si="0"/>
        <v>2037</v>
      </c>
      <c r="T6" s="106">
        <f t="shared" si="0"/>
        <v>2038</v>
      </c>
      <c r="U6" s="106">
        <f t="shared" si="0"/>
        <v>2039</v>
      </c>
      <c r="V6" s="106">
        <f t="shared" si="0"/>
        <v>2040</v>
      </c>
      <c r="W6" s="106">
        <f t="shared" si="0"/>
        <v>2041</v>
      </c>
      <c r="X6" s="106">
        <f t="shared" si="0"/>
        <v>2042</v>
      </c>
      <c r="Y6" s="106">
        <f t="shared" si="0"/>
        <v>2043</v>
      </c>
      <c r="Z6" s="106">
        <f t="shared" si="0"/>
        <v>2044</v>
      </c>
    </row>
    <row r="7" spans="1:26">
      <c r="B7" s="73" t="s">
        <v>25</v>
      </c>
      <c r="C7" s="74"/>
      <c r="D7" s="74"/>
      <c r="E7" s="74"/>
      <c r="F7" s="75">
        <f>+Assumptions!$H$22</f>
        <v>45657</v>
      </c>
      <c r="G7" s="75">
        <f>+EOMONTH(F7,12)</f>
        <v>46022</v>
      </c>
      <c r="H7" s="75">
        <f t="shared" ref="H7:Z7" si="1">+EOMONTH(G7,12)</f>
        <v>46387</v>
      </c>
      <c r="I7" s="75">
        <f t="shared" si="1"/>
        <v>46752</v>
      </c>
      <c r="J7" s="75">
        <f t="shared" si="1"/>
        <v>47118</v>
      </c>
      <c r="K7" s="75">
        <f t="shared" si="1"/>
        <v>47483</v>
      </c>
      <c r="L7" s="75">
        <f t="shared" si="1"/>
        <v>47848</v>
      </c>
      <c r="M7" s="75">
        <f t="shared" si="1"/>
        <v>48213</v>
      </c>
      <c r="N7" s="75">
        <f t="shared" si="1"/>
        <v>48579</v>
      </c>
      <c r="O7" s="75">
        <f t="shared" si="1"/>
        <v>48944</v>
      </c>
      <c r="P7" s="75">
        <f t="shared" si="1"/>
        <v>49309</v>
      </c>
      <c r="Q7" s="75">
        <f t="shared" si="1"/>
        <v>49674</v>
      </c>
      <c r="R7" s="75">
        <f t="shared" si="1"/>
        <v>50040</v>
      </c>
      <c r="S7" s="75">
        <f t="shared" si="1"/>
        <v>50405</v>
      </c>
      <c r="T7" s="75">
        <f t="shared" si="1"/>
        <v>50770</v>
      </c>
      <c r="U7" s="75">
        <f t="shared" si="1"/>
        <v>51135</v>
      </c>
      <c r="V7" s="75">
        <f t="shared" si="1"/>
        <v>51501</v>
      </c>
      <c r="W7" s="75">
        <f t="shared" si="1"/>
        <v>51866</v>
      </c>
      <c r="X7" s="75">
        <f t="shared" si="1"/>
        <v>52231</v>
      </c>
      <c r="Y7" s="75">
        <f t="shared" si="1"/>
        <v>52596</v>
      </c>
      <c r="Z7" s="75">
        <f t="shared" si="1"/>
        <v>52962</v>
      </c>
    </row>
    <row r="8" spans="1:26">
      <c r="A8" s="65" t="b">
        <f>+SUM(F8:Z8)=Assumptions!$F$55</f>
        <v>0</v>
      </c>
      <c r="B8" s="15" t="s">
        <v>575</v>
      </c>
      <c r="C8" s="15"/>
      <c r="D8" s="20"/>
      <c r="E8" s="20"/>
      <c r="F8" s="22">
        <f>+IF(AND(F7&gt;=Assumptions!$H$26,F7&lt;Assumptions!$H$28),Assumptions!$H$55/ROUNDUP((Assumptions!$H$27/12),0),0)</f>
        <v>0</v>
      </c>
      <c r="G8" s="22">
        <f>+IF(AND(G7&gt;=Assumptions!$H$26,G7&lt;Assumptions!$H$28),Assumptions!$H$55/ROUNDUP((Assumptions!$H$27/12),0),0)</f>
        <v>0</v>
      </c>
      <c r="H8" s="22">
        <f>+IF(AND(H7&gt;=Assumptions!$H$26,H7&lt;Assumptions!$H$28),Assumptions!$H$55/ROUNDUP((Assumptions!$H$27/12),0),0)</f>
        <v>0</v>
      </c>
      <c r="I8" s="22">
        <f>+IF(AND(I7&gt;=Assumptions!$H$26,I7&lt;Assumptions!$H$28),Assumptions!$H$55/ROUNDUP((Assumptions!$H$27/12),0),0)</f>
        <v>142707.09983519907</v>
      </c>
      <c r="J8" s="22">
        <f>+IF(AND(J7&gt;=Assumptions!$H$26,J7&lt;Assumptions!$H$28),Assumptions!$H$55/ROUNDUP((Assumptions!$H$27/12),0),0)</f>
        <v>142707.09983519907</v>
      </c>
      <c r="K8" s="22">
        <f>+IF(AND(K7&gt;=Assumptions!$H$26,K7&lt;Assumptions!$H$28),Assumptions!$H$55/ROUNDUP((Assumptions!$H$27/12),0),0)</f>
        <v>0</v>
      </c>
      <c r="L8" s="22">
        <f>+IF(AND(L7&gt;=Assumptions!$H$26,L7&lt;Assumptions!$H$28),Assumptions!$H$55/ROUNDUP((Assumptions!$H$27/12),0),0)</f>
        <v>0</v>
      </c>
      <c r="M8" s="22">
        <f>+IF(AND(M7&gt;=Assumptions!$H$26,M7&lt;Assumptions!$H$28),Assumptions!$H$55/ROUNDUP((Assumptions!$H$27/12),0),0)</f>
        <v>0</v>
      </c>
      <c r="N8" s="22">
        <f>+IF(AND(N7&gt;=Assumptions!$H$26,N7&lt;Assumptions!$H$28),Assumptions!$H$55/ROUNDUP((Assumptions!$H$27/12),0),0)</f>
        <v>0</v>
      </c>
      <c r="O8" s="22">
        <f>+IF(AND(O7&gt;=Assumptions!$H$26,O7&lt;Assumptions!$H$28),Assumptions!$H$55/ROUNDUP((Assumptions!$H$27/12),0),0)</f>
        <v>0</v>
      </c>
      <c r="P8" s="22">
        <f>+IF(AND(P7&gt;=Assumptions!$H$26,P7&lt;Assumptions!$H$28),Assumptions!$H$55/ROUNDUP((Assumptions!$H$27/12),0),0)</f>
        <v>0</v>
      </c>
      <c r="Q8" s="22">
        <f>+IF(AND(Q7&gt;=Assumptions!$H$26,Q7&lt;Assumptions!$H$28),Assumptions!$H$55/ROUNDUP((Assumptions!$H$27/12),0),0)</f>
        <v>0</v>
      </c>
      <c r="R8" s="22">
        <f>+IF(AND(R7&gt;=Assumptions!$H$26,R7&lt;Assumptions!$H$28),Assumptions!$H$55/ROUNDUP((Assumptions!$H$27/12),0),0)</f>
        <v>0</v>
      </c>
      <c r="S8" s="22">
        <f>+IF(AND(S7&gt;=Assumptions!$H$26,S7&lt;Assumptions!$H$28),Assumptions!$H$55/ROUNDUP((Assumptions!$H$27/12),0),0)</f>
        <v>0</v>
      </c>
      <c r="T8" s="22">
        <f>+IF(AND(T7&gt;=Assumptions!$H$26,T7&lt;Assumptions!$H$28),Assumptions!$H$55/ROUNDUP((Assumptions!$H$27/12),0),0)</f>
        <v>0</v>
      </c>
      <c r="U8" s="22">
        <f>+IF(AND(U7&gt;=Assumptions!$H$26,U7&lt;Assumptions!$H$28),Assumptions!$H$55/ROUNDUP((Assumptions!$H$27/12),0),0)</f>
        <v>0</v>
      </c>
      <c r="V8" s="22">
        <f>+IF(AND(V7&gt;=Assumptions!$H$26,V7&lt;Assumptions!$H$28),Assumptions!$H$55/ROUNDUP((Assumptions!$H$27/12),0),0)</f>
        <v>0</v>
      </c>
      <c r="W8" s="22">
        <f>+IF(AND(W7&gt;=Assumptions!$H$26,W7&lt;Assumptions!$H$28),Assumptions!$H$55/ROUNDUP((Assumptions!$H$27/12),0),0)</f>
        <v>0</v>
      </c>
      <c r="X8" s="22">
        <f>+IF(AND(X7&gt;=Assumptions!$H$26,X7&lt;Assumptions!$H$28),Assumptions!$H$55/ROUNDUP((Assumptions!$H$27/12),0),0)</f>
        <v>0</v>
      </c>
      <c r="Y8" s="22">
        <f>+IF(AND(Y7&gt;=Assumptions!$H$26,Y7&lt;Assumptions!$H$28),Assumptions!$H$55/ROUNDUP((Assumptions!$H$27/12),0),0)</f>
        <v>0</v>
      </c>
      <c r="Z8" s="22">
        <f>+IF(AND(Z7&gt;=Assumptions!$H$26,Z7&lt;Assumptions!$H$28),Assumptions!$H$55/ROUNDUP((Assumptions!$H$27/12),0),0)</f>
        <v>0</v>
      </c>
    </row>
    <row r="9" spans="1:26">
      <c r="B9" s="15" t="s">
        <v>576</v>
      </c>
      <c r="C9" s="15"/>
      <c r="D9" s="22">
        <v>0</v>
      </c>
      <c r="E9" s="22"/>
      <c r="F9" s="22">
        <f>+D9+F8</f>
        <v>0</v>
      </c>
      <c r="G9" s="22">
        <f t="shared" ref="G9:Z9" si="2">+F9+G8</f>
        <v>0</v>
      </c>
      <c r="H9" s="22">
        <f t="shared" si="2"/>
        <v>0</v>
      </c>
      <c r="I9" s="22">
        <f t="shared" si="2"/>
        <v>142707.09983519907</v>
      </c>
      <c r="J9" s="22">
        <f t="shared" si="2"/>
        <v>285414.19967039814</v>
      </c>
      <c r="K9" s="22">
        <f t="shared" si="2"/>
        <v>285414.19967039814</v>
      </c>
      <c r="L9" s="22">
        <f t="shared" si="2"/>
        <v>285414.19967039814</v>
      </c>
      <c r="M9" s="22">
        <f t="shared" si="2"/>
        <v>285414.19967039814</v>
      </c>
      <c r="N9" s="22">
        <f t="shared" si="2"/>
        <v>285414.19967039814</v>
      </c>
      <c r="O9" s="22">
        <f t="shared" si="2"/>
        <v>285414.19967039814</v>
      </c>
      <c r="P9" s="22">
        <f t="shared" si="2"/>
        <v>285414.19967039814</v>
      </c>
      <c r="Q9" s="22">
        <f t="shared" si="2"/>
        <v>285414.19967039814</v>
      </c>
      <c r="R9" s="22">
        <f t="shared" si="2"/>
        <v>285414.19967039814</v>
      </c>
      <c r="S9" s="22">
        <f t="shared" si="2"/>
        <v>285414.19967039814</v>
      </c>
      <c r="T9" s="22">
        <f t="shared" si="2"/>
        <v>285414.19967039814</v>
      </c>
      <c r="U9" s="22">
        <f t="shared" si="2"/>
        <v>285414.19967039814</v>
      </c>
      <c r="V9" s="22">
        <f t="shared" si="2"/>
        <v>285414.19967039814</v>
      </c>
      <c r="W9" s="22">
        <f t="shared" si="2"/>
        <v>285414.19967039814</v>
      </c>
      <c r="X9" s="22">
        <f t="shared" si="2"/>
        <v>285414.19967039814</v>
      </c>
      <c r="Y9" s="22">
        <f t="shared" si="2"/>
        <v>285414.19967039814</v>
      </c>
      <c r="Z9" s="22">
        <f t="shared" si="2"/>
        <v>285414.19967039814</v>
      </c>
    </row>
    <row r="10" spans="1:26">
      <c r="B10" s="15" t="s">
        <v>577</v>
      </c>
      <c r="C10" s="15"/>
      <c r="D10" s="22"/>
      <c r="E10" s="22"/>
      <c r="F10" s="22">
        <f>+F11-E11</f>
        <v>0</v>
      </c>
      <c r="G10" s="22">
        <f t="shared" ref="G10:Z10" si="3">+G11-F11</f>
        <v>0</v>
      </c>
      <c r="H10" s="22">
        <f t="shared" si="3"/>
        <v>0</v>
      </c>
      <c r="I10" s="22">
        <f t="shared" si="3"/>
        <v>203.35469242035148</v>
      </c>
      <c r="J10" s="22">
        <f t="shared" si="3"/>
        <v>203.35469242035148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0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0</v>
      </c>
      <c r="Y10" s="22">
        <f t="shared" si="3"/>
        <v>0</v>
      </c>
      <c r="Z10" s="22">
        <f t="shared" si="3"/>
        <v>0</v>
      </c>
    </row>
    <row r="11" spans="1:26">
      <c r="B11" s="15" t="s">
        <v>578</v>
      </c>
      <c r="C11" s="15"/>
      <c r="D11" s="22"/>
      <c r="E11" s="22"/>
      <c r="F11" s="22">
        <f>+F12*Assumptions!$H$56</f>
        <v>0</v>
      </c>
      <c r="G11" s="22">
        <f>+G12*Assumptions!$H$56</f>
        <v>0</v>
      </c>
      <c r="H11" s="22">
        <f>+H12*Assumptions!$H$56</f>
        <v>0</v>
      </c>
      <c r="I11" s="22">
        <f>+I12*Assumptions!$H$56</f>
        <v>203.35469242035148</v>
      </c>
      <c r="J11" s="22">
        <f>+J12*Assumptions!$H$56</f>
        <v>406.70938484070297</v>
      </c>
      <c r="K11" s="22">
        <f>+K12*Assumptions!$H$56</f>
        <v>406.70938484070297</v>
      </c>
      <c r="L11" s="22">
        <f>+L12*Assumptions!$H$56</f>
        <v>406.70938484070297</v>
      </c>
      <c r="M11" s="22">
        <f>+M12*Assumptions!$H$56</f>
        <v>406.70938484070297</v>
      </c>
      <c r="N11" s="22">
        <f>+N12*Assumptions!$H$56</f>
        <v>406.70938484070297</v>
      </c>
      <c r="O11" s="22">
        <f>+O12*Assumptions!$H$56</f>
        <v>406.70938484070297</v>
      </c>
      <c r="P11" s="22">
        <f>+P12*Assumptions!$H$56</f>
        <v>406.70938484070297</v>
      </c>
      <c r="Q11" s="22">
        <f>+Q12*Assumptions!$H$56</f>
        <v>406.70938484070297</v>
      </c>
      <c r="R11" s="22">
        <f>+R12*Assumptions!$H$56</f>
        <v>406.70938484070297</v>
      </c>
      <c r="S11" s="22">
        <f>+S12*Assumptions!$H$56</f>
        <v>406.70938484070297</v>
      </c>
      <c r="T11" s="22">
        <f>+T12*Assumptions!$H$56</f>
        <v>406.70938484070297</v>
      </c>
      <c r="U11" s="22">
        <f>+U12*Assumptions!$H$56</f>
        <v>406.70938484070297</v>
      </c>
      <c r="V11" s="22">
        <f>+V12*Assumptions!$H$56</f>
        <v>406.70938484070297</v>
      </c>
      <c r="W11" s="22">
        <f>+W12*Assumptions!$H$56</f>
        <v>406.70938484070297</v>
      </c>
      <c r="X11" s="22">
        <f>+X12*Assumptions!$H$56</f>
        <v>406.70938484070297</v>
      </c>
      <c r="Y11" s="22">
        <f>+Y12*Assumptions!$H$56</f>
        <v>406.70938484070297</v>
      </c>
      <c r="Z11" s="22">
        <f>+Z12*Assumptions!$H$56</f>
        <v>406.70938484070297</v>
      </c>
    </row>
    <row r="12" spans="1:26">
      <c r="B12" s="15" t="s">
        <v>579</v>
      </c>
      <c r="C12" s="15"/>
      <c r="D12" s="22"/>
      <c r="E12" s="22"/>
      <c r="F12" s="49">
        <f>+F9/SUM($F$8:$Z$8)</f>
        <v>0</v>
      </c>
      <c r="G12" s="49">
        <f t="shared" ref="G12:Z12" si="4">+G9/SUM($F$8:$Z$8)</f>
        <v>0</v>
      </c>
      <c r="H12" s="49">
        <f t="shared" si="4"/>
        <v>0</v>
      </c>
      <c r="I12" s="49">
        <f t="shared" si="4"/>
        <v>0.5</v>
      </c>
      <c r="J12" s="49">
        <f t="shared" si="4"/>
        <v>1</v>
      </c>
      <c r="K12" s="49">
        <f t="shared" si="4"/>
        <v>1</v>
      </c>
      <c r="L12" s="49">
        <f t="shared" si="4"/>
        <v>1</v>
      </c>
      <c r="M12" s="49">
        <f t="shared" si="4"/>
        <v>1</v>
      </c>
      <c r="N12" s="49">
        <f t="shared" si="4"/>
        <v>1</v>
      </c>
      <c r="O12" s="49">
        <f t="shared" si="4"/>
        <v>1</v>
      </c>
      <c r="P12" s="49">
        <f t="shared" si="4"/>
        <v>1</v>
      </c>
      <c r="Q12" s="49">
        <f t="shared" si="4"/>
        <v>1</v>
      </c>
      <c r="R12" s="49">
        <f t="shared" si="4"/>
        <v>1</v>
      </c>
      <c r="S12" s="49">
        <f t="shared" si="4"/>
        <v>1</v>
      </c>
      <c r="T12" s="49">
        <f t="shared" si="4"/>
        <v>1</v>
      </c>
      <c r="U12" s="49">
        <f t="shared" si="4"/>
        <v>1</v>
      </c>
      <c r="V12" s="49">
        <f t="shared" si="4"/>
        <v>1</v>
      </c>
      <c r="W12" s="49">
        <f t="shared" si="4"/>
        <v>1</v>
      </c>
      <c r="X12" s="49">
        <f t="shared" si="4"/>
        <v>1</v>
      </c>
      <c r="Y12" s="49">
        <f t="shared" si="4"/>
        <v>1</v>
      </c>
      <c r="Z12" s="49">
        <f t="shared" si="4"/>
        <v>1</v>
      </c>
    </row>
    <row r="13" spans="1:26">
      <c r="B13" s="15"/>
      <c r="C13" s="15"/>
      <c r="D13" s="22"/>
      <c r="E13" s="2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>
      <c r="B14" s="15" t="s">
        <v>580</v>
      </c>
      <c r="C14" s="15"/>
      <c r="D14" s="22"/>
      <c r="E14" s="22"/>
      <c r="F14" s="49">
        <v>1</v>
      </c>
      <c r="G14" s="49">
        <f>+F14*(1+Assumptions!$P$63)</f>
        <v>1.02</v>
      </c>
      <c r="H14" s="49">
        <f>+G14*(1+Assumptions!$P$63)</f>
        <v>1.0404</v>
      </c>
      <c r="I14" s="49">
        <f>+H14*(1+Assumptions!$P$63)</f>
        <v>1.0612079999999999</v>
      </c>
      <c r="J14" s="49">
        <f>+I14*(1+Assumptions!$P$63)</f>
        <v>1.08243216</v>
      </c>
      <c r="K14" s="49">
        <f>+J14*(1+Assumptions!$P$63)</f>
        <v>1.1040808032</v>
      </c>
      <c r="L14" s="49">
        <f>+K14*(1+Assumptions!$P$63)</f>
        <v>1.1261624192640001</v>
      </c>
      <c r="M14" s="49">
        <f>+L14*(1+Assumptions!$P$63)</f>
        <v>1.14868566764928</v>
      </c>
      <c r="N14" s="49">
        <f>+M14*(1+Assumptions!$P$63)</f>
        <v>1.1716593810022657</v>
      </c>
      <c r="O14" s="49">
        <f>+N14*(1+Assumptions!$P$63)</f>
        <v>1.1950925686223111</v>
      </c>
      <c r="P14" s="49">
        <f>+O14*(1+Assumptions!$P$63)</f>
        <v>1.2189944199947573</v>
      </c>
      <c r="Q14" s="49">
        <f>+P14*(1+Assumptions!$P$63)</f>
        <v>1.2433743083946525</v>
      </c>
      <c r="R14" s="49">
        <f>+Q14*(1+Assumptions!$P$63)</f>
        <v>1.2682417945625455</v>
      </c>
      <c r="S14" s="49">
        <f>+R14*(1+Assumptions!$P$63)</f>
        <v>1.2936066304537963</v>
      </c>
      <c r="T14" s="49">
        <f>+S14*(1+Assumptions!$P$63)</f>
        <v>1.3194787630628724</v>
      </c>
      <c r="U14" s="49">
        <f>+T14*(1+Assumptions!$P$63)</f>
        <v>1.3458683383241299</v>
      </c>
      <c r="V14" s="49">
        <f>+U14*(1+Assumptions!$P$63)</f>
        <v>1.3727857050906125</v>
      </c>
      <c r="W14" s="49">
        <f>+V14*(1+Assumptions!$P$63)</f>
        <v>1.4002414191924248</v>
      </c>
      <c r="X14" s="49">
        <f>+W14*(1+Assumptions!$P$63)</f>
        <v>1.4282462475762734</v>
      </c>
      <c r="Y14" s="49">
        <f>+X14*(1+Assumptions!$P$63)</f>
        <v>1.4568111725277988</v>
      </c>
      <c r="Z14" s="49">
        <f>+Y14*(1+Assumptions!$P$63)</f>
        <v>1.4859473959783549</v>
      </c>
    </row>
    <row r="15" spans="1:26">
      <c r="B15" s="15" t="s">
        <v>581</v>
      </c>
      <c r="C15" s="15"/>
      <c r="D15" s="22"/>
      <c r="E15" s="22"/>
      <c r="F15" s="49">
        <v>1</v>
      </c>
      <c r="G15" s="49">
        <f>+F15*(1+Assumptions!$P$76)</f>
        <v>1.02</v>
      </c>
      <c r="H15" s="49">
        <f>+G15*(1+Assumptions!$P$76)</f>
        <v>1.0404</v>
      </c>
      <c r="I15" s="49">
        <f>+H15*(1+Assumptions!$P$76)</f>
        <v>1.0612079999999999</v>
      </c>
      <c r="J15" s="49">
        <f>+I15*(1+Assumptions!$P$76)</f>
        <v>1.08243216</v>
      </c>
      <c r="K15" s="49">
        <f>+J15*(1+Assumptions!$P$76)</f>
        <v>1.1040808032</v>
      </c>
      <c r="L15" s="49">
        <f>+K15*(1+Assumptions!$P$76)</f>
        <v>1.1261624192640001</v>
      </c>
      <c r="M15" s="49">
        <f>+L15*(1+Assumptions!$P$76)</f>
        <v>1.14868566764928</v>
      </c>
      <c r="N15" s="49">
        <f>+M15*(1+Assumptions!$P$76)</f>
        <v>1.1716593810022657</v>
      </c>
      <c r="O15" s="49">
        <f>+N15*(1+Assumptions!$P$76)</f>
        <v>1.1950925686223111</v>
      </c>
      <c r="P15" s="49">
        <f>+O15*(1+Assumptions!$P$76)</f>
        <v>1.2189944199947573</v>
      </c>
      <c r="Q15" s="49">
        <f>+P15*(1+Assumptions!$P$76)</f>
        <v>1.2433743083946525</v>
      </c>
      <c r="R15" s="49">
        <f>+Q15*(1+Assumptions!$P$76)</f>
        <v>1.2682417945625455</v>
      </c>
      <c r="S15" s="49">
        <f>+R15*(1+Assumptions!$P$76)</f>
        <v>1.2936066304537963</v>
      </c>
      <c r="T15" s="49">
        <f>+S15*(1+Assumptions!$P$76)</f>
        <v>1.3194787630628724</v>
      </c>
      <c r="U15" s="49">
        <f>+T15*(1+Assumptions!$P$76)</f>
        <v>1.3458683383241299</v>
      </c>
      <c r="V15" s="49">
        <f>+U15*(1+Assumptions!$P$76)</f>
        <v>1.3727857050906125</v>
      </c>
      <c r="W15" s="49">
        <f>+V15*(1+Assumptions!$P$76)</f>
        <v>1.4002414191924248</v>
      </c>
      <c r="X15" s="49">
        <f>+W15*(1+Assumptions!$P$76)</f>
        <v>1.4282462475762734</v>
      </c>
      <c r="Y15" s="49">
        <f>+X15*(1+Assumptions!$P$76)</f>
        <v>1.4568111725277988</v>
      </c>
      <c r="Z15" s="49">
        <f>+Y15*(1+Assumptions!$P$76)</f>
        <v>1.4859473959783549</v>
      </c>
    </row>
    <row r="16" spans="1:26">
      <c r="B16" s="15"/>
      <c r="C16" s="15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>
      <c r="B17" s="15" t="s">
        <v>582</v>
      </c>
      <c r="C17" s="15"/>
      <c r="D17" s="20"/>
      <c r="E17" s="20"/>
      <c r="F17" s="16">
        <f>+F12*Assumptions!$H$54*F14</f>
        <v>0</v>
      </c>
      <c r="G17" s="16">
        <f>+G12*Assumptions!$H$54*G14</f>
        <v>0</v>
      </c>
      <c r="H17" s="16">
        <f>+H12*Assumptions!$H$54*H14</f>
        <v>0</v>
      </c>
      <c r="I17" s="16">
        <f>+I12*Assumptions!$H$54*I14</f>
        <v>2710110.4147135834</v>
      </c>
      <c r="J17" s="16">
        <f>+J12*Assumptions!$H$54*J14</f>
        <v>5528625.2460157108</v>
      </c>
      <c r="K17" s="16">
        <f>+K12*Assumptions!$H$54*K14</f>
        <v>5639197.7509360248</v>
      </c>
      <c r="L17" s="16">
        <f>+L12*Assumptions!$H$54*L14</f>
        <v>5751981.7059547454</v>
      </c>
      <c r="M17" s="16">
        <f>+M12*Assumptions!$H$54*M14</f>
        <v>5867021.3400738407</v>
      </c>
      <c r="N17" s="16">
        <f>+N12*Assumptions!$H$54*N14</f>
        <v>5984361.7668753173</v>
      </c>
      <c r="O17" s="16">
        <f>+O12*Assumptions!$H$54*O14</f>
        <v>6104049.0022128243</v>
      </c>
      <c r="P17" s="16">
        <f>+P12*Assumptions!$H$54*P14</f>
        <v>6226129.9822570812</v>
      </c>
      <c r="Q17" s="16">
        <f>+Q12*Assumptions!$H$54*Q14</f>
        <v>6350652.5819022227</v>
      </c>
      <c r="R17" s="16">
        <f>+R12*Assumptions!$H$54*R14</f>
        <v>6477665.6335402662</v>
      </c>
      <c r="S17" s="16">
        <f>+S12*Assumptions!$H$54*S14</f>
        <v>6607218.9462110717</v>
      </c>
      <c r="T17" s="16">
        <f>+T12*Assumptions!$H$54*T14</f>
        <v>6739363.3251352934</v>
      </c>
      <c r="U17" s="16">
        <f>+U12*Assumptions!$H$54*U14</f>
        <v>6874150.5916379998</v>
      </c>
      <c r="V17" s="16">
        <f>+V12*Assumptions!$H$54*V14</f>
        <v>7011633.6034707595</v>
      </c>
      <c r="W17" s="16">
        <f>+W12*Assumptions!$H$54*W14</f>
        <v>7151866.2755401758</v>
      </c>
      <c r="X17" s="16">
        <f>+X12*Assumptions!$H$54*X14</f>
        <v>7294903.6010509795</v>
      </c>
      <c r="Y17" s="16">
        <f>+Y12*Assumptions!$H$54*Y14</f>
        <v>7440801.6730719991</v>
      </c>
      <c r="Z17" s="16">
        <f>+Z12*Assumptions!$H$54*Z14</f>
        <v>7589617.7065334395</v>
      </c>
    </row>
    <row r="18" spans="2:26">
      <c r="B18" s="15" t="s">
        <v>583</v>
      </c>
      <c r="C18" s="15"/>
      <c r="D18" s="20"/>
      <c r="E18" s="20"/>
      <c r="F18" s="22">
        <f>-F17*Assumptions!$P$54</f>
        <v>0</v>
      </c>
      <c r="G18" s="22">
        <f>-G17*Assumptions!$P$54</f>
        <v>0</v>
      </c>
      <c r="H18" s="22">
        <f>-H17*Assumptions!$P$54</f>
        <v>0</v>
      </c>
      <c r="I18" s="22">
        <f>-I17*Assumptions!$P$54</f>
        <v>-54202.208294271666</v>
      </c>
      <c r="J18" s="22">
        <f>-J17*Assumptions!$P$54</f>
        <v>-110572.50492031421</v>
      </c>
      <c r="K18" s="22">
        <f>-K17*Assumptions!$P$54</f>
        <v>-112783.9550187205</v>
      </c>
      <c r="L18" s="22">
        <f>-L17*Assumptions!$P$54</f>
        <v>-115039.63411909492</v>
      </c>
      <c r="M18" s="22">
        <f>-M17*Assumptions!$P$54</f>
        <v>-117340.42680147682</v>
      </c>
      <c r="N18" s="22">
        <f>-N17*Assumptions!$P$54</f>
        <v>-119687.23533750635</v>
      </c>
      <c r="O18" s="22">
        <f>-O17*Assumptions!$P$54</f>
        <v>-122080.98004425649</v>
      </c>
      <c r="P18" s="22">
        <f>-P17*Assumptions!$P$54</f>
        <v>-124522.59964514163</v>
      </c>
      <c r="Q18" s="22">
        <f>-Q17*Assumptions!$P$54</f>
        <v>-127013.05163804446</v>
      </c>
      <c r="R18" s="22">
        <f>-R17*Assumptions!$P$54</f>
        <v>-129553.31267080533</v>
      </c>
      <c r="S18" s="22">
        <f>-S17*Assumptions!$P$54</f>
        <v>-132144.37892422144</v>
      </c>
      <c r="T18" s="22">
        <f>-T17*Assumptions!$P$54</f>
        <v>-134787.26650270587</v>
      </c>
      <c r="U18" s="22">
        <f>-U17*Assumptions!$P$54</f>
        <v>-137483.01183276001</v>
      </c>
      <c r="V18" s="22">
        <f>-V17*Assumptions!$P$54</f>
        <v>-140232.67206941519</v>
      </c>
      <c r="W18" s="22">
        <f>-W17*Assumptions!$P$54</f>
        <v>-143037.32551080352</v>
      </c>
      <c r="X18" s="22">
        <f>-X17*Assumptions!$P$54</f>
        <v>-145898.07202101959</v>
      </c>
      <c r="Y18" s="22">
        <f>-Y17*Assumptions!$P$54</f>
        <v>-148816.03346143998</v>
      </c>
      <c r="Z18" s="22">
        <f>-Z17*Assumptions!$P$54</f>
        <v>-151792.3541306688</v>
      </c>
    </row>
    <row r="19" spans="2:26">
      <c r="B19" s="15" t="s">
        <v>87</v>
      </c>
      <c r="C19" s="15"/>
      <c r="D19" s="20"/>
      <c r="E19" s="20"/>
      <c r="F19" s="76">
        <f>+F11*Assumptions!$H$89*(1-Assumptions!$P$54)*12</f>
        <v>0</v>
      </c>
      <c r="G19" s="76">
        <f>+G11*Assumptions!$H$89*(1-Assumptions!$P$54)*12</f>
        <v>0</v>
      </c>
      <c r="H19" s="76">
        <f>+H11*Assumptions!$H$89*(1-Assumptions!$P$54)*12</f>
        <v>0</v>
      </c>
      <c r="I19" s="76">
        <f>+I11*Assumptions!$H$89*(1-Assumptions!$P$54)*12</f>
        <v>11957.255914316667</v>
      </c>
      <c r="J19" s="76">
        <f>+J11*Assumptions!$H$89*(1-Assumptions!$P$54)*12</f>
        <v>23914.511828633335</v>
      </c>
      <c r="K19" s="76">
        <f>+K11*Assumptions!$H$89*(1-Assumptions!$P$54)*12</f>
        <v>23914.511828633335</v>
      </c>
      <c r="L19" s="76">
        <f>+L11*Assumptions!$H$89*(1-Assumptions!$P$54)*12</f>
        <v>23914.511828633335</v>
      </c>
      <c r="M19" s="76">
        <f>+M11*Assumptions!$H$89*(1-Assumptions!$P$54)*12</f>
        <v>23914.511828633335</v>
      </c>
      <c r="N19" s="76">
        <f>+N11*Assumptions!$H$89*(1-Assumptions!$P$54)*12</f>
        <v>23914.511828633335</v>
      </c>
      <c r="O19" s="76">
        <f>+O11*Assumptions!$H$89*(1-Assumptions!$P$54)*12</f>
        <v>23914.511828633335</v>
      </c>
      <c r="P19" s="76">
        <f>+P11*Assumptions!$H$89*(1-Assumptions!$P$54)*12</f>
        <v>23914.511828633335</v>
      </c>
      <c r="Q19" s="76">
        <f>+Q11*Assumptions!$H$89*(1-Assumptions!$P$54)*12</f>
        <v>23914.511828633335</v>
      </c>
      <c r="R19" s="76">
        <f>+R11*Assumptions!$H$89*(1-Assumptions!$P$54)*12</f>
        <v>23914.511828633335</v>
      </c>
      <c r="S19" s="76">
        <f>+S11*Assumptions!$H$89*(1-Assumptions!$P$54)*12</f>
        <v>23914.511828633335</v>
      </c>
      <c r="T19" s="76">
        <f>+T11*Assumptions!$H$89*(1-Assumptions!$P$54)*12</f>
        <v>23914.511828633335</v>
      </c>
      <c r="U19" s="76">
        <f>+U11*Assumptions!$H$89*(1-Assumptions!$P$54)*12</f>
        <v>23914.511828633335</v>
      </c>
      <c r="V19" s="76">
        <f>+V11*Assumptions!$H$89*(1-Assumptions!$P$54)*12</f>
        <v>23914.511828633335</v>
      </c>
      <c r="W19" s="76">
        <f>+W11*Assumptions!$H$89*(1-Assumptions!$P$54)*12</f>
        <v>23914.511828633335</v>
      </c>
      <c r="X19" s="76">
        <f>+X11*Assumptions!$H$89*(1-Assumptions!$P$54)*12</f>
        <v>23914.511828633335</v>
      </c>
      <c r="Y19" s="76">
        <f>+Y11*Assumptions!$H$89*(1-Assumptions!$P$54)*12</f>
        <v>23914.511828633335</v>
      </c>
      <c r="Z19" s="76">
        <f>+Z11*Assumptions!$H$89*(1-Assumptions!$P$54)*12</f>
        <v>23914.511828633335</v>
      </c>
    </row>
    <row r="20" spans="2:26">
      <c r="B20" s="62" t="s">
        <v>584</v>
      </c>
      <c r="C20" s="62"/>
      <c r="D20" s="62"/>
      <c r="E20" s="62"/>
      <c r="F20" s="58">
        <f t="shared" ref="F20:Z20" si="5">+SUM(F17:F19)</f>
        <v>0</v>
      </c>
      <c r="G20" s="58">
        <f t="shared" si="5"/>
        <v>0</v>
      </c>
      <c r="H20" s="58">
        <f t="shared" si="5"/>
        <v>0</v>
      </c>
      <c r="I20" s="58">
        <f t="shared" si="5"/>
        <v>2667865.4623336284</v>
      </c>
      <c r="J20" s="58">
        <f t="shared" si="5"/>
        <v>5441967.2529240297</v>
      </c>
      <c r="K20" s="58">
        <f t="shared" si="5"/>
        <v>5550328.3077459373</v>
      </c>
      <c r="L20" s="58">
        <f t="shared" si="5"/>
        <v>5660856.5836642832</v>
      </c>
      <c r="M20" s="58">
        <f t="shared" si="5"/>
        <v>5773595.4251009971</v>
      </c>
      <c r="N20" s="58">
        <f t="shared" si="5"/>
        <v>5888589.0433664443</v>
      </c>
      <c r="O20" s="58">
        <f t="shared" si="5"/>
        <v>6005882.5339972004</v>
      </c>
      <c r="P20" s="58">
        <f t="shared" si="5"/>
        <v>6125521.8944405727</v>
      </c>
      <c r="Q20" s="58">
        <f t="shared" si="5"/>
        <v>6247554.0420928113</v>
      </c>
      <c r="R20" s="58">
        <f t="shared" si="5"/>
        <v>6372026.8326980937</v>
      </c>
      <c r="S20" s="58">
        <f t="shared" si="5"/>
        <v>6498989.079115483</v>
      </c>
      <c r="T20" s="58">
        <f t="shared" si="5"/>
        <v>6628490.570461221</v>
      </c>
      <c r="U20" s="58">
        <f t="shared" si="5"/>
        <v>6760582.0916338731</v>
      </c>
      <c r="V20" s="58">
        <f t="shared" si="5"/>
        <v>6895315.443229977</v>
      </c>
      <c r="W20" s="58">
        <f t="shared" si="5"/>
        <v>7032743.4618580053</v>
      </c>
      <c r="X20" s="58">
        <f t="shared" si="5"/>
        <v>7172920.0408585928</v>
      </c>
      <c r="Y20" s="58">
        <f t="shared" si="5"/>
        <v>7315900.1514391918</v>
      </c>
      <c r="Z20" s="58">
        <f t="shared" si="5"/>
        <v>7461739.8642314039</v>
      </c>
    </row>
    <row r="22" spans="2:26">
      <c r="B22" s="15" t="s">
        <v>585</v>
      </c>
      <c r="F22" s="16">
        <f>+F11*Assumptions!$P$95*F15</f>
        <v>0</v>
      </c>
      <c r="G22" s="16">
        <f>+G11*Assumptions!$P$95*G15</f>
        <v>0</v>
      </c>
      <c r="H22" s="16">
        <f>+H11*Assumptions!$P$95*H15</f>
        <v>0</v>
      </c>
      <c r="I22" s="16">
        <f>+I11*Assumptions!$P$95*I15</f>
        <v>1354825.5996684153</v>
      </c>
      <c r="J22" s="16">
        <f>+J11*Assumptions!$P$95*J15</f>
        <v>2763844.2233235673</v>
      </c>
      <c r="K22" s="16">
        <f>+K11*Assumptions!$P$95*K15</f>
        <v>2819121.1077900385</v>
      </c>
      <c r="L22" s="16">
        <f>+L11*Assumptions!$P$95*L15</f>
        <v>2875503.5299458397</v>
      </c>
      <c r="M22" s="16">
        <f>+M11*Assumptions!$P$95*M15</f>
        <v>2933013.6005447563</v>
      </c>
      <c r="N22" s="16">
        <f>+N11*Assumptions!$P$95*N15</f>
        <v>2991673.8725556517</v>
      </c>
      <c r="O22" s="16">
        <f>+O11*Assumptions!$P$95*O15</f>
        <v>3051507.3500067648</v>
      </c>
      <c r="P22" s="16">
        <f>+P11*Assumptions!$P$95*P15</f>
        <v>3112537.4970069001</v>
      </c>
      <c r="Q22" s="16">
        <f>+Q11*Assumptions!$P$95*Q15</f>
        <v>3174788.246947038</v>
      </c>
      <c r="R22" s="16">
        <f>+R11*Assumptions!$P$95*R15</f>
        <v>3238284.0118859787</v>
      </c>
      <c r="S22" s="16">
        <f>+S11*Assumptions!$P$95*S15</f>
        <v>3303049.6921236981</v>
      </c>
      <c r="T22" s="16">
        <f>+T11*Assumptions!$P$95*T15</f>
        <v>3369110.6859661723</v>
      </c>
      <c r="U22" s="16">
        <f>+U11*Assumptions!$P$95*U15</f>
        <v>3436492.899685496</v>
      </c>
      <c r="V22" s="16">
        <f>+V11*Assumptions!$P$95*V15</f>
        <v>3505222.7576792059</v>
      </c>
      <c r="W22" s="16">
        <f>+W11*Assumptions!$P$95*W15</f>
        <v>3575327.2128327903</v>
      </c>
      <c r="X22" s="16">
        <f>+X11*Assumptions!$P$95*X15</f>
        <v>3646833.7570894463</v>
      </c>
      <c r="Y22" s="16">
        <f>+Y11*Assumptions!$P$95*Y15</f>
        <v>3719770.4322312349</v>
      </c>
      <c r="Z22" s="16">
        <f>+Z11*Assumptions!$P$95*Z15</f>
        <v>3794165.8408758603</v>
      </c>
    </row>
    <row r="23" spans="2:26">
      <c r="B23" s="15" t="s">
        <v>595</v>
      </c>
      <c r="I23" s="612">
        <v>0</v>
      </c>
      <c r="J23" s="612">
        <v>0</v>
      </c>
      <c r="K23" s="612">
        <v>0</v>
      </c>
      <c r="L23" s="612">
        <v>0</v>
      </c>
      <c r="M23" s="612">
        <v>0</v>
      </c>
      <c r="N23" s="612">
        <v>0</v>
      </c>
      <c r="O23" s="612">
        <v>0</v>
      </c>
      <c r="P23" s="612">
        <v>0</v>
      </c>
      <c r="Q23" s="612">
        <v>0</v>
      </c>
      <c r="R23" s="612">
        <v>0</v>
      </c>
      <c r="S23" s="612">
        <v>0</v>
      </c>
      <c r="T23" s="612">
        <v>0</v>
      </c>
      <c r="U23" s="612">
        <v>0</v>
      </c>
      <c r="V23" s="612">
        <v>0</v>
      </c>
      <c r="W23" s="612">
        <v>0</v>
      </c>
      <c r="X23" s="612">
        <v>0</v>
      </c>
      <c r="Y23" s="612">
        <v>0</v>
      </c>
      <c r="Z23" s="612">
        <v>0</v>
      </c>
    </row>
    <row r="24" spans="2:26">
      <c r="B24" s="62" t="s">
        <v>586</v>
      </c>
      <c r="C24" s="62"/>
      <c r="D24" s="62"/>
      <c r="E24" s="62"/>
      <c r="F24" s="58">
        <f t="shared" ref="F24:Z24" si="6">+SUM(F22:F23)</f>
        <v>0</v>
      </c>
      <c r="G24" s="58">
        <f t="shared" si="6"/>
        <v>0</v>
      </c>
      <c r="H24" s="58">
        <f t="shared" si="6"/>
        <v>0</v>
      </c>
      <c r="I24" s="58">
        <f t="shared" si="6"/>
        <v>1354825.5996684153</v>
      </c>
      <c r="J24" s="58">
        <f t="shared" si="6"/>
        <v>2763844.2233235673</v>
      </c>
      <c r="K24" s="58">
        <f t="shared" si="6"/>
        <v>2819121.1077900385</v>
      </c>
      <c r="L24" s="58">
        <f t="shared" si="6"/>
        <v>2875503.5299458397</v>
      </c>
      <c r="M24" s="58">
        <f t="shared" si="6"/>
        <v>2933013.6005447563</v>
      </c>
      <c r="N24" s="58">
        <f t="shared" si="6"/>
        <v>2991673.8725556517</v>
      </c>
      <c r="O24" s="58">
        <f t="shared" si="6"/>
        <v>3051507.3500067648</v>
      </c>
      <c r="P24" s="58">
        <f t="shared" si="6"/>
        <v>3112537.4970069001</v>
      </c>
      <c r="Q24" s="58">
        <f t="shared" si="6"/>
        <v>3174788.246947038</v>
      </c>
      <c r="R24" s="58">
        <f t="shared" si="6"/>
        <v>3238284.0118859787</v>
      </c>
      <c r="S24" s="58">
        <f t="shared" si="6"/>
        <v>3303049.6921236981</v>
      </c>
      <c r="T24" s="58">
        <f t="shared" si="6"/>
        <v>3369110.6859661723</v>
      </c>
      <c r="U24" s="58">
        <f t="shared" si="6"/>
        <v>3436492.899685496</v>
      </c>
      <c r="V24" s="58">
        <f t="shared" si="6"/>
        <v>3505222.7576792059</v>
      </c>
      <c r="W24" s="58">
        <f t="shared" si="6"/>
        <v>3575327.2128327903</v>
      </c>
      <c r="X24" s="58">
        <f t="shared" si="6"/>
        <v>3646833.7570894463</v>
      </c>
      <c r="Y24" s="58">
        <f t="shared" si="6"/>
        <v>3719770.4322312349</v>
      </c>
      <c r="Z24" s="58">
        <f t="shared" si="6"/>
        <v>3794165.8408758603</v>
      </c>
    </row>
    <row r="25" spans="2:26">
      <c r="B25" s="15"/>
    </row>
    <row r="26" spans="2:26">
      <c r="B26" s="653" t="s">
        <v>587</v>
      </c>
      <c r="C26" s="653"/>
      <c r="D26" s="653"/>
      <c r="E26" s="653"/>
      <c r="F26" s="544">
        <f t="shared" ref="F26:Z26" si="7">+F20-F24</f>
        <v>0</v>
      </c>
      <c r="G26" s="544">
        <f t="shared" si="7"/>
        <v>0</v>
      </c>
      <c r="H26" s="544">
        <f t="shared" si="7"/>
        <v>0</v>
      </c>
      <c r="I26" s="544">
        <f t="shared" si="7"/>
        <v>1313039.8626652132</v>
      </c>
      <c r="J26" s="544">
        <f t="shared" si="7"/>
        <v>2678123.0296004624</v>
      </c>
      <c r="K26" s="544">
        <f t="shared" si="7"/>
        <v>2731207.1999558988</v>
      </c>
      <c r="L26" s="544">
        <f t="shared" si="7"/>
        <v>2785353.0537184435</v>
      </c>
      <c r="M26" s="544">
        <f t="shared" si="7"/>
        <v>2840581.8245562408</v>
      </c>
      <c r="N26" s="544">
        <f t="shared" si="7"/>
        <v>2896915.1708107926</v>
      </c>
      <c r="O26" s="544">
        <f t="shared" si="7"/>
        <v>2954375.1839904357</v>
      </c>
      <c r="P26" s="544">
        <f t="shared" si="7"/>
        <v>3012984.3974336726</v>
      </c>
      <c r="Q26" s="544">
        <f t="shared" si="7"/>
        <v>3072765.7951457733</v>
      </c>
      <c r="R26" s="544">
        <f t="shared" si="7"/>
        <v>3133742.820812115</v>
      </c>
      <c r="S26" s="544">
        <f t="shared" si="7"/>
        <v>3195939.3869917849</v>
      </c>
      <c r="T26" s="544">
        <f t="shared" si="7"/>
        <v>3259379.8844950488</v>
      </c>
      <c r="U26" s="544">
        <f t="shared" si="7"/>
        <v>3324089.1919483771</v>
      </c>
      <c r="V26" s="544">
        <f t="shared" si="7"/>
        <v>3390092.6855507712</v>
      </c>
      <c r="W26" s="544">
        <f t="shared" si="7"/>
        <v>3457416.2490252149</v>
      </c>
      <c r="X26" s="544">
        <f t="shared" si="7"/>
        <v>3526086.2837691465</v>
      </c>
      <c r="Y26" s="544">
        <f t="shared" si="7"/>
        <v>3596129.7192079569</v>
      </c>
      <c r="Z26" s="544">
        <f t="shared" si="7"/>
        <v>3667574.0233555436</v>
      </c>
    </row>
    <row r="27" spans="2:26">
      <c r="B27" s="654" t="s">
        <v>588</v>
      </c>
      <c r="C27" s="655"/>
      <c r="D27" s="655"/>
      <c r="E27" s="655"/>
      <c r="F27" s="656" t="str">
        <f t="shared" ref="F27:H27" si="8">+IFERROR(F26/F20,"")</f>
        <v/>
      </c>
      <c r="G27" s="656" t="str">
        <f t="shared" si="8"/>
        <v/>
      </c>
      <c r="H27" s="656" t="str">
        <f t="shared" si="8"/>
        <v/>
      </c>
      <c r="I27" s="657">
        <f t="shared" ref="I27:Z27" si="9">+IFERROR(I26/I20,"")</f>
        <v>0.49216869486239923</v>
      </c>
      <c r="J27" s="657">
        <f t="shared" si="9"/>
        <v>0.49212406196701697</v>
      </c>
      <c r="K27" s="657">
        <f t="shared" si="9"/>
        <v>0.49208029660953129</v>
      </c>
      <c r="L27" s="657">
        <f t="shared" si="9"/>
        <v>0.49203738207327613</v>
      </c>
      <c r="M27" s="657">
        <f t="shared" si="9"/>
        <v>0.49199530195806035</v>
      </c>
      <c r="N27" s="657">
        <f t="shared" si="9"/>
        <v>0.49195404017439409</v>
      </c>
      <c r="O27" s="657">
        <f t="shared" si="9"/>
        <v>0.49191358093781407</v>
      </c>
      <c r="P27" s="657">
        <f t="shared" si="9"/>
        <v>0.49187390876330223</v>
      </c>
      <c r="Q27" s="657">
        <f t="shared" si="9"/>
        <v>0.49183500845979966</v>
      </c>
      <c r="R27" s="657">
        <f t="shared" si="9"/>
        <v>0.49179686512481319</v>
      </c>
      <c r="S27" s="657">
        <f t="shared" si="9"/>
        <v>0.49175946413911414</v>
      </c>
      <c r="T27" s="657">
        <f t="shared" si="9"/>
        <v>0.49172279116152623</v>
      </c>
      <c r="U27" s="657">
        <f t="shared" si="9"/>
        <v>0.4916868321238036</v>
      </c>
      <c r="V27" s="657">
        <f t="shared" si="9"/>
        <v>0.49165157322559677</v>
      </c>
      <c r="W27" s="657">
        <f t="shared" si="9"/>
        <v>0.49161700092950467</v>
      </c>
      <c r="X27" s="657">
        <f t="shared" si="9"/>
        <v>0.49158310195621208</v>
      </c>
      <c r="Y27" s="657">
        <f t="shared" si="9"/>
        <v>0.49154986327971173</v>
      </c>
      <c r="Z27" s="657">
        <f t="shared" si="9"/>
        <v>0.4915172721226086</v>
      </c>
    </row>
    <row r="28" spans="2:26">
      <c r="B28" s="654" t="s">
        <v>589</v>
      </c>
      <c r="C28" s="655"/>
      <c r="D28" s="655"/>
      <c r="E28" s="655"/>
      <c r="F28" s="658">
        <f>+F26/Assumptions!$P$128</f>
        <v>0</v>
      </c>
      <c r="G28" s="658">
        <f>+G26/Assumptions!$P$128</f>
        <v>0</v>
      </c>
      <c r="H28" s="658">
        <f>+H26/Assumptions!$P$128</f>
        <v>0</v>
      </c>
      <c r="I28" s="658">
        <f>+I26/Assumptions!$P$128</f>
        <v>22835475.87243849</v>
      </c>
      <c r="J28" s="658">
        <f>+J26/Assumptions!$P$128</f>
        <v>46576052.688703693</v>
      </c>
      <c r="K28" s="658">
        <f>+K26/Assumptions!$P$128</f>
        <v>47499255.651406936</v>
      </c>
      <c r="L28" s="658">
        <f>+L26/Assumptions!$P$128</f>
        <v>48440922.67336423</v>
      </c>
      <c r="M28" s="658">
        <f>+M26/Assumptions!$P$128</f>
        <v>49401423.035760708</v>
      </c>
      <c r="N28" s="658">
        <f>+N26/Assumptions!$P$128</f>
        <v>50381133.405405089</v>
      </c>
      <c r="O28" s="658">
        <f>+O26/Assumptions!$P$128</f>
        <v>51380437.982442357</v>
      </c>
      <c r="P28" s="658">
        <f>+P26/Assumptions!$P$128</f>
        <v>52399728.651020393</v>
      </c>
      <c r="Q28" s="658">
        <f>+Q26/Assumptions!$P$128</f>
        <v>53439405.132969968</v>
      </c>
      <c r="R28" s="658">
        <f>+R26/Assumptions!$P$128</f>
        <v>54499875.144558519</v>
      </c>
      <c r="S28" s="658">
        <f>+S26/Assumptions!$P$128</f>
        <v>55581554.556378864</v>
      </c>
      <c r="T28" s="658">
        <f>+T26/Assumptions!$P$128</f>
        <v>56684867.55643563</v>
      </c>
      <c r="U28" s="658">
        <f>+U26/Assumptions!$P$128</f>
        <v>57810246.816493511</v>
      </c>
      <c r="V28" s="658">
        <f>+V26/Assumptions!$P$128</f>
        <v>58958133.661752537</v>
      </c>
      <c r="W28" s="658">
        <f>+W26/Assumptions!$P$128</f>
        <v>60128978.24391678</v>
      </c>
      <c r="X28" s="658">
        <f>+X26/Assumptions!$P$128</f>
        <v>61323239.717724286</v>
      </c>
      <c r="Y28" s="658">
        <f>+Y26/Assumptions!$P$128</f>
        <v>62541386.421007946</v>
      </c>
      <c r="Z28" s="658">
        <f>+Z26/Assumptions!$P$128</f>
        <v>63783896.058357276</v>
      </c>
    </row>
    <row r="30" spans="2:26">
      <c r="B30" s="73" t="s">
        <v>590</v>
      </c>
      <c r="C30" s="74"/>
      <c r="D30" s="74"/>
      <c r="E30" s="74"/>
      <c r="F30" s="75">
        <f>+Assumptions!$H$22</f>
        <v>45657</v>
      </c>
      <c r="G30" s="75">
        <f>+EOMONTH(F30,12)</f>
        <v>46022</v>
      </c>
      <c r="H30" s="75">
        <f t="shared" ref="H30:Z30" si="10">+EOMONTH(G30,12)</f>
        <v>46387</v>
      </c>
      <c r="I30" s="75">
        <f t="shared" si="10"/>
        <v>46752</v>
      </c>
      <c r="J30" s="75">
        <f t="shared" si="10"/>
        <v>47118</v>
      </c>
      <c r="K30" s="75">
        <f t="shared" si="10"/>
        <v>47483</v>
      </c>
      <c r="L30" s="75">
        <f t="shared" si="10"/>
        <v>47848</v>
      </c>
      <c r="M30" s="75">
        <f t="shared" si="10"/>
        <v>48213</v>
      </c>
      <c r="N30" s="75">
        <f t="shared" si="10"/>
        <v>48579</v>
      </c>
      <c r="O30" s="75">
        <f t="shared" si="10"/>
        <v>48944</v>
      </c>
      <c r="P30" s="75">
        <f t="shared" si="10"/>
        <v>49309</v>
      </c>
      <c r="Q30" s="75">
        <f t="shared" si="10"/>
        <v>49674</v>
      </c>
      <c r="R30" s="75">
        <f t="shared" si="10"/>
        <v>50040</v>
      </c>
      <c r="S30" s="75">
        <f t="shared" si="10"/>
        <v>50405</v>
      </c>
      <c r="T30" s="75">
        <f t="shared" si="10"/>
        <v>50770</v>
      </c>
      <c r="U30" s="75">
        <f t="shared" si="10"/>
        <v>51135</v>
      </c>
      <c r="V30" s="75">
        <f t="shared" si="10"/>
        <v>51501</v>
      </c>
      <c r="W30" s="75">
        <f t="shared" si="10"/>
        <v>51866</v>
      </c>
      <c r="X30" s="75">
        <f t="shared" si="10"/>
        <v>52231</v>
      </c>
      <c r="Y30" s="75">
        <f t="shared" si="10"/>
        <v>52596</v>
      </c>
      <c r="Z30" s="75">
        <f t="shared" si="10"/>
        <v>52962</v>
      </c>
    </row>
    <row r="31" spans="2:26">
      <c r="B31" s="15" t="s">
        <v>575</v>
      </c>
      <c r="C31" s="15"/>
      <c r="D31" s="20"/>
      <c r="E31" s="20"/>
      <c r="F31" s="22">
        <f>+IF(AND(F30&gt;=Assumptions!$H$26,F30&lt;Assumptions!$H$28),Assumptions!$H$83/ROUNDUP((Assumptions!$H$27/12),0),0)</f>
        <v>0</v>
      </c>
      <c r="G31" s="22">
        <f>+IF(AND(G30&gt;=Assumptions!$H$26,G30&lt;Assumptions!$H$28),Assumptions!$H$83/ROUNDUP((Assumptions!$H$27/12),0),0)</f>
        <v>0</v>
      </c>
      <c r="H31" s="22">
        <f>+IF(AND(H30&gt;=Assumptions!$H$26,H30&lt;Assumptions!$H$28),Assumptions!$H$83/ROUNDUP((Assumptions!$H$27/12),0),0)</f>
        <v>0</v>
      </c>
      <c r="I31" s="22">
        <f>+IF(AND(I30&gt;=Assumptions!$H$26,I30&lt;Assumptions!$H$28),Assumptions!$H$83/ROUNDUP((Assumptions!$H$27/12),0),0)</f>
        <v>214060.22475279859</v>
      </c>
      <c r="J31" s="22">
        <f>+IF(AND(J30&gt;=Assumptions!$H$26,J30&lt;Assumptions!$H$28),Assumptions!$H$83/ROUNDUP((Assumptions!$H$27/12),0),0)</f>
        <v>214060.22475279859</v>
      </c>
      <c r="K31" s="22">
        <f>+IF(AND(K30&gt;=Assumptions!$H$26,K30&lt;Assumptions!$H$28),Assumptions!$H$83/ROUNDUP((Assumptions!$H$27/12),0),0)</f>
        <v>0</v>
      </c>
      <c r="L31" s="22">
        <f>+IF(AND(L30&gt;=Assumptions!$H$26,L30&lt;Assumptions!$H$28),Assumptions!$H$83/ROUNDUP((Assumptions!$H$27/12),0),0)</f>
        <v>0</v>
      </c>
      <c r="M31" s="22">
        <f>+IF(AND(M30&gt;=Assumptions!$H$26,M30&lt;Assumptions!$H$28),Assumptions!$H$83/ROUNDUP((Assumptions!$H$27/12),0),0)</f>
        <v>0</v>
      </c>
      <c r="N31" s="22">
        <f>+IF(AND(N30&gt;=Assumptions!$H$26,N30&lt;Assumptions!$H$28),Assumptions!$H$83/ROUNDUP((Assumptions!$H$27/12),0),0)</f>
        <v>0</v>
      </c>
      <c r="O31" s="22">
        <f>+IF(AND(O30&gt;=Assumptions!$H$26,O30&lt;Assumptions!$H$28),Assumptions!$H$83/ROUNDUP((Assumptions!$H$27/12),0),0)</f>
        <v>0</v>
      </c>
      <c r="P31" s="22">
        <f>+IF(AND(P30&gt;=Assumptions!$H$26,P30&lt;Assumptions!$H$28),Assumptions!$H$83/ROUNDUP((Assumptions!$H$27/12),0),0)</f>
        <v>0</v>
      </c>
      <c r="Q31" s="22">
        <f>+IF(AND(Q30&gt;=Assumptions!$H$26,Q30&lt;Assumptions!$H$28),Assumptions!$H$83/ROUNDUP((Assumptions!$H$27/12),0),0)</f>
        <v>0</v>
      </c>
      <c r="R31" s="22">
        <f>+IF(AND(R30&gt;=Assumptions!$H$26,R30&lt;Assumptions!$H$28),Assumptions!$H$83/ROUNDUP((Assumptions!$H$27/12),0),0)</f>
        <v>0</v>
      </c>
      <c r="S31" s="22">
        <f>+IF(AND(S30&gt;=Assumptions!$H$26,S30&lt;Assumptions!$H$28),Assumptions!$H$83/ROUNDUP((Assumptions!$H$27/12),0),0)</f>
        <v>0</v>
      </c>
      <c r="T31" s="22">
        <f>+IF(AND(T30&gt;=Assumptions!$H$26,T30&lt;Assumptions!$H$28),Assumptions!$H$83/ROUNDUP((Assumptions!$H$27/12),0),0)</f>
        <v>0</v>
      </c>
      <c r="U31" s="22">
        <f>+IF(AND(U30&gt;=Assumptions!$H$26,U30&lt;Assumptions!$H$28),Assumptions!$H$83/ROUNDUP((Assumptions!$H$27/12),0),0)</f>
        <v>0</v>
      </c>
      <c r="V31" s="22">
        <f>+IF(AND(V30&gt;=Assumptions!$H$26,V30&lt;Assumptions!$H$28),Assumptions!$H$83/ROUNDUP((Assumptions!$H$27/12),0),0)</f>
        <v>0</v>
      </c>
      <c r="W31" s="22">
        <f>+IF(AND(W30&gt;=Assumptions!$H$26,W30&lt;Assumptions!$H$28),Assumptions!$H$83/ROUNDUP((Assumptions!$H$27/12),0),0)</f>
        <v>0</v>
      </c>
      <c r="X31" s="22">
        <f>+IF(AND(X30&gt;=Assumptions!$H$26,X30&lt;Assumptions!$H$28),Assumptions!$H$83/ROUNDUP((Assumptions!$H$27/12),0),0)</f>
        <v>0</v>
      </c>
      <c r="Y31" s="22">
        <f>+IF(AND(Y30&gt;=Assumptions!$H$26,Y30&lt;Assumptions!$H$28),Assumptions!$H$83/ROUNDUP((Assumptions!$H$27/12),0),0)</f>
        <v>0</v>
      </c>
      <c r="Z31" s="22">
        <f>+IF(AND(Z30&gt;=Assumptions!$H$26,Z30&lt;Assumptions!$H$28),Assumptions!$H$83/ROUNDUP((Assumptions!$H$27/12),0),0)</f>
        <v>0</v>
      </c>
    </row>
    <row r="32" spans="2:26">
      <c r="B32" s="15" t="s">
        <v>576</v>
      </c>
      <c r="C32" s="15"/>
      <c r="D32" s="22">
        <v>0</v>
      </c>
      <c r="E32" s="22"/>
      <c r="F32" s="22">
        <f>+D32+F31</f>
        <v>0</v>
      </c>
      <c r="G32" s="22">
        <f t="shared" ref="G32:Z32" si="11">+F32+G31</f>
        <v>0</v>
      </c>
      <c r="H32" s="22">
        <f t="shared" si="11"/>
        <v>0</v>
      </c>
      <c r="I32" s="22">
        <f t="shared" si="11"/>
        <v>214060.22475279859</v>
      </c>
      <c r="J32" s="22">
        <f t="shared" si="11"/>
        <v>428120.44950559718</v>
      </c>
      <c r="K32" s="22">
        <f t="shared" si="11"/>
        <v>428120.44950559718</v>
      </c>
      <c r="L32" s="22">
        <f t="shared" si="11"/>
        <v>428120.44950559718</v>
      </c>
      <c r="M32" s="22">
        <f t="shared" si="11"/>
        <v>428120.44950559718</v>
      </c>
      <c r="N32" s="22">
        <f t="shared" si="11"/>
        <v>428120.44950559718</v>
      </c>
      <c r="O32" s="22">
        <f t="shared" si="11"/>
        <v>428120.44950559718</v>
      </c>
      <c r="P32" s="22">
        <f t="shared" si="11"/>
        <v>428120.44950559718</v>
      </c>
      <c r="Q32" s="22">
        <f t="shared" si="11"/>
        <v>428120.44950559718</v>
      </c>
      <c r="R32" s="22">
        <f t="shared" si="11"/>
        <v>428120.44950559718</v>
      </c>
      <c r="S32" s="22">
        <f t="shared" si="11"/>
        <v>428120.44950559718</v>
      </c>
      <c r="T32" s="22">
        <f t="shared" si="11"/>
        <v>428120.44950559718</v>
      </c>
      <c r="U32" s="22">
        <f t="shared" si="11"/>
        <v>428120.44950559718</v>
      </c>
      <c r="V32" s="22">
        <f t="shared" si="11"/>
        <v>428120.44950559718</v>
      </c>
      <c r="W32" s="22">
        <f t="shared" si="11"/>
        <v>428120.44950559718</v>
      </c>
      <c r="X32" s="22">
        <f t="shared" si="11"/>
        <v>428120.44950559718</v>
      </c>
      <c r="Y32" s="22">
        <f t="shared" si="11"/>
        <v>428120.44950559718</v>
      </c>
      <c r="Z32" s="22">
        <f t="shared" si="11"/>
        <v>428120.44950559718</v>
      </c>
    </row>
    <row r="33" spans="1:26">
      <c r="B33" s="15" t="s">
        <v>577</v>
      </c>
      <c r="C33" s="15"/>
      <c r="D33" s="22"/>
      <c r="E33" s="22"/>
      <c r="F33" s="22">
        <f>+F34-E34</f>
        <v>0</v>
      </c>
      <c r="G33" s="22">
        <f t="shared" ref="G33:Z33" si="12">+G34-F34</f>
        <v>0</v>
      </c>
      <c r="H33" s="22">
        <f t="shared" si="12"/>
        <v>0</v>
      </c>
      <c r="I33" s="22">
        <f t="shared" si="12"/>
        <v>305.03143301423779</v>
      </c>
      <c r="J33" s="22">
        <f t="shared" si="12"/>
        <v>305.03143301423779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</row>
    <row r="34" spans="1:26">
      <c r="B34" s="15" t="s">
        <v>578</v>
      </c>
      <c r="C34" s="15"/>
      <c r="D34" s="22"/>
      <c r="E34" s="22"/>
      <c r="F34" s="22">
        <f>+F35*Assumptions!$H$84</f>
        <v>0</v>
      </c>
      <c r="G34" s="22">
        <f>+G35*Assumptions!$H$84</f>
        <v>0</v>
      </c>
      <c r="H34" s="22">
        <f>+H35*Assumptions!$H$84</f>
        <v>0</v>
      </c>
      <c r="I34" s="22">
        <f>+I35*Assumptions!$H$84</f>
        <v>305.03143301423779</v>
      </c>
      <c r="J34" s="22">
        <f>+J35*Assumptions!$H$84</f>
        <v>610.06286602847558</v>
      </c>
      <c r="K34" s="22">
        <f>+K35*Assumptions!$H$84</f>
        <v>610.06286602847558</v>
      </c>
      <c r="L34" s="22">
        <f>+L35*Assumptions!$H$84</f>
        <v>610.06286602847558</v>
      </c>
      <c r="M34" s="22">
        <f>+M35*Assumptions!$H$84</f>
        <v>610.06286602847558</v>
      </c>
      <c r="N34" s="22">
        <f>+N35*Assumptions!$H$84</f>
        <v>610.06286602847558</v>
      </c>
      <c r="O34" s="22">
        <f>+O35*Assumptions!$H$84</f>
        <v>610.06286602847558</v>
      </c>
      <c r="P34" s="22">
        <f>+P35*Assumptions!$H$84</f>
        <v>610.06286602847558</v>
      </c>
      <c r="Q34" s="22">
        <f>+Q35*Assumptions!$H$84</f>
        <v>610.06286602847558</v>
      </c>
      <c r="R34" s="22">
        <f>+R35*Assumptions!$H$84</f>
        <v>610.06286602847558</v>
      </c>
      <c r="S34" s="22">
        <f>+S35*Assumptions!$H$84</f>
        <v>610.06286602847558</v>
      </c>
      <c r="T34" s="22">
        <f>+T35*Assumptions!$H$84</f>
        <v>610.06286602847558</v>
      </c>
      <c r="U34" s="22">
        <f>+U35*Assumptions!$H$84</f>
        <v>610.06286602847558</v>
      </c>
      <c r="V34" s="22">
        <f>+V35*Assumptions!$H$84</f>
        <v>610.06286602847558</v>
      </c>
      <c r="W34" s="22">
        <f>+W35*Assumptions!$H$84</f>
        <v>610.06286602847558</v>
      </c>
      <c r="X34" s="22">
        <f>+X35*Assumptions!$H$84</f>
        <v>610.06286602847558</v>
      </c>
      <c r="Y34" s="22">
        <f>+Y35*Assumptions!$H$84</f>
        <v>610.06286602847558</v>
      </c>
      <c r="Z34" s="22">
        <f>+Z35*Assumptions!$H$84</f>
        <v>610.06286602847558</v>
      </c>
    </row>
    <row r="35" spans="1:26">
      <c r="B35" s="15" t="s">
        <v>579</v>
      </c>
      <c r="C35" s="15"/>
      <c r="D35" s="22"/>
      <c r="E35" s="22"/>
      <c r="F35" s="49">
        <f>+F32/SUM($F31:$Z31)</f>
        <v>0</v>
      </c>
      <c r="G35" s="49">
        <f t="shared" ref="G35:Z35" si="13">+G32/SUM($F31:$Z31)</f>
        <v>0</v>
      </c>
      <c r="H35" s="49">
        <f t="shared" si="13"/>
        <v>0</v>
      </c>
      <c r="I35" s="49">
        <f t="shared" si="13"/>
        <v>0.5</v>
      </c>
      <c r="J35" s="49">
        <f t="shared" si="13"/>
        <v>1</v>
      </c>
      <c r="K35" s="49">
        <f t="shared" si="13"/>
        <v>1</v>
      </c>
      <c r="L35" s="49">
        <f t="shared" si="13"/>
        <v>1</v>
      </c>
      <c r="M35" s="49">
        <f t="shared" si="13"/>
        <v>1</v>
      </c>
      <c r="N35" s="49">
        <f t="shared" si="13"/>
        <v>1</v>
      </c>
      <c r="O35" s="49">
        <f t="shared" si="13"/>
        <v>1</v>
      </c>
      <c r="P35" s="49">
        <f t="shared" si="13"/>
        <v>1</v>
      </c>
      <c r="Q35" s="49">
        <f t="shared" si="13"/>
        <v>1</v>
      </c>
      <c r="R35" s="49">
        <f t="shared" si="13"/>
        <v>1</v>
      </c>
      <c r="S35" s="49">
        <f t="shared" si="13"/>
        <v>1</v>
      </c>
      <c r="T35" s="49">
        <f t="shared" si="13"/>
        <v>1</v>
      </c>
      <c r="U35" s="49">
        <f t="shared" si="13"/>
        <v>1</v>
      </c>
      <c r="V35" s="49">
        <f t="shared" si="13"/>
        <v>1</v>
      </c>
      <c r="W35" s="49">
        <f t="shared" si="13"/>
        <v>1</v>
      </c>
      <c r="X35" s="49">
        <f t="shared" si="13"/>
        <v>1</v>
      </c>
      <c r="Y35" s="49">
        <f t="shared" si="13"/>
        <v>1</v>
      </c>
      <c r="Z35" s="49">
        <f t="shared" si="13"/>
        <v>1</v>
      </c>
    </row>
    <row r="36" spans="1:26">
      <c r="B36" s="15"/>
      <c r="C36" s="15"/>
      <c r="D36" s="20"/>
      <c r="E36" s="2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>
      <c r="B37" s="15" t="s">
        <v>580</v>
      </c>
      <c r="C37" s="15"/>
      <c r="D37" s="22"/>
      <c r="E37" s="22"/>
      <c r="F37" s="49">
        <v>1</v>
      </c>
      <c r="G37" s="49">
        <f>+F37*(1+Assumptions!$P$64)</f>
        <v>1.03</v>
      </c>
      <c r="H37" s="49">
        <f>+G37*(1+Assumptions!$P$64)</f>
        <v>1.0609</v>
      </c>
      <c r="I37" s="49">
        <f>+H37*(1+Assumptions!$P$64)</f>
        <v>1.092727</v>
      </c>
      <c r="J37" s="49">
        <f>+I37*(1+Assumptions!$P$64)</f>
        <v>1.1255088100000001</v>
      </c>
      <c r="K37" s="49">
        <f>+J37*(1+Assumptions!$P$64)</f>
        <v>1.1592740743000001</v>
      </c>
      <c r="L37" s="49">
        <f>+K37*(1+Assumptions!$P$64)</f>
        <v>1.1940522965290001</v>
      </c>
      <c r="M37" s="49">
        <f>+L37*(1+Assumptions!$P$64)</f>
        <v>1.2298738654248702</v>
      </c>
      <c r="N37" s="49">
        <f>+M37*(1+Assumptions!$P$64)</f>
        <v>1.2667700813876164</v>
      </c>
      <c r="O37" s="49">
        <f>+N37*(1+Assumptions!$P$64)</f>
        <v>1.3047731838292449</v>
      </c>
      <c r="P37" s="49">
        <f>+O37*(1+Assumptions!$P$64)</f>
        <v>1.3439163793441222</v>
      </c>
      <c r="Q37" s="49">
        <f>+P37*(1+Assumptions!$P$64)</f>
        <v>1.3842338707244459</v>
      </c>
      <c r="R37" s="49">
        <f>+Q37*(1+Assumptions!$P$64)</f>
        <v>1.4257608868461793</v>
      </c>
      <c r="S37" s="49">
        <f>+R37*(1+Assumptions!$P$64)</f>
        <v>1.4685337134515648</v>
      </c>
      <c r="T37" s="49">
        <f>+S37*(1+Assumptions!$P$64)</f>
        <v>1.5125897248551119</v>
      </c>
      <c r="U37" s="49">
        <f>+T37*(1+Assumptions!$P$64)</f>
        <v>1.5579674166007653</v>
      </c>
      <c r="V37" s="49">
        <f>+U37*(1+Assumptions!$P$64)</f>
        <v>1.6047064390987884</v>
      </c>
      <c r="W37" s="49">
        <f>+V37*(1+Assumptions!$P$64)</f>
        <v>1.652847632271752</v>
      </c>
      <c r="X37" s="49">
        <f>+W37*(1+Assumptions!$P$64)</f>
        <v>1.7024330612399046</v>
      </c>
      <c r="Y37" s="49">
        <f>+X37*(1+Assumptions!$P$64)</f>
        <v>1.7535060530771018</v>
      </c>
      <c r="Z37" s="49">
        <f>+Y37*(1+Assumptions!$P$64)</f>
        <v>1.806111234669415</v>
      </c>
    </row>
    <row r="38" spans="1:26">
      <c r="B38" s="15" t="s">
        <v>581</v>
      </c>
      <c r="C38" s="15"/>
      <c r="D38" s="22"/>
      <c r="E38" s="22"/>
      <c r="F38" s="49">
        <v>1</v>
      </c>
      <c r="G38" s="49">
        <f>+F38*(1+Assumptions!$P$77)</f>
        <v>1.02</v>
      </c>
      <c r="H38" s="49">
        <f>+G38*(1+Assumptions!$P$77)</f>
        <v>1.0404</v>
      </c>
      <c r="I38" s="49">
        <f>+H38*(1+Assumptions!$P$77)</f>
        <v>1.0612079999999999</v>
      </c>
      <c r="J38" s="49">
        <f>+I38*(1+Assumptions!$P$77)</f>
        <v>1.08243216</v>
      </c>
      <c r="K38" s="49">
        <f>+J38*(1+Assumptions!$P$77)</f>
        <v>1.1040808032</v>
      </c>
      <c r="L38" s="49">
        <f>+K38*(1+Assumptions!$P$77)</f>
        <v>1.1261624192640001</v>
      </c>
      <c r="M38" s="49">
        <f>+L38*(1+Assumptions!$P$77)</f>
        <v>1.14868566764928</v>
      </c>
      <c r="N38" s="49">
        <f>+M38*(1+Assumptions!$P$77)</f>
        <v>1.1716593810022657</v>
      </c>
      <c r="O38" s="49">
        <f>+N38*(1+Assumptions!$P$77)</f>
        <v>1.1950925686223111</v>
      </c>
      <c r="P38" s="49">
        <f>+O38*(1+Assumptions!$P$77)</f>
        <v>1.2189944199947573</v>
      </c>
      <c r="Q38" s="49">
        <f>+P38*(1+Assumptions!$P$77)</f>
        <v>1.2433743083946525</v>
      </c>
      <c r="R38" s="49">
        <f>+Q38*(1+Assumptions!$P$77)</f>
        <v>1.2682417945625455</v>
      </c>
      <c r="S38" s="49">
        <f>+R38*(1+Assumptions!$P$77)</f>
        <v>1.2936066304537963</v>
      </c>
      <c r="T38" s="49">
        <f>+S38*(1+Assumptions!$P$77)</f>
        <v>1.3194787630628724</v>
      </c>
      <c r="U38" s="49">
        <f>+T38*(1+Assumptions!$P$77)</f>
        <v>1.3458683383241299</v>
      </c>
      <c r="V38" s="49">
        <f>+U38*(1+Assumptions!$P$77)</f>
        <v>1.3727857050906125</v>
      </c>
      <c r="W38" s="49">
        <f>+V38*(1+Assumptions!$P$77)</f>
        <v>1.4002414191924248</v>
      </c>
      <c r="X38" s="49">
        <f>+W38*(1+Assumptions!$P$77)</f>
        <v>1.4282462475762734</v>
      </c>
      <c r="Y38" s="49">
        <f>+X38*(1+Assumptions!$P$77)</f>
        <v>1.4568111725277988</v>
      </c>
      <c r="Z38" s="49">
        <f>+Y38*(1+Assumptions!$P$77)</f>
        <v>1.4859473959783549</v>
      </c>
    </row>
    <row r="39" spans="1:26">
      <c r="B39" s="15"/>
      <c r="C39" s="15"/>
      <c r="D39" s="20"/>
      <c r="E39" s="2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>
      <c r="B40" s="15" t="s">
        <v>582</v>
      </c>
      <c r="C40" s="15"/>
      <c r="D40" s="20"/>
      <c r="E40" s="20"/>
      <c r="F40" s="16">
        <f>+F35*Assumptions!$H$82*F37</f>
        <v>0</v>
      </c>
      <c r="G40" s="16">
        <f>+G35*Assumptions!$H$82*G37</f>
        <v>0</v>
      </c>
      <c r="H40" s="16">
        <f>+H35*Assumptions!$H$82*H37</f>
        <v>0</v>
      </c>
      <c r="I40" s="16">
        <f>+I35*Assumptions!$H$82*I37</f>
        <v>8836809.425880162</v>
      </c>
      <c r="J40" s="16">
        <f>+J35*Assumptions!$H$82*J37</f>
        <v>18203827.417313136</v>
      </c>
      <c r="K40" s="16">
        <f>+K35*Assumptions!$H$82*K37</f>
        <v>18749942.239832528</v>
      </c>
      <c r="L40" s="16">
        <f>+L35*Assumptions!$H$82*L37</f>
        <v>19312440.507027503</v>
      </c>
      <c r="M40" s="16">
        <f>+M35*Assumptions!$H$82*M37</f>
        <v>19891813.722238332</v>
      </c>
      <c r="N40" s="16">
        <f>+N35*Assumptions!$H$82*N37</f>
        <v>20488568.133905482</v>
      </c>
      <c r="O40" s="16">
        <f>+O35*Assumptions!$H$82*O37</f>
        <v>21103225.177922647</v>
      </c>
      <c r="P40" s="16">
        <f>+P35*Assumptions!$H$82*P37</f>
        <v>21736321.933260325</v>
      </c>
      <c r="Q40" s="16">
        <f>+Q35*Assumptions!$H$82*Q37</f>
        <v>22388411.591258135</v>
      </c>
      <c r="R40" s="16">
        <f>+R35*Assumptions!$H$82*R37</f>
        <v>23060063.938995879</v>
      </c>
      <c r="S40" s="16">
        <f>+S35*Assumptions!$H$82*S37</f>
        <v>23751865.857165758</v>
      </c>
      <c r="T40" s="16">
        <f>+T35*Assumptions!$H$82*T37</f>
        <v>24464421.832880735</v>
      </c>
      <c r="U40" s="16">
        <f>+U35*Assumptions!$H$82*U37</f>
        <v>25198354.487867158</v>
      </c>
      <c r="V40" s="16">
        <f>+V35*Assumptions!$H$82*V37</f>
        <v>25954305.122503173</v>
      </c>
      <c r="W40" s="16">
        <f>+W35*Assumptions!$H$82*W37</f>
        <v>26732934.276178267</v>
      </c>
      <c r="X40" s="16">
        <f>+X35*Assumptions!$H$82*X37</f>
        <v>27534922.304463618</v>
      </c>
      <c r="Y40" s="16">
        <f>+Y35*Assumptions!$H$82*Y37</f>
        <v>28360969.973597527</v>
      </c>
      <c r="Z40" s="16">
        <f>+Z35*Assumptions!$H$82*Z37</f>
        <v>29211799.072805453</v>
      </c>
    </row>
    <row r="41" spans="1:26">
      <c r="B41" s="15" t="s">
        <v>583</v>
      </c>
      <c r="C41" s="15"/>
      <c r="D41" s="20"/>
      <c r="E41" s="20"/>
      <c r="F41" s="22">
        <f>-F40*Assumptions!$P$55</f>
        <v>0</v>
      </c>
      <c r="G41" s="22">
        <f>-G40*Assumptions!$P$55</f>
        <v>0</v>
      </c>
      <c r="H41" s="22">
        <f>-H40*Assumptions!$P$55</f>
        <v>0</v>
      </c>
      <c r="I41" s="22">
        <f>-I40*Assumptions!$P$55</f>
        <v>-441840.47129400814</v>
      </c>
      <c r="J41" s="22">
        <f>-J40*Assumptions!$P$55</f>
        <v>-910191.37086565688</v>
      </c>
      <c r="K41" s="22">
        <f>-K40*Assumptions!$P$55</f>
        <v>-937497.11199162644</v>
      </c>
      <c r="L41" s="22">
        <f>-L40*Assumptions!$P$55</f>
        <v>-965622.02535137523</v>
      </c>
      <c r="M41" s="22">
        <f>-M40*Assumptions!$P$55</f>
        <v>-994590.68611191667</v>
      </c>
      <c r="N41" s="22">
        <f>-N40*Assumptions!$P$55</f>
        <v>-1024428.4066952742</v>
      </c>
      <c r="O41" s="22">
        <f>-O40*Assumptions!$P$55</f>
        <v>-1055161.2588961325</v>
      </c>
      <c r="P41" s="22">
        <f>-P40*Assumptions!$P$55</f>
        <v>-1086816.0966630164</v>
      </c>
      <c r="Q41" s="22">
        <f>-Q40*Assumptions!$P$55</f>
        <v>-1119420.5795629069</v>
      </c>
      <c r="R41" s="22">
        <f>-R40*Assumptions!$P$55</f>
        <v>-1153003.196949794</v>
      </c>
      <c r="S41" s="22">
        <f>-S40*Assumptions!$P$55</f>
        <v>-1187593.2928582879</v>
      </c>
      <c r="T41" s="22">
        <f>-T40*Assumptions!$P$55</f>
        <v>-1223221.0916440368</v>
      </c>
      <c r="U41" s="22">
        <f>-U40*Assumptions!$P$55</f>
        <v>-1259917.724393358</v>
      </c>
      <c r="V41" s="22">
        <f>-V40*Assumptions!$P$55</f>
        <v>-1297715.2561251586</v>
      </c>
      <c r="W41" s="22">
        <f>-W40*Assumptions!$P$55</f>
        <v>-1336646.7138089135</v>
      </c>
      <c r="X41" s="22">
        <f>-X40*Assumptions!$P$55</f>
        <v>-1376746.115223181</v>
      </c>
      <c r="Y41" s="22">
        <f>-Y40*Assumptions!$P$55</f>
        <v>-1418048.4986798763</v>
      </c>
      <c r="Z41" s="22">
        <f>-Z40*Assumptions!$P$55</f>
        <v>-1460589.9536402728</v>
      </c>
    </row>
    <row r="42" spans="1:26">
      <c r="B42" s="15" t="s">
        <v>591</v>
      </c>
      <c r="C42" s="15"/>
      <c r="D42" s="20"/>
      <c r="E42" s="20"/>
      <c r="F42" s="76">
        <f>+F34*Assumptions!$H$90*(1-Assumptions!$P$55)*12</f>
        <v>0</v>
      </c>
      <c r="G42" s="76">
        <f>+G34*Assumptions!$H$90*(1-Assumptions!$P$55)*12</f>
        <v>0</v>
      </c>
      <c r="H42" s="76">
        <f>+H34*Assumptions!$H$90*(1-Assumptions!$P$55)*12</f>
        <v>0</v>
      </c>
      <c r="I42" s="76">
        <f>+I34*Assumptions!$H$90*(1-Assumptions!$P$55)*12</f>
        <v>191254.70849992707</v>
      </c>
      <c r="J42" s="76">
        <f>+J34*Assumptions!$H$90*(1-Assumptions!$P$55)*12</f>
        <v>382509.41699985415</v>
      </c>
      <c r="K42" s="76">
        <f>+K34*Assumptions!$H$90*(1-Assumptions!$P$55)*12</f>
        <v>382509.41699985415</v>
      </c>
      <c r="L42" s="76">
        <f>+L34*Assumptions!$H$90*(1-Assumptions!$P$55)*12</f>
        <v>382509.41699985415</v>
      </c>
      <c r="M42" s="76">
        <f>+M34*Assumptions!$H$90*(1-Assumptions!$P$55)*12</f>
        <v>382509.41699985415</v>
      </c>
      <c r="N42" s="76">
        <f>+N34*Assumptions!$H$90*(1-Assumptions!$P$55)*12</f>
        <v>382509.41699985415</v>
      </c>
      <c r="O42" s="76">
        <f>+O34*Assumptions!$H$90*(1-Assumptions!$P$55)*12</f>
        <v>382509.41699985415</v>
      </c>
      <c r="P42" s="76">
        <f>+P34*Assumptions!$H$90*(1-Assumptions!$P$55)*12</f>
        <v>382509.41699985415</v>
      </c>
      <c r="Q42" s="76">
        <f>+Q34*Assumptions!$H$90*(1-Assumptions!$P$55)*12</f>
        <v>382509.41699985415</v>
      </c>
      <c r="R42" s="76">
        <f>+R34*Assumptions!$H$90*(1-Assumptions!$P$55)*12</f>
        <v>382509.41699985415</v>
      </c>
      <c r="S42" s="76">
        <f>+S34*Assumptions!$H$90*(1-Assumptions!$P$55)*12</f>
        <v>382509.41699985415</v>
      </c>
      <c r="T42" s="76">
        <f>+T34*Assumptions!$H$90*(1-Assumptions!$P$55)*12</f>
        <v>382509.41699985415</v>
      </c>
      <c r="U42" s="76">
        <f>+U34*Assumptions!$H$90*(1-Assumptions!$P$55)*12</f>
        <v>382509.41699985415</v>
      </c>
      <c r="V42" s="76">
        <f>+V34*Assumptions!$H$90*(1-Assumptions!$P$55)*12</f>
        <v>382509.41699985415</v>
      </c>
      <c r="W42" s="76">
        <f>+W34*Assumptions!$H$90*(1-Assumptions!$P$55)*12</f>
        <v>382509.41699985415</v>
      </c>
      <c r="X42" s="76">
        <f>+X34*Assumptions!$H$90*(1-Assumptions!$P$55)*12</f>
        <v>382509.41699985415</v>
      </c>
      <c r="Y42" s="76">
        <f>+Y34*Assumptions!$H$90*(1-Assumptions!$P$55)*12</f>
        <v>382509.41699985415</v>
      </c>
      <c r="Z42" s="76">
        <f>+Z34*Assumptions!$H$90*(1-Assumptions!$P$55)*12</f>
        <v>382509.41699985415</v>
      </c>
    </row>
    <row r="43" spans="1:26">
      <c r="B43" s="62" t="s">
        <v>584</v>
      </c>
      <c r="C43" s="62"/>
      <c r="D43" s="62"/>
      <c r="E43" s="62"/>
      <c r="F43" s="58">
        <f t="shared" ref="F43:Z43" si="14">+SUM(F40:F42)</f>
        <v>0</v>
      </c>
      <c r="G43" s="58">
        <f t="shared" si="14"/>
        <v>0</v>
      </c>
      <c r="H43" s="58">
        <f t="shared" si="14"/>
        <v>0</v>
      </c>
      <c r="I43" s="58">
        <f t="shared" si="14"/>
        <v>8586223.6630860809</v>
      </c>
      <c r="J43" s="58">
        <f t="shared" si="14"/>
        <v>17676145.463447332</v>
      </c>
      <c r="K43" s="58">
        <f t="shared" si="14"/>
        <v>18194954.544840757</v>
      </c>
      <c r="L43" s="58">
        <f t="shared" si="14"/>
        <v>18729327.898675982</v>
      </c>
      <c r="M43" s="58">
        <f t="shared" si="14"/>
        <v>19279732.45312627</v>
      </c>
      <c r="N43" s="58">
        <f t="shared" si="14"/>
        <v>19846649.144210063</v>
      </c>
      <c r="O43" s="58">
        <f t="shared" si="14"/>
        <v>20430573.336026371</v>
      </c>
      <c r="P43" s="58">
        <f t="shared" si="14"/>
        <v>21032015.253597163</v>
      </c>
      <c r="Q43" s="58">
        <f t="shared" si="14"/>
        <v>21651500.428695083</v>
      </c>
      <c r="R43" s="58">
        <f t="shared" si="14"/>
        <v>22289570.159045938</v>
      </c>
      <c r="S43" s="58">
        <f t="shared" si="14"/>
        <v>22946781.981307324</v>
      </c>
      <c r="T43" s="58">
        <f t="shared" si="14"/>
        <v>23623710.158236552</v>
      </c>
      <c r="U43" s="58">
        <f t="shared" si="14"/>
        <v>24320946.180473655</v>
      </c>
      <c r="V43" s="58">
        <f t="shared" si="14"/>
        <v>25039099.283377867</v>
      </c>
      <c r="W43" s="58">
        <f t="shared" si="14"/>
        <v>25778796.979369208</v>
      </c>
      <c r="X43" s="58">
        <f t="shared" si="14"/>
        <v>26540685.606240291</v>
      </c>
      <c r="Y43" s="58">
        <f t="shared" si="14"/>
        <v>27325430.891917504</v>
      </c>
      <c r="Z43" s="58">
        <f t="shared" si="14"/>
        <v>28133718.536165036</v>
      </c>
    </row>
    <row r="45" spans="1:26">
      <c r="B45" s="15" t="s">
        <v>585</v>
      </c>
      <c r="F45" s="16">
        <f>+F34*Assumptions!$P$96*F38</f>
        <v>0</v>
      </c>
      <c r="G45" s="16">
        <f>+G34*Assumptions!$P$96*G38</f>
        <v>0</v>
      </c>
      <c r="H45" s="16">
        <f>+H34*Assumptions!$P$96*H38</f>
        <v>0</v>
      </c>
      <c r="I45" s="16">
        <f>+I34*Assumptions!$P$96*I38</f>
        <v>2102311.4117158582</v>
      </c>
      <c r="J45" s="16">
        <f>+J34*Assumptions!$P$96*J38</f>
        <v>4288715.2799003506</v>
      </c>
      <c r="K45" s="16">
        <f>+K34*Assumptions!$P$96*K38</f>
        <v>4374489.5854983572</v>
      </c>
      <c r="L45" s="16">
        <f>+L34*Assumptions!$P$96*L38</f>
        <v>4461979.3772083251</v>
      </c>
      <c r="M45" s="16">
        <f>+M34*Assumptions!$P$96*M38</f>
        <v>4551218.9647524916</v>
      </c>
      <c r="N45" s="16">
        <f>+N34*Assumptions!$P$96*N38</f>
        <v>4642243.3440475417</v>
      </c>
      <c r="O45" s="16">
        <f>+O34*Assumptions!$P$96*O38</f>
        <v>4735088.2109284922</v>
      </c>
      <c r="P45" s="16">
        <f>+P34*Assumptions!$P$96*P38</f>
        <v>4829789.975147062</v>
      </c>
      <c r="Q45" s="16">
        <f>+Q34*Assumptions!$P$96*Q38</f>
        <v>4926385.7746500038</v>
      </c>
      <c r="R45" s="16">
        <f>+R34*Assumptions!$P$96*R38</f>
        <v>5024913.4901430039</v>
      </c>
      <c r="S45" s="16">
        <f>+S34*Assumptions!$P$96*S38</f>
        <v>5125411.7599458629</v>
      </c>
      <c r="T45" s="16">
        <f>+T34*Assumptions!$P$96*T38</f>
        <v>5227919.9951447807</v>
      </c>
      <c r="U45" s="16">
        <f>+U34*Assumptions!$P$96*U38</f>
        <v>5332478.3950476767</v>
      </c>
      <c r="V45" s="16">
        <f>+V34*Assumptions!$P$96*V38</f>
        <v>5439127.9629486306</v>
      </c>
      <c r="W45" s="16">
        <f>+W34*Assumptions!$P$96*W38</f>
        <v>5547910.5222076038</v>
      </c>
      <c r="X45" s="16">
        <f>+X34*Assumptions!$P$96*X38</f>
        <v>5658868.7326517561</v>
      </c>
      <c r="Y45" s="16">
        <f>+Y34*Assumptions!$P$96*Y38</f>
        <v>5772046.107304791</v>
      </c>
      <c r="Z45" s="16">
        <f>+Z34*Assumptions!$P$96*Z38</f>
        <v>5887487.0294508869</v>
      </c>
    </row>
    <row r="46" spans="1:26">
      <c r="A46" s="15"/>
      <c r="B46" s="15" t="s">
        <v>595</v>
      </c>
      <c r="C46" s="15"/>
      <c r="D46" s="15"/>
      <c r="E46" s="15"/>
      <c r="F46" s="681"/>
      <c r="G46" s="681">
        <v>0</v>
      </c>
      <c r="H46" s="681">
        <v>0</v>
      </c>
      <c r="I46" s="681">
        <f>(('Parcel x Block Info'!$P$17*0.3)*I35)*0.3</f>
        <v>338641.96643855993</v>
      </c>
      <c r="J46" s="681">
        <f>('Parcel x Block Info'!$P$17*0.3)*0.3</f>
        <v>677283.93287711986</v>
      </c>
      <c r="K46" s="681">
        <f t="shared" ref="K46:Z46" si="15">J46*1.02</f>
        <v>690829.61153466231</v>
      </c>
      <c r="L46" s="681">
        <f t="shared" si="15"/>
        <v>704646.20376535552</v>
      </c>
      <c r="M46" s="681">
        <f t="shared" si="15"/>
        <v>718739.12784066261</v>
      </c>
      <c r="N46" s="681">
        <f t="shared" si="15"/>
        <v>733113.91039747582</v>
      </c>
      <c r="O46" s="681">
        <f t="shared" si="15"/>
        <v>747776.1886054253</v>
      </c>
      <c r="P46" s="681">
        <f t="shared" si="15"/>
        <v>762731.71237753378</v>
      </c>
      <c r="Q46" s="681">
        <f t="shared" si="15"/>
        <v>777986.34662508452</v>
      </c>
      <c r="R46" s="681">
        <f t="shared" si="15"/>
        <v>793546.07355758618</v>
      </c>
      <c r="S46" s="681">
        <f t="shared" si="15"/>
        <v>809416.99502873793</v>
      </c>
      <c r="T46" s="681">
        <f t="shared" si="15"/>
        <v>825605.3349293127</v>
      </c>
      <c r="U46" s="681">
        <f t="shared" si="15"/>
        <v>842117.44162789895</v>
      </c>
      <c r="V46" s="681">
        <f t="shared" si="15"/>
        <v>858959.79046045698</v>
      </c>
      <c r="W46" s="681">
        <f t="shared" si="15"/>
        <v>876138.98626966611</v>
      </c>
      <c r="X46" s="681">
        <f t="shared" si="15"/>
        <v>893661.7659950594</v>
      </c>
      <c r="Y46" s="681">
        <f t="shared" si="15"/>
        <v>911535.00131496065</v>
      </c>
      <c r="Z46" s="681">
        <f t="shared" si="15"/>
        <v>929765.70134125988</v>
      </c>
    </row>
    <row r="47" spans="1:26">
      <c r="B47" s="62" t="s">
        <v>586</v>
      </c>
      <c r="C47" s="62"/>
      <c r="D47" s="62"/>
      <c r="E47" s="62"/>
      <c r="F47" s="58">
        <f>+SUM(F45:F46)</f>
        <v>0</v>
      </c>
      <c r="G47" s="58">
        <f t="shared" ref="G47" si="16">+SUM(G45:G46)</f>
        <v>0</v>
      </c>
      <c r="H47" s="58">
        <f t="shared" ref="H47" si="17">+SUM(H45:H46)</f>
        <v>0</v>
      </c>
      <c r="I47" s="58">
        <f t="shared" ref="I47:Z47" si="18">+SUM(I45:I46)</f>
        <v>2440953.378154418</v>
      </c>
      <c r="J47" s="58">
        <f t="shared" si="18"/>
        <v>4965999.2127774702</v>
      </c>
      <c r="K47" s="58">
        <f t="shared" si="18"/>
        <v>5065319.1970330197</v>
      </c>
      <c r="L47" s="58">
        <f t="shared" si="18"/>
        <v>5166625.5809736811</v>
      </c>
      <c r="M47" s="58">
        <f t="shared" si="18"/>
        <v>5269958.0925931539</v>
      </c>
      <c r="N47" s="58">
        <f t="shared" si="18"/>
        <v>5375357.2544450173</v>
      </c>
      <c r="O47" s="58">
        <f t="shared" si="18"/>
        <v>5482864.3995339172</v>
      </c>
      <c r="P47" s="58">
        <f t="shared" si="18"/>
        <v>5592521.6875245962</v>
      </c>
      <c r="Q47" s="58">
        <f t="shared" si="18"/>
        <v>5704372.1212750878</v>
      </c>
      <c r="R47" s="58">
        <f t="shared" si="18"/>
        <v>5818459.5637005903</v>
      </c>
      <c r="S47" s="58">
        <f t="shared" si="18"/>
        <v>5934828.7549746009</v>
      </c>
      <c r="T47" s="58">
        <f t="shared" si="18"/>
        <v>6053525.3300740933</v>
      </c>
      <c r="U47" s="58">
        <f t="shared" si="18"/>
        <v>6174595.8366755759</v>
      </c>
      <c r="V47" s="58">
        <f t="shared" si="18"/>
        <v>6298087.7534090877</v>
      </c>
      <c r="W47" s="58">
        <f t="shared" si="18"/>
        <v>6424049.5084772697</v>
      </c>
      <c r="X47" s="58">
        <f t="shared" si="18"/>
        <v>6552530.4986468153</v>
      </c>
      <c r="Y47" s="58">
        <f t="shared" si="18"/>
        <v>6683581.1086197514</v>
      </c>
      <c r="Z47" s="58">
        <f t="shared" si="18"/>
        <v>6817252.7307921471</v>
      </c>
    </row>
    <row r="48" spans="1:26">
      <c r="B48" s="15"/>
    </row>
    <row r="49" spans="1:26">
      <c r="A49" s="49"/>
      <c r="B49" s="653" t="s">
        <v>587</v>
      </c>
      <c r="C49" s="653"/>
      <c r="D49" s="653"/>
      <c r="E49" s="653"/>
      <c r="F49" s="544">
        <f>+F43-F47</f>
        <v>0</v>
      </c>
      <c r="G49" s="544">
        <f t="shared" ref="G49:H49" si="19">+G43-G47</f>
        <v>0</v>
      </c>
      <c r="H49" s="544">
        <f t="shared" si="19"/>
        <v>0</v>
      </c>
      <c r="I49" s="544">
        <f t="shared" ref="I49:Z49" si="20">+I43-I47</f>
        <v>6145270.2849316634</v>
      </c>
      <c r="J49" s="544">
        <f t="shared" si="20"/>
        <v>12710146.250669863</v>
      </c>
      <c r="K49" s="544">
        <f t="shared" si="20"/>
        <v>13129635.347807737</v>
      </c>
      <c r="L49" s="544">
        <f t="shared" si="20"/>
        <v>13562702.317702301</v>
      </c>
      <c r="M49" s="544">
        <f t="shared" si="20"/>
        <v>14009774.360533116</v>
      </c>
      <c r="N49" s="544">
        <f t="shared" si="20"/>
        <v>14471291.889765047</v>
      </c>
      <c r="O49" s="544">
        <f t="shared" si="20"/>
        <v>14947708.936492454</v>
      </c>
      <c r="P49" s="544">
        <f t="shared" si="20"/>
        <v>15439493.566072566</v>
      </c>
      <c r="Q49" s="544">
        <f t="shared" si="20"/>
        <v>15947128.307419995</v>
      </c>
      <c r="R49" s="544">
        <f t="shared" si="20"/>
        <v>16471110.595345348</v>
      </c>
      <c r="S49" s="544">
        <f t="shared" si="20"/>
        <v>17011953.226332724</v>
      </c>
      <c r="T49" s="544">
        <f t="shared" si="20"/>
        <v>17570184.828162458</v>
      </c>
      <c r="U49" s="544">
        <f t="shared" si="20"/>
        <v>18146350.343798079</v>
      </c>
      <c r="V49" s="544">
        <f t="shared" si="20"/>
        <v>18741011.52996878</v>
      </c>
      <c r="W49" s="544">
        <f t="shared" si="20"/>
        <v>19354747.470891938</v>
      </c>
      <c r="X49" s="544">
        <f t="shared" si="20"/>
        <v>19988155.107593477</v>
      </c>
      <c r="Y49" s="544">
        <f t="shared" si="20"/>
        <v>20641849.783297755</v>
      </c>
      <c r="Z49" s="544">
        <f t="shared" si="20"/>
        <v>21316465.80537289</v>
      </c>
    </row>
    <row r="50" spans="1:26">
      <c r="B50" s="654" t="s">
        <v>588</v>
      </c>
      <c r="C50" s="655"/>
      <c r="D50" s="655"/>
      <c r="E50" s="655"/>
      <c r="F50" s="656" t="str">
        <f>+IFERROR(F49/F43,"")</f>
        <v/>
      </c>
      <c r="G50" s="656" t="str">
        <f t="shared" ref="G50:H50" si="21">+IFERROR(G49/G43,"")</f>
        <v/>
      </c>
      <c r="H50" s="656" t="str">
        <f t="shared" si="21"/>
        <v/>
      </c>
      <c r="I50" s="657">
        <f t="shared" ref="I50:Z50" si="22">+IFERROR(I49/I43,"")</f>
        <v>0.71571281229854611</v>
      </c>
      <c r="J50" s="657">
        <f t="shared" si="22"/>
        <v>0.71905644117679923</v>
      </c>
      <c r="K50" s="657">
        <f t="shared" si="22"/>
        <v>0.72160858195332456</v>
      </c>
      <c r="L50" s="657">
        <f t="shared" si="22"/>
        <v>0.72414249945728582</v>
      </c>
      <c r="M50" s="657">
        <f t="shared" si="22"/>
        <v>0.72665813151682956</v>
      </c>
      <c r="N50" s="657">
        <f t="shared" si="22"/>
        <v>0.72915542490893537</v>
      </c>
      <c r="O50" s="657">
        <f t="shared" si="22"/>
        <v>0.73163433500587693</v>
      </c>
      <c r="P50" s="657">
        <f t="shared" si="22"/>
        <v>0.73409482543199978</v>
      </c>
      <c r="Q50" s="657">
        <f t="shared" si="22"/>
        <v>0.7365368677306543</v>
      </c>
      <c r="R50" s="657">
        <f t="shared" si="22"/>
        <v>0.73896044104110992</v>
      </c>
      <c r="S50" s="657">
        <f t="shared" si="22"/>
        <v>0.74136553178527731</v>
      </c>
      <c r="T50" s="657">
        <f t="shared" si="22"/>
        <v>0.74375213336405177</v>
      </c>
      <c r="U50" s="657">
        <f t="shared" si="22"/>
        <v>0.74612024586309389</v>
      </c>
      <c r="V50" s="657">
        <f t="shared" si="22"/>
        <v>0.7484698757678534</v>
      </c>
      <c r="W50" s="657">
        <f t="shared" si="22"/>
        <v>0.75080103568764511</v>
      </c>
      <c r="X50" s="657">
        <f t="shared" si="22"/>
        <v>0.75311374408857878</v>
      </c>
      <c r="Y50" s="657">
        <f t="shared" si="22"/>
        <v>0.75540802503514548</v>
      </c>
      <c r="Z50" s="657">
        <f t="shared" si="22"/>
        <v>0.75768390794026119</v>
      </c>
    </row>
    <row r="51" spans="1:26">
      <c r="B51" s="654" t="s">
        <v>589</v>
      </c>
      <c r="C51" s="655"/>
      <c r="D51" s="655"/>
      <c r="E51" s="655"/>
      <c r="F51" s="658">
        <f>+F49/Assumptions!$P$129</f>
        <v>0</v>
      </c>
      <c r="G51" s="658">
        <f>+G49/Assumptions!$P$129</f>
        <v>0</v>
      </c>
      <c r="H51" s="658">
        <f>+H49/Assumptions!$P$129</f>
        <v>0</v>
      </c>
      <c r="I51" s="658">
        <f>+I49/Assumptions!$P$129</f>
        <v>111732186.99875751</v>
      </c>
      <c r="J51" s="658">
        <f>+J49/Assumptions!$P$129</f>
        <v>231093568.1939975</v>
      </c>
      <c r="K51" s="658">
        <f>+K49/Assumptions!$P$129</f>
        <v>238720642.68741339</v>
      </c>
      <c r="L51" s="658">
        <f>+L49/Assumptions!$P$129</f>
        <v>246594587.5945873</v>
      </c>
      <c r="M51" s="658">
        <f>+M49/Assumptions!$P$129</f>
        <v>254723170.19151121</v>
      </c>
      <c r="N51" s="658">
        <f>+N49/Assumptions!$P$129</f>
        <v>263114397.99572811</v>
      </c>
      <c r="O51" s="658">
        <f>+O49/Assumptions!$P$129</f>
        <v>271776526.11804461</v>
      </c>
      <c r="P51" s="658">
        <f>+P49/Assumptions!$P$129</f>
        <v>280718064.83768302</v>
      </c>
      <c r="Q51" s="658">
        <f>+Q49/Assumptions!$P$129</f>
        <v>289947787.40763628</v>
      </c>
      <c r="R51" s="658">
        <f>+R49/Assumptions!$P$129</f>
        <v>299474738.09718817</v>
      </c>
      <c r="S51" s="658">
        <f>+S49/Assumptions!$P$129</f>
        <v>309308240.47877681</v>
      </c>
      <c r="T51" s="658">
        <f>+T49/Assumptions!$P$129</f>
        <v>319457905.96659017</v>
      </c>
      <c r="U51" s="658">
        <f>+U49/Assumptions!$P$129</f>
        <v>329933642.61451054</v>
      </c>
      <c r="V51" s="658">
        <f>+V49/Assumptions!$P$129</f>
        <v>340745664.18125051</v>
      </c>
      <c r="W51" s="658">
        <f>+W49/Assumptions!$P$129</f>
        <v>351904499.47076249</v>
      </c>
      <c r="X51" s="658">
        <f>+X49/Assumptions!$P$129</f>
        <v>363421001.95624501</v>
      </c>
      <c r="Y51" s="658">
        <f>+Y49/Assumptions!$P$129</f>
        <v>375306359.6963228</v>
      </c>
      <c r="Z51" s="658">
        <f>+Z49/Assumptions!$P$129</f>
        <v>387572105.55223435</v>
      </c>
    </row>
    <row r="53" spans="1:26">
      <c r="B53" s="73" t="s">
        <v>29</v>
      </c>
      <c r="C53" s="74"/>
      <c r="D53" s="74"/>
      <c r="E53" s="74"/>
      <c r="F53" s="75">
        <f>+Assumptions!$H$22</f>
        <v>45657</v>
      </c>
      <c r="G53" s="75">
        <f>+EOMONTH(F53,12)</f>
        <v>46022</v>
      </c>
      <c r="H53" s="75">
        <f t="shared" ref="H53:Z53" si="23">+EOMONTH(G53,12)</f>
        <v>46387</v>
      </c>
      <c r="I53" s="75">
        <f t="shared" si="23"/>
        <v>46752</v>
      </c>
      <c r="J53" s="75">
        <f t="shared" si="23"/>
        <v>47118</v>
      </c>
      <c r="K53" s="75">
        <f t="shared" si="23"/>
        <v>47483</v>
      </c>
      <c r="L53" s="75">
        <f t="shared" si="23"/>
        <v>47848</v>
      </c>
      <c r="M53" s="75">
        <f t="shared" si="23"/>
        <v>48213</v>
      </c>
      <c r="N53" s="75">
        <f t="shared" si="23"/>
        <v>48579</v>
      </c>
      <c r="O53" s="75">
        <f t="shared" si="23"/>
        <v>48944</v>
      </c>
      <c r="P53" s="75">
        <f t="shared" si="23"/>
        <v>49309</v>
      </c>
      <c r="Q53" s="75">
        <f t="shared" si="23"/>
        <v>49674</v>
      </c>
      <c r="R53" s="75">
        <f t="shared" si="23"/>
        <v>50040</v>
      </c>
      <c r="S53" s="75">
        <f t="shared" si="23"/>
        <v>50405</v>
      </c>
      <c r="T53" s="75">
        <f t="shared" si="23"/>
        <v>50770</v>
      </c>
      <c r="U53" s="75">
        <f t="shared" si="23"/>
        <v>51135</v>
      </c>
      <c r="V53" s="75">
        <f t="shared" si="23"/>
        <v>51501</v>
      </c>
      <c r="W53" s="75">
        <f t="shared" si="23"/>
        <v>51866</v>
      </c>
      <c r="X53" s="75">
        <f t="shared" si="23"/>
        <v>52231</v>
      </c>
      <c r="Y53" s="75">
        <f t="shared" si="23"/>
        <v>52596</v>
      </c>
      <c r="Z53" s="75">
        <f t="shared" si="23"/>
        <v>52962</v>
      </c>
    </row>
    <row r="54" spans="1:26">
      <c r="B54" s="15" t="s">
        <v>575</v>
      </c>
      <c r="C54" s="15"/>
      <c r="D54" s="20"/>
      <c r="E54" s="20"/>
      <c r="F54" s="22">
        <f>+IF(AND(F53&gt;=Assumptions!$H$26,F53&lt;Assumptions!$H$28),Assumptions!$H$137/ROUNDUP((Assumptions!$H$27/12),0),0)</f>
        <v>0</v>
      </c>
      <c r="G54" s="22">
        <f>+IF(AND(G53&gt;=Assumptions!$H$26,G53&lt;Assumptions!$H$28),Assumptions!$H$137/ROUNDUP((Assumptions!$H$27/12),0),0)</f>
        <v>0</v>
      </c>
      <c r="H54" s="22">
        <f>+IF(AND(H53&gt;=Assumptions!$H$26,H53&lt;Assumptions!$H$28),Assumptions!$H$137/ROUNDUP((Assumptions!$H$27/12),0),0)</f>
        <v>0</v>
      </c>
      <c r="I54" s="22">
        <f>+IF(AND(I53&gt;=Assumptions!$H$26,I53&lt;Assumptions!$H$28),Assumptions!$H$137/ROUNDUP((Assumptions!$H$27/12),0),0)</f>
        <v>29737.8</v>
      </c>
      <c r="J54" s="22">
        <f>+IF(AND(J53&gt;=Assumptions!$H$26,J53&lt;Assumptions!$H$28),Assumptions!$H$137/ROUNDUP((Assumptions!$H$27/12),0),0)</f>
        <v>29737.8</v>
      </c>
      <c r="K54" s="22">
        <f>+IF(AND(K53&gt;=Assumptions!$H$26,K53&lt;Assumptions!$H$28),Assumptions!$H$137/ROUNDUP((Assumptions!$H$27/12),0),0)</f>
        <v>0</v>
      </c>
      <c r="L54" s="22">
        <f>+IF(AND(L53&gt;=Assumptions!$H$26,L53&lt;Assumptions!$H$28),Assumptions!$H$137/ROUNDUP((Assumptions!$H$27/12),0),0)</f>
        <v>0</v>
      </c>
      <c r="M54" s="22">
        <f>+IF(AND(M53&gt;=Assumptions!$H$26,M53&lt;Assumptions!$H$28),Assumptions!$H$137/ROUNDUP((Assumptions!$H$27/12),0),0)</f>
        <v>0</v>
      </c>
      <c r="N54" s="22">
        <f>+IF(AND(N53&gt;=Assumptions!$H$26,N53&lt;Assumptions!$H$28),Assumptions!$H$137/ROUNDUP((Assumptions!$H$27/12),0),0)</f>
        <v>0</v>
      </c>
      <c r="O54" s="22">
        <f>+IF(AND(O53&gt;=Assumptions!$H$26,O53&lt;Assumptions!$H$28),Assumptions!$H$137/ROUNDUP((Assumptions!$H$27/12),0),0)</f>
        <v>0</v>
      </c>
      <c r="P54" s="22">
        <f>+IF(AND(P53&gt;=Assumptions!$H$26,P53&lt;Assumptions!$H$28),Assumptions!$H$137/ROUNDUP((Assumptions!$H$27/12),0),0)</f>
        <v>0</v>
      </c>
      <c r="Q54" s="22">
        <f>+IF(AND(Q53&gt;=Assumptions!$H$26,Q53&lt;Assumptions!$H$28),Assumptions!$H$137/ROUNDUP((Assumptions!$H$27/12),0),0)</f>
        <v>0</v>
      </c>
      <c r="R54" s="22">
        <f>+IF(AND(R53&gt;=Assumptions!$H$26,R53&lt;Assumptions!$H$28),Assumptions!$H$137/ROUNDUP((Assumptions!$H$27/12),0),0)</f>
        <v>0</v>
      </c>
      <c r="S54" s="22">
        <f>+IF(AND(S53&gt;=Assumptions!$H$26,S53&lt;Assumptions!$H$28),Assumptions!$H$137/ROUNDUP((Assumptions!$H$27/12),0),0)</f>
        <v>0</v>
      </c>
      <c r="T54" s="22">
        <f>+IF(AND(T53&gt;=Assumptions!$H$26,T53&lt;Assumptions!$H$28),Assumptions!$H$137/ROUNDUP((Assumptions!$H$27/12),0),0)</f>
        <v>0</v>
      </c>
      <c r="U54" s="22">
        <f>+IF(AND(U53&gt;=Assumptions!$H$26,U53&lt;Assumptions!$H$28),Assumptions!$H$137/ROUNDUP((Assumptions!$H$27/12),0),0)</f>
        <v>0</v>
      </c>
      <c r="V54" s="22">
        <f>+IF(AND(V53&gt;=Assumptions!$H$26,V53&lt;Assumptions!$H$28),Assumptions!$H$137/ROUNDUP((Assumptions!$H$27/12),0),0)</f>
        <v>0</v>
      </c>
      <c r="W54" s="22">
        <f>+IF(AND(W53&gt;=Assumptions!$H$26,W53&lt;Assumptions!$H$28),Assumptions!$H$137/ROUNDUP((Assumptions!$H$27/12),0),0)</f>
        <v>0</v>
      </c>
      <c r="X54" s="22">
        <f>+IF(AND(X53&gt;=Assumptions!$H$26,X53&lt;Assumptions!$H$28),Assumptions!$H$137/ROUNDUP((Assumptions!$H$27/12),0),0)</f>
        <v>0</v>
      </c>
      <c r="Y54" s="22">
        <f>+IF(AND(Y53&gt;=Assumptions!$H$26,Y53&lt;Assumptions!$H$28),Assumptions!$H$137/ROUNDUP((Assumptions!$H$27/12),0),0)</f>
        <v>0</v>
      </c>
      <c r="Z54" s="22">
        <f>+IF(AND(Z53&gt;=Assumptions!$H$26,Z53&lt;Assumptions!$H$28),Assumptions!$H$137/ROUNDUP((Assumptions!$H$27/12),0),0)</f>
        <v>0</v>
      </c>
    </row>
    <row r="55" spans="1:26">
      <c r="B55" s="15" t="s">
        <v>576</v>
      </c>
      <c r="C55" s="15"/>
      <c r="D55" s="22">
        <v>0</v>
      </c>
      <c r="E55" s="22"/>
      <c r="F55" s="22">
        <f>+D55+F54</f>
        <v>0</v>
      </c>
      <c r="G55" s="22">
        <f t="shared" ref="G55:Z55" si="24">+F55+G54</f>
        <v>0</v>
      </c>
      <c r="H55" s="22">
        <f t="shared" si="24"/>
        <v>0</v>
      </c>
      <c r="I55" s="22">
        <f t="shared" si="24"/>
        <v>29737.8</v>
      </c>
      <c r="J55" s="22">
        <f t="shared" si="24"/>
        <v>59475.6</v>
      </c>
      <c r="K55" s="22">
        <f t="shared" si="24"/>
        <v>59475.6</v>
      </c>
      <c r="L55" s="22">
        <f t="shared" si="24"/>
        <v>59475.6</v>
      </c>
      <c r="M55" s="22">
        <f t="shared" si="24"/>
        <v>59475.6</v>
      </c>
      <c r="N55" s="22">
        <f t="shared" si="24"/>
        <v>59475.6</v>
      </c>
      <c r="O55" s="22">
        <f t="shared" si="24"/>
        <v>59475.6</v>
      </c>
      <c r="P55" s="22">
        <f t="shared" si="24"/>
        <v>59475.6</v>
      </c>
      <c r="Q55" s="22">
        <f t="shared" si="24"/>
        <v>59475.6</v>
      </c>
      <c r="R55" s="22">
        <f t="shared" si="24"/>
        <v>59475.6</v>
      </c>
      <c r="S55" s="22">
        <f t="shared" si="24"/>
        <v>59475.6</v>
      </c>
      <c r="T55" s="22">
        <f t="shared" si="24"/>
        <v>59475.6</v>
      </c>
      <c r="U55" s="22">
        <f t="shared" si="24"/>
        <v>59475.6</v>
      </c>
      <c r="V55" s="22">
        <f t="shared" si="24"/>
        <v>59475.6</v>
      </c>
      <c r="W55" s="22">
        <f t="shared" si="24"/>
        <v>59475.6</v>
      </c>
      <c r="X55" s="22">
        <f t="shared" si="24"/>
        <v>59475.6</v>
      </c>
      <c r="Y55" s="22">
        <f t="shared" si="24"/>
        <v>59475.6</v>
      </c>
      <c r="Z55" s="22">
        <f t="shared" si="24"/>
        <v>59475.6</v>
      </c>
    </row>
    <row r="56" spans="1:26">
      <c r="B56" s="15" t="s">
        <v>579</v>
      </c>
      <c r="C56" s="15"/>
      <c r="D56" s="22"/>
      <c r="E56" s="22"/>
      <c r="F56" s="49">
        <f t="shared" ref="F56:Z56" si="25">+F55/SUM($F54:$Z54)</f>
        <v>0</v>
      </c>
      <c r="G56" s="49">
        <f t="shared" si="25"/>
        <v>0</v>
      </c>
      <c r="H56" s="49">
        <f t="shared" si="25"/>
        <v>0</v>
      </c>
      <c r="I56" s="49">
        <f t="shared" si="25"/>
        <v>0.5</v>
      </c>
      <c r="J56" s="49">
        <f t="shared" si="25"/>
        <v>1</v>
      </c>
      <c r="K56" s="49">
        <f t="shared" si="25"/>
        <v>1</v>
      </c>
      <c r="L56" s="49">
        <f t="shared" si="25"/>
        <v>1</v>
      </c>
      <c r="M56" s="49">
        <f t="shared" si="25"/>
        <v>1</v>
      </c>
      <c r="N56" s="49">
        <f t="shared" si="25"/>
        <v>1</v>
      </c>
      <c r="O56" s="49">
        <f t="shared" si="25"/>
        <v>1</v>
      </c>
      <c r="P56" s="49">
        <f t="shared" si="25"/>
        <v>1</v>
      </c>
      <c r="Q56" s="49">
        <f t="shared" si="25"/>
        <v>1</v>
      </c>
      <c r="R56" s="49">
        <f t="shared" si="25"/>
        <v>1</v>
      </c>
      <c r="S56" s="49">
        <f t="shared" si="25"/>
        <v>1</v>
      </c>
      <c r="T56" s="49">
        <f t="shared" si="25"/>
        <v>1</v>
      </c>
      <c r="U56" s="49">
        <f t="shared" si="25"/>
        <v>1</v>
      </c>
      <c r="V56" s="49">
        <f t="shared" si="25"/>
        <v>1</v>
      </c>
      <c r="W56" s="49">
        <f t="shared" si="25"/>
        <v>1</v>
      </c>
      <c r="X56" s="49">
        <f t="shared" si="25"/>
        <v>1</v>
      </c>
      <c r="Y56" s="49">
        <f t="shared" si="25"/>
        <v>1</v>
      </c>
      <c r="Z56" s="49">
        <f t="shared" si="25"/>
        <v>1</v>
      </c>
    </row>
    <row r="57" spans="1:26">
      <c r="B57" s="15"/>
      <c r="C57" s="15"/>
      <c r="D57" s="20"/>
      <c r="E57" s="20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>
      <c r="B58" s="15" t="s">
        <v>580</v>
      </c>
      <c r="C58" s="15"/>
      <c r="D58" s="22"/>
      <c r="E58" s="22"/>
      <c r="F58" s="49">
        <v>1</v>
      </c>
      <c r="G58" s="49">
        <f>+IF(MOD(G$2,Assumptions!$P$66)=(Assumptions!$P$66-1),F58*(1+Assumptions!$P$65),'Phase III Pro Forma'!F58)</f>
        <v>1</v>
      </c>
      <c r="H58" s="49">
        <f>+IF(MOD(H$2,Assumptions!$P$66)=(Assumptions!$P$66-1),G58*(1+Assumptions!$P$65),'Phase III Pro Forma'!G58)</f>
        <v>1</v>
      </c>
      <c r="I58" s="49">
        <f>+IF(MOD(I$2,Assumptions!$P$66)=(Assumptions!$P$66-1),H58*(1+Assumptions!$P$65),'Phase III Pro Forma'!H58)</f>
        <v>1</v>
      </c>
      <c r="J58" s="49">
        <f>+IF(MOD(J$2,Assumptions!$P$66)=(Assumptions!$P$66-1),I58*(1+Assumptions!$P$65),'Phase III Pro Forma'!I58)</f>
        <v>1</v>
      </c>
      <c r="K58" s="49">
        <f>+IF(MOD(K$2,Assumptions!$P$66)=(Assumptions!$P$66-1),J58*(1+Assumptions!$P$65),'Phase III Pro Forma'!J58)</f>
        <v>1</v>
      </c>
      <c r="L58" s="49">
        <f>+IF(MOD(L$2,Assumptions!$P$66)=(Assumptions!$P$66-1),K58*(1+Assumptions!$P$65),'Phase III Pro Forma'!K58)</f>
        <v>1.1000000000000001</v>
      </c>
      <c r="M58" s="49">
        <f>+IF(MOD(M$2,Assumptions!$P$66)=(Assumptions!$P$66-1),L58*(1+Assumptions!$P$65),'Phase III Pro Forma'!L58)</f>
        <v>1.1000000000000001</v>
      </c>
      <c r="N58" s="49">
        <f>+IF(MOD(N$2,Assumptions!$P$66)=(Assumptions!$P$66-1),M58*(1+Assumptions!$P$65),'Phase III Pro Forma'!M58)</f>
        <v>1.1000000000000001</v>
      </c>
      <c r="O58" s="49">
        <f>+IF(MOD(O$2,Assumptions!$P$66)=(Assumptions!$P$66-1),N58*(1+Assumptions!$P$65),'Phase III Pro Forma'!N58)</f>
        <v>1.1000000000000001</v>
      </c>
      <c r="P58" s="49">
        <f>+IF(MOD(P$2,Assumptions!$P$66)=(Assumptions!$P$66-1),O58*(1+Assumptions!$P$65),'Phase III Pro Forma'!O58)</f>
        <v>1.1000000000000001</v>
      </c>
      <c r="Q58" s="49">
        <f>+IF(MOD(Q$2,Assumptions!$P$66)=(Assumptions!$P$66-1),P58*(1+Assumptions!$P$65),'Phase III Pro Forma'!P58)</f>
        <v>1.2100000000000002</v>
      </c>
      <c r="R58" s="49">
        <f>+IF(MOD(R$2,Assumptions!$P$66)=(Assumptions!$P$66-1),Q58*(1+Assumptions!$P$65),'Phase III Pro Forma'!Q58)</f>
        <v>1.2100000000000002</v>
      </c>
      <c r="S58" s="49">
        <f>+IF(MOD(S$2,Assumptions!$P$66)=(Assumptions!$P$66-1),R58*(1+Assumptions!$P$65),'Phase III Pro Forma'!R58)</f>
        <v>1.2100000000000002</v>
      </c>
      <c r="T58" s="49">
        <f>+IF(MOD(T$2,Assumptions!$P$66)=(Assumptions!$P$66-1),S58*(1+Assumptions!$P$65),'Phase III Pro Forma'!S58)</f>
        <v>1.2100000000000002</v>
      </c>
      <c r="U58" s="49">
        <f>+IF(MOD(U$2,Assumptions!$P$66)=(Assumptions!$P$66-1),T58*(1+Assumptions!$P$65),'Phase III Pro Forma'!T58)</f>
        <v>1.2100000000000002</v>
      </c>
      <c r="V58" s="49">
        <f>+IF(MOD(V$2,Assumptions!$P$66)=(Assumptions!$P$66-1),U58*(1+Assumptions!$P$65),'Phase III Pro Forma'!U58)</f>
        <v>1.3310000000000004</v>
      </c>
      <c r="W58" s="49">
        <f>+IF(MOD(W$2,Assumptions!$P$66)=(Assumptions!$P$66-1),V58*(1+Assumptions!$P$65),'Phase III Pro Forma'!V58)</f>
        <v>1.3310000000000004</v>
      </c>
      <c r="X58" s="49">
        <f>+IF(MOD(X$2,Assumptions!$P$66)=(Assumptions!$P$66-1),W58*(1+Assumptions!$P$65),'Phase III Pro Forma'!W58)</f>
        <v>1.3310000000000004</v>
      </c>
      <c r="Y58" s="49">
        <f>+IF(MOD(Y$2,Assumptions!$P$66)=(Assumptions!$P$66-1),X58*(1+Assumptions!$P$65),'Phase III Pro Forma'!X58)</f>
        <v>1.3310000000000004</v>
      </c>
      <c r="Z58" s="49">
        <f>+IF(MOD(Z$2,Assumptions!$P$66)=(Assumptions!$P$66-1),Y58*(1+Assumptions!$P$65),'Phase III Pro Forma'!Y58)</f>
        <v>1.3310000000000004</v>
      </c>
    </row>
    <row r="59" spans="1:26">
      <c r="B59" s="15" t="s">
        <v>581</v>
      </c>
      <c r="C59" s="15"/>
      <c r="D59" s="22"/>
      <c r="E59" s="22"/>
      <c r="F59" s="49">
        <v>1</v>
      </c>
      <c r="G59" s="49">
        <f>+F59*(1+Assumptions!$P$78)</f>
        <v>1.02</v>
      </c>
      <c r="H59" s="49">
        <f>+G59*(1+Assumptions!$P$78)</f>
        <v>1.0404</v>
      </c>
      <c r="I59" s="49">
        <f>+H59*(1+Assumptions!$P$78)</f>
        <v>1.0612079999999999</v>
      </c>
      <c r="J59" s="49">
        <f>+I59*(1+Assumptions!$P$78)</f>
        <v>1.08243216</v>
      </c>
      <c r="K59" s="49">
        <f>+J59*(1+Assumptions!$P$78)</f>
        <v>1.1040808032</v>
      </c>
      <c r="L59" s="49">
        <f>+K59*(1+Assumptions!$P$78)</f>
        <v>1.1261624192640001</v>
      </c>
      <c r="M59" s="49">
        <f>+L59*(1+Assumptions!$P$78)</f>
        <v>1.14868566764928</v>
      </c>
      <c r="N59" s="49">
        <f>+M59*(1+Assumptions!$P$78)</f>
        <v>1.1716593810022657</v>
      </c>
      <c r="O59" s="49">
        <f>+N59*(1+Assumptions!$P$78)</f>
        <v>1.1950925686223111</v>
      </c>
      <c r="P59" s="49">
        <f>+O59*(1+Assumptions!$P$78)</f>
        <v>1.2189944199947573</v>
      </c>
      <c r="Q59" s="49">
        <f>+P59*(1+Assumptions!$P$78)</f>
        <v>1.2433743083946525</v>
      </c>
      <c r="R59" s="49">
        <f>+Q59*(1+Assumptions!$P$78)</f>
        <v>1.2682417945625455</v>
      </c>
      <c r="S59" s="49">
        <f>+R59*(1+Assumptions!$P$78)</f>
        <v>1.2936066304537963</v>
      </c>
      <c r="T59" s="49">
        <f>+S59*(1+Assumptions!$P$78)</f>
        <v>1.3194787630628724</v>
      </c>
      <c r="U59" s="49">
        <f>+T59*(1+Assumptions!$P$78)</f>
        <v>1.3458683383241299</v>
      </c>
      <c r="V59" s="49">
        <f>+U59*(1+Assumptions!$P$78)</f>
        <v>1.3727857050906125</v>
      </c>
      <c r="W59" s="49">
        <f>+V59*(1+Assumptions!$P$78)</f>
        <v>1.4002414191924248</v>
      </c>
      <c r="X59" s="49">
        <f>+W59*(1+Assumptions!$P$78)</f>
        <v>1.4282462475762734</v>
      </c>
      <c r="Y59" s="49">
        <f>+X59*(1+Assumptions!$P$78)</f>
        <v>1.4568111725277988</v>
      </c>
      <c r="Z59" s="49">
        <f>+Y59*(1+Assumptions!$P$78)</f>
        <v>1.4859473959783549</v>
      </c>
    </row>
    <row r="60" spans="1:26">
      <c r="B60" s="15"/>
      <c r="C60" s="15"/>
      <c r="D60" s="20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>
      <c r="B61" s="15" t="s">
        <v>582</v>
      </c>
      <c r="C61" s="15"/>
      <c r="D61" s="20"/>
      <c r="E61" s="20"/>
      <c r="F61" s="16">
        <f>+F56*Assumptions!$H$136*F58</f>
        <v>0</v>
      </c>
      <c r="G61" s="16">
        <f>+G56*Assumptions!$H$136*G58</f>
        <v>0</v>
      </c>
      <c r="H61" s="16">
        <f>+H56*Assumptions!$H$136*H58</f>
        <v>0</v>
      </c>
      <c r="I61" s="16">
        <f>+I56*Assumptions!$H$136*I58</f>
        <v>2156673.1228724159</v>
      </c>
      <c r="J61" s="16">
        <f>+J56*Assumptions!$H$136*J58</f>
        <v>4313346.2457448319</v>
      </c>
      <c r="K61" s="16">
        <f>+K56*Assumptions!$H$136*K58</f>
        <v>4313346.2457448319</v>
      </c>
      <c r="L61" s="16">
        <f>+L56*Assumptions!$H$136*L58</f>
        <v>4744680.8703193152</v>
      </c>
      <c r="M61" s="16">
        <f>+M56*Assumptions!$H$136*M58</f>
        <v>4744680.8703193152</v>
      </c>
      <c r="N61" s="16">
        <f>+N56*Assumptions!$H$136*N58</f>
        <v>4744680.8703193152</v>
      </c>
      <c r="O61" s="16">
        <f>+O56*Assumptions!$H$136*O58</f>
        <v>4744680.8703193152</v>
      </c>
      <c r="P61" s="16">
        <f>+P56*Assumptions!$H$136*P58</f>
        <v>4744680.8703193152</v>
      </c>
      <c r="Q61" s="16">
        <f>+Q56*Assumptions!$H$136*Q58</f>
        <v>5219148.9573512478</v>
      </c>
      <c r="R61" s="16">
        <f>+R56*Assumptions!$H$136*R58</f>
        <v>5219148.9573512478</v>
      </c>
      <c r="S61" s="16">
        <f>+S56*Assumptions!$H$136*S58</f>
        <v>5219148.9573512478</v>
      </c>
      <c r="T61" s="16">
        <f>+T56*Assumptions!$H$136*T58</f>
        <v>5219148.9573512478</v>
      </c>
      <c r="U61" s="16">
        <f>+U56*Assumptions!$H$136*U58</f>
        <v>5219148.9573512478</v>
      </c>
      <c r="V61" s="16">
        <f>+V56*Assumptions!$H$136*V58</f>
        <v>5741063.8530863728</v>
      </c>
      <c r="W61" s="16">
        <f>+W56*Assumptions!$H$136*W58</f>
        <v>5741063.8530863728</v>
      </c>
      <c r="X61" s="16">
        <f>+X56*Assumptions!$H$136*X58</f>
        <v>5741063.8530863728</v>
      </c>
      <c r="Y61" s="16">
        <f>+Y56*Assumptions!$H$136*Y58</f>
        <v>5741063.8530863728</v>
      </c>
      <c r="Z61" s="16">
        <f>+Z56*Assumptions!$H$136*Z58</f>
        <v>5741063.8530863728</v>
      </c>
    </row>
    <row r="62" spans="1:26">
      <c r="B62" s="15" t="s">
        <v>583</v>
      </c>
      <c r="C62" s="15"/>
      <c r="D62" s="20"/>
      <c r="E62" s="20"/>
      <c r="F62" s="22">
        <f>-F61*Assumptions!$P$56</f>
        <v>0</v>
      </c>
      <c r="G62" s="22">
        <f>-G61*Assumptions!$P$56</f>
        <v>0</v>
      </c>
      <c r="H62" s="22">
        <f>-H61*Assumptions!$P$56</f>
        <v>0</v>
      </c>
      <c r="I62" s="22">
        <f>-I61*Assumptions!$P$56</f>
        <v>-107833.6561436208</v>
      </c>
      <c r="J62" s="22">
        <f>-J61*Assumptions!$P$56</f>
        <v>-215667.3122872416</v>
      </c>
      <c r="K62" s="22">
        <f>-K61*Assumptions!$P$56</f>
        <v>-215667.3122872416</v>
      </c>
      <c r="L62" s="22">
        <f>-L61*Assumptions!$P$56</f>
        <v>-237234.04351596578</v>
      </c>
      <c r="M62" s="22">
        <f>-M61*Assumptions!$P$56</f>
        <v>-237234.04351596578</v>
      </c>
      <c r="N62" s="22">
        <f>-N61*Assumptions!$P$56</f>
        <v>-237234.04351596578</v>
      </c>
      <c r="O62" s="22">
        <f>-O61*Assumptions!$P$56</f>
        <v>-237234.04351596578</v>
      </c>
      <c r="P62" s="22">
        <f>-P61*Assumptions!$P$56</f>
        <v>-237234.04351596578</v>
      </c>
      <c r="Q62" s="22">
        <f>-Q61*Assumptions!$P$56</f>
        <v>-260957.44786756241</v>
      </c>
      <c r="R62" s="22">
        <f>-R61*Assumptions!$P$56</f>
        <v>-260957.44786756241</v>
      </c>
      <c r="S62" s="22">
        <f>-S61*Assumptions!$P$56</f>
        <v>-260957.44786756241</v>
      </c>
      <c r="T62" s="22">
        <f>-T61*Assumptions!$P$56</f>
        <v>-260957.44786756241</v>
      </c>
      <c r="U62" s="22">
        <f>-U61*Assumptions!$P$56</f>
        <v>-260957.44786756241</v>
      </c>
      <c r="V62" s="22">
        <f>-V61*Assumptions!$P$56</f>
        <v>-287053.19265431864</v>
      </c>
      <c r="W62" s="22">
        <f>-W61*Assumptions!$P$56</f>
        <v>-287053.19265431864</v>
      </c>
      <c r="X62" s="22">
        <f>-X61*Assumptions!$P$56</f>
        <v>-287053.19265431864</v>
      </c>
      <c r="Y62" s="22">
        <f>-Y61*Assumptions!$P$56</f>
        <v>-287053.19265431864</v>
      </c>
      <c r="Z62" s="22">
        <f>-Z61*Assumptions!$P$56</f>
        <v>-287053.19265431864</v>
      </c>
    </row>
    <row r="63" spans="1:26">
      <c r="B63" s="15" t="s">
        <v>593</v>
      </c>
      <c r="C63" s="15"/>
      <c r="D63" s="20"/>
      <c r="E63" s="20"/>
      <c r="F63" s="76">
        <f>+F68*Assumptions!$P$89</f>
        <v>0</v>
      </c>
      <c r="G63" s="76">
        <f>+G68*Assumptions!$P$89</f>
        <v>0</v>
      </c>
      <c r="H63" s="76">
        <f>+H68*Assumptions!$P$89</f>
        <v>0</v>
      </c>
      <c r="I63" s="76">
        <f>+I68*Assumptions!$P$89</f>
        <v>553846.08971731074</v>
      </c>
      <c r="J63" s="76">
        <f>+J68*Assumptions!$P$89</f>
        <v>1116300.3443657714</v>
      </c>
      <c r="K63" s="76">
        <f>+K68*Assumptions!$P$89</f>
        <v>1138626.3512530872</v>
      </c>
      <c r="L63" s="76">
        <f>+L68*Assumptions!$P$89</f>
        <v>1161398.8782781488</v>
      </c>
      <c r="M63" s="76">
        <f>+M68*Assumptions!$P$89</f>
        <v>1184626.8558437119</v>
      </c>
      <c r="N63" s="76">
        <f>+N68*Assumptions!$P$89</f>
        <v>1208319.3929605859</v>
      </c>
      <c r="O63" s="76">
        <f>+O68*Assumptions!$P$89</f>
        <v>1232485.7808197977</v>
      </c>
      <c r="P63" s="76">
        <f>+P68*Assumptions!$P$89</f>
        <v>1257135.4964361938</v>
      </c>
      <c r="Q63" s="76">
        <f>+Q68*Assumptions!$P$89</f>
        <v>1282278.2063649176</v>
      </c>
      <c r="R63" s="76">
        <f>+R68*Assumptions!$P$89</f>
        <v>1307923.7704922159</v>
      </c>
      <c r="S63" s="76">
        <f>+S68*Assumptions!$P$89</f>
        <v>1334082.2459020603</v>
      </c>
      <c r="T63" s="76">
        <f>+T68*Assumptions!$P$89</f>
        <v>1360763.8908201014</v>
      </c>
      <c r="U63" s="76">
        <f>+U68*Assumptions!$P$89</f>
        <v>1387979.1686365034</v>
      </c>
      <c r="V63" s="76">
        <f>+V68*Assumptions!$P$89</f>
        <v>1415738.7520092335</v>
      </c>
      <c r="W63" s="76">
        <f>+W68*Assumptions!$P$89</f>
        <v>1444053.5270494183</v>
      </c>
      <c r="X63" s="76">
        <f>+X68*Assumptions!$P$89</f>
        <v>1472934.5975904067</v>
      </c>
      <c r="Y63" s="76">
        <f>+Y68*Assumptions!$P$89</f>
        <v>1502393.2895422147</v>
      </c>
      <c r="Z63" s="76">
        <f>+Z68*Assumptions!$P$89</f>
        <v>1532441.1553330591</v>
      </c>
    </row>
    <row r="64" spans="1:26">
      <c r="B64" s="62" t="s">
        <v>584</v>
      </c>
      <c r="C64" s="62"/>
      <c r="D64" s="62"/>
      <c r="E64" s="62"/>
      <c r="F64" s="58">
        <f t="shared" ref="F64:Z64" si="26">+SUM(F61:F63)</f>
        <v>0</v>
      </c>
      <c r="G64" s="58">
        <f t="shared" si="26"/>
        <v>0</v>
      </c>
      <c r="H64" s="58">
        <f t="shared" si="26"/>
        <v>0</v>
      </c>
      <c r="I64" s="58">
        <f t="shared" si="26"/>
        <v>2602685.5564461057</v>
      </c>
      <c r="J64" s="58">
        <f t="shared" si="26"/>
        <v>5213979.2778233616</v>
      </c>
      <c r="K64" s="58">
        <f>+SUM(K61:K63)</f>
        <v>5236305.2847106773</v>
      </c>
      <c r="L64" s="58">
        <f t="shared" si="26"/>
        <v>5668845.7050814983</v>
      </c>
      <c r="M64" s="58">
        <f t="shared" si="26"/>
        <v>5692073.6826470615</v>
      </c>
      <c r="N64" s="58">
        <f t="shared" si="26"/>
        <v>5715766.2197639355</v>
      </c>
      <c r="O64" s="58">
        <f t="shared" si="26"/>
        <v>5739932.6076231478</v>
      </c>
      <c r="P64" s="58">
        <f t="shared" si="26"/>
        <v>5764582.3232395435</v>
      </c>
      <c r="Q64" s="58">
        <f t="shared" si="26"/>
        <v>6240469.7158486033</v>
      </c>
      <c r="R64" s="58">
        <f t="shared" si="26"/>
        <v>6266115.2799759014</v>
      </c>
      <c r="S64" s="58">
        <f t="shared" si="26"/>
        <v>6292273.7553857462</v>
      </c>
      <c r="T64" s="58">
        <f t="shared" si="26"/>
        <v>6318955.4003037866</v>
      </c>
      <c r="U64" s="58">
        <f t="shared" si="26"/>
        <v>6346170.6781201893</v>
      </c>
      <c r="V64" s="58">
        <f t="shared" si="26"/>
        <v>6869749.4124412872</v>
      </c>
      <c r="W64" s="58">
        <f t="shared" si="26"/>
        <v>6898064.1874814723</v>
      </c>
      <c r="X64" s="58">
        <f t="shared" si="26"/>
        <v>6926945.2580224602</v>
      </c>
      <c r="Y64" s="58">
        <f t="shared" si="26"/>
        <v>6956403.9499742687</v>
      </c>
      <c r="Z64" s="58">
        <f t="shared" si="26"/>
        <v>6986451.8157651126</v>
      </c>
    </row>
    <row r="66" spans="2:26">
      <c r="B66" s="15" t="s">
        <v>585</v>
      </c>
      <c r="F66" s="16">
        <f>+F55*Assumptions!$P$121*'Phase III Pro Forma'!F59</f>
        <v>0</v>
      </c>
      <c r="G66" s="16">
        <f>+G55*Assumptions!$P$121*'Phase III Pro Forma'!G59</f>
        <v>0</v>
      </c>
      <c r="H66" s="16">
        <f>+H55*Assumptions!$P$121*'Phase III Pro Forma'!H59</f>
        <v>0</v>
      </c>
      <c r="I66" s="16">
        <f>+I55*Assumptions!$P$121*'Phase III Pro Forma'!I59</f>
        <v>239115.69253194527</v>
      </c>
      <c r="J66" s="16">
        <f>+J55*Assumptions!$P$121*'Phase III Pro Forma'!J59</f>
        <v>487796.01276516839</v>
      </c>
      <c r="K66" s="16">
        <f>+K55*Assumptions!$P$121*'Phase III Pro Forma'!K59</f>
        <v>497551.93302047177</v>
      </c>
      <c r="L66" s="16">
        <f>+L55*Assumptions!$P$121*'Phase III Pro Forma'!L59</f>
        <v>507502.97168088122</v>
      </c>
      <c r="M66" s="16">
        <f>+M55*Assumptions!$P$121*'Phase III Pro Forma'!M59</f>
        <v>517653.03111449885</v>
      </c>
      <c r="N66" s="16">
        <f>+N55*Assumptions!$P$121*'Phase III Pro Forma'!N59</f>
        <v>528006.09173678886</v>
      </c>
      <c r="O66" s="16">
        <f>+O55*Assumptions!$P$121*'Phase III Pro Forma'!O59</f>
        <v>538566.21357152471</v>
      </c>
      <c r="P66" s="16">
        <f>+P55*Assumptions!$P$121*'Phase III Pro Forma'!P59</f>
        <v>549337.53784295521</v>
      </c>
      <c r="Q66" s="16">
        <f>+Q55*Assumptions!$P$121*'Phase III Pro Forma'!Q59</f>
        <v>560324.28859981429</v>
      </c>
      <c r="R66" s="16">
        <f>+R55*Assumptions!$P$121*'Phase III Pro Forma'!R59</f>
        <v>571530.77437181049</v>
      </c>
      <c r="S66" s="16">
        <f>+S55*Assumptions!$P$121*'Phase III Pro Forma'!S59</f>
        <v>582961.38985924667</v>
      </c>
      <c r="T66" s="16">
        <f>+T55*Assumptions!$P$121*'Phase III Pro Forma'!T59</f>
        <v>594620.61765643174</v>
      </c>
      <c r="U66" s="16">
        <f>+U55*Assumptions!$P$121*'Phase III Pro Forma'!U59</f>
        <v>606513.0300095604</v>
      </c>
      <c r="V66" s="16">
        <f>+V55*Assumptions!$P$121*'Phase III Pro Forma'!V59</f>
        <v>618643.2906097516</v>
      </c>
      <c r="W66" s="16">
        <f>+W55*Assumptions!$P$121*'Phase III Pro Forma'!W59</f>
        <v>631016.15642194671</v>
      </c>
      <c r="X66" s="16">
        <f>+X55*Assumptions!$P$121*'Phase III Pro Forma'!X59</f>
        <v>643636.47955038561</v>
      </c>
      <c r="Y66" s="16">
        <f>+Y55*Assumptions!$P$121*'Phase III Pro Forma'!Y59</f>
        <v>656509.20914139331</v>
      </c>
      <c r="Z66" s="16">
        <f>+Z55*Assumptions!$P$121*'Phase III Pro Forma'!Z59</f>
        <v>669639.39332422125</v>
      </c>
    </row>
    <row r="67" spans="2:26">
      <c r="B67" s="659" t="s">
        <v>595</v>
      </c>
      <c r="C67" s="659"/>
      <c r="D67" s="659"/>
      <c r="E67" s="659"/>
      <c r="F67" s="698"/>
      <c r="G67" s="698">
        <v>0</v>
      </c>
      <c r="H67" s="698">
        <v>0</v>
      </c>
      <c r="I67" s="698">
        <f>(('Parcel x Block Info'!$P$17*0.1)*I56)</f>
        <v>376268.85159839998</v>
      </c>
      <c r="J67" s="698">
        <f>('Parcel x Block Info'!$P$17*0.1)</f>
        <v>752537.70319679996</v>
      </c>
      <c r="K67" s="698">
        <f t="shared" ref="K67:Z67" si="27">J67*1.02</f>
        <v>767588.45726073603</v>
      </c>
      <c r="L67" s="698">
        <f t="shared" si="27"/>
        <v>782940.22640595073</v>
      </c>
      <c r="M67" s="698">
        <f t="shared" si="27"/>
        <v>798599.03093406977</v>
      </c>
      <c r="N67" s="698">
        <f t="shared" si="27"/>
        <v>814571.01155275118</v>
      </c>
      <c r="O67" s="698">
        <f t="shared" si="27"/>
        <v>830862.43178380618</v>
      </c>
      <c r="P67" s="698">
        <f t="shared" si="27"/>
        <v>847479.68041948229</v>
      </c>
      <c r="Q67" s="698">
        <f t="shared" si="27"/>
        <v>864429.2740278719</v>
      </c>
      <c r="R67" s="698">
        <f t="shared" si="27"/>
        <v>881717.8595084293</v>
      </c>
      <c r="S67" s="698">
        <f t="shared" si="27"/>
        <v>899352.21669859788</v>
      </c>
      <c r="T67" s="698">
        <f t="shared" si="27"/>
        <v>917339.2610325698</v>
      </c>
      <c r="U67" s="698">
        <f t="shared" si="27"/>
        <v>935686.04625322123</v>
      </c>
      <c r="V67" s="698">
        <f t="shared" si="27"/>
        <v>954399.76717828563</v>
      </c>
      <c r="W67" s="698">
        <f t="shared" si="27"/>
        <v>973487.76252185134</v>
      </c>
      <c r="X67" s="698">
        <f t="shared" si="27"/>
        <v>992957.51777228841</v>
      </c>
      <c r="Y67" s="698">
        <f t="shared" si="27"/>
        <v>1012816.6681277342</v>
      </c>
      <c r="Z67" s="698">
        <f t="shared" si="27"/>
        <v>1033073.0014902889</v>
      </c>
    </row>
    <row r="68" spans="2:26">
      <c r="B68" s="62" t="s">
        <v>586</v>
      </c>
      <c r="C68" s="62"/>
      <c r="D68" s="62"/>
      <c r="E68" s="62"/>
      <c r="F68" s="58">
        <f>+SUM(F66:F67)</f>
        <v>0</v>
      </c>
      <c r="G68" s="58">
        <f t="shared" ref="G68" si="28">+SUM(G66:G67)</f>
        <v>0</v>
      </c>
      <c r="H68" s="58">
        <f t="shared" ref="H68" si="29">+SUM(H66:H67)</f>
        <v>0</v>
      </c>
      <c r="I68" s="58">
        <f t="shared" ref="I68:Z68" si="30">+SUM(I66:I67)</f>
        <v>615384.54413034522</v>
      </c>
      <c r="J68" s="58">
        <f t="shared" si="30"/>
        <v>1240333.7159619683</v>
      </c>
      <c r="K68" s="58">
        <f t="shared" si="30"/>
        <v>1265140.3902812079</v>
      </c>
      <c r="L68" s="58">
        <f t="shared" si="30"/>
        <v>1290443.198086832</v>
      </c>
      <c r="M68" s="58">
        <f t="shared" si="30"/>
        <v>1316252.0620485686</v>
      </c>
      <c r="N68" s="58">
        <f t="shared" si="30"/>
        <v>1342577.1032895399</v>
      </c>
      <c r="O68" s="58">
        <f t="shared" si="30"/>
        <v>1369428.6453553308</v>
      </c>
      <c r="P68" s="58">
        <f t="shared" si="30"/>
        <v>1396817.2182624375</v>
      </c>
      <c r="Q68" s="58">
        <f t="shared" si="30"/>
        <v>1424753.5626276862</v>
      </c>
      <c r="R68" s="58">
        <f t="shared" si="30"/>
        <v>1453248.6338802399</v>
      </c>
      <c r="S68" s="58">
        <f t="shared" si="30"/>
        <v>1482313.6065578447</v>
      </c>
      <c r="T68" s="58">
        <f t="shared" si="30"/>
        <v>1511959.8786890015</v>
      </c>
      <c r="U68" s="58">
        <f t="shared" si="30"/>
        <v>1542199.0762627816</v>
      </c>
      <c r="V68" s="58">
        <f t="shared" si="30"/>
        <v>1573043.0577880372</v>
      </c>
      <c r="W68" s="58">
        <f t="shared" si="30"/>
        <v>1604503.9189437982</v>
      </c>
      <c r="X68" s="58">
        <f t="shared" si="30"/>
        <v>1636593.9973226739</v>
      </c>
      <c r="Y68" s="58">
        <f t="shared" si="30"/>
        <v>1669325.8772691274</v>
      </c>
      <c r="Z68" s="58">
        <f t="shared" si="30"/>
        <v>1702712.3948145101</v>
      </c>
    </row>
    <row r="69" spans="2:26">
      <c r="B69" s="15"/>
    </row>
    <row r="70" spans="2:26">
      <c r="B70" s="653" t="s">
        <v>587</v>
      </c>
      <c r="C70" s="653"/>
      <c r="D70" s="653"/>
      <c r="E70" s="653"/>
      <c r="F70" s="544">
        <f>+F64-F68</f>
        <v>0</v>
      </c>
      <c r="G70" s="544">
        <f t="shared" ref="G70:H70" si="31">+G64-G68</f>
        <v>0</v>
      </c>
      <c r="H70" s="544">
        <f t="shared" si="31"/>
        <v>0</v>
      </c>
      <c r="I70" s="544">
        <f t="shared" ref="I70:Z70" si="32">+I64-I68</f>
        <v>1987301.0123157604</v>
      </c>
      <c r="J70" s="544">
        <f t="shared" si="32"/>
        <v>3973645.561861393</v>
      </c>
      <c r="K70" s="544">
        <f t="shared" si="32"/>
        <v>3971164.8944294695</v>
      </c>
      <c r="L70" s="544">
        <f t="shared" si="32"/>
        <v>4378402.5069946665</v>
      </c>
      <c r="M70" s="544">
        <f t="shared" si="32"/>
        <v>4375821.6205984931</v>
      </c>
      <c r="N70" s="544">
        <f t="shared" si="32"/>
        <v>4373189.1164743956</v>
      </c>
      <c r="O70" s="544">
        <f t="shared" si="32"/>
        <v>4370503.962267817</v>
      </c>
      <c r="P70" s="544">
        <f t="shared" si="32"/>
        <v>4367765.1049771057</v>
      </c>
      <c r="Q70" s="544">
        <f t="shared" si="32"/>
        <v>4815716.1532209171</v>
      </c>
      <c r="R70" s="544">
        <f t="shared" si="32"/>
        <v>4812866.6460956614</v>
      </c>
      <c r="S70" s="544">
        <f t="shared" si="32"/>
        <v>4809960.1488279011</v>
      </c>
      <c r="T70" s="544">
        <f t="shared" si="32"/>
        <v>4806995.5216147853</v>
      </c>
      <c r="U70" s="544">
        <f t="shared" si="32"/>
        <v>4803971.6018574079</v>
      </c>
      <c r="V70" s="544">
        <f t="shared" si="32"/>
        <v>5296706.3546532504</v>
      </c>
      <c r="W70" s="544">
        <f t="shared" si="32"/>
        <v>5293560.2685376741</v>
      </c>
      <c r="X70" s="544">
        <f t="shared" si="32"/>
        <v>5290351.2606997862</v>
      </c>
      <c r="Y70" s="544">
        <f t="shared" si="32"/>
        <v>5287078.0727051413</v>
      </c>
      <c r="Z70" s="544">
        <f t="shared" si="32"/>
        <v>5283739.4209506027</v>
      </c>
    </row>
    <row r="71" spans="2:26">
      <c r="B71" s="654" t="s">
        <v>588</v>
      </c>
      <c r="C71" s="655"/>
      <c r="D71" s="655"/>
      <c r="E71" s="655"/>
      <c r="F71" s="656" t="str">
        <f>+IFERROR(F70/F64,"")</f>
        <v/>
      </c>
      <c r="G71" s="656" t="str">
        <f t="shared" ref="G71:H71" si="33">+IFERROR(G70/G64,"")</f>
        <v/>
      </c>
      <c r="H71" s="656" t="str">
        <f t="shared" si="33"/>
        <v/>
      </c>
      <c r="I71" s="657">
        <f t="shared" ref="I71:Z71" si="34">+IFERROR(I70/I64,"")</f>
        <v>0.76355785945550958</v>
      </c>
      <c r="J71" s="657">
        <f t="shared" si="34"/>
        <v>0.76211380025281561</v>
      </c>
      <c r="K71" s="657">
        <f t="shared" si="34"/>
        <v>0.75839063586012612</v>
      </c>
      <c r="L71" s="657">
        <f t="shared" si="34"/>
        <v>0.77236226469701041</v>
      </c>
      <c r="M71" s="657">
        <f t="shared" si="34"/>
        <v>0.76875702328637918</v>
      </c>
      <c r="N71" s="657">
        <f t="shared" si="34"/>
        <v>0.76510986424756378</v>
      </c>
      <c r="O71" s="657">
        <f t="shared" si="34"/>
        <v>0.76142077982995726</v>
      </c>
      <c r="P71" s="657">
        <f t="shared" si="34"/>
        <v>0.75768977873188503</v>
      </c>
      <c r="Q71" s="657">
        <f t="shared" si="34"/>
        <v>0.77169129448552376</v>
      </c>
      <c r="R71" s="657">
        <f t="shared" si="34"/>
        <v>0.76807821609598137</v>
      </c>
      <c r="S71" s="657">
        <f t="shared" si="34"/>
        <v>0.76442321739592334</v>
      </c>
      <c r="T71" s="657">
        <f t="shared" si="34"/>
        <v>0.76072629368197264</v>
      </c>
      <c r="U71" s="657">
        <f t="shared" si="34"/>
        <v>0.75698745676982027</v>
      </c>
      <c r="V71" s="657">
        <f t="shared" si="34"/>
        <v>0.77101885915384094</v>
      </c>
      <c r="W71" s="657">
        <f t="shared" si="34"/>
        <v>0.76739794305543962</v>
      </c>
      <c r="X71" s="657">
        <f t="shared" si="34"/>
        <v>0.76373510452861626</v>
      </c>
      <c r="Y71" s="657">
        <f t="shared" si="34"/>
        <v>0.76003034193043062</v>
      </c>
      <c r="Z71" s="657">
        <f t="shared" si="34"/>
        <v>0.75628367020691467</v>
      </c>
    </row>
    <row r="72" spans="2:26">
      <c r="B72" s="654" t="s">
        <v>589</v>
      </c>
      <c r="C72" s="655"/>
      <c r="D72" s="655"/>
      <c r="E72" s="655"/>
      <c r="F72" s="658">
        <f>+F70/Assumptions!$P$130</f>
        <v>0</v>
      </c>
      <c r="G72" s="658">
        <f>+G70/Assumptions!$P$130</f>
        <v>0</v>
      </c>
      <c r="H72" s="658">
        <f>+H70/Assumptions!$P$130</f>
        <v>0</v>
      </c>
      <c r="I72" s="658">
        <f>+I70/Assumptions!$P$130</f>
        <v>33121683.538596008</v>
      </c>
      <c r="J72" s="658">
        <f>+J70/Assumptions!$P$130</f>
        <v>66227426.031023219</v>
      </c>
      <c r="K72" s="658">
        <f>+K70/Assumptions!$P$130</f>
        <v>66186081.573824495</v>
      </c>
      <c r="L72" s="658">
        <f>+L70/Assumptions!$P$130</f>
        <v>72973375.116577774</v>
      </c>
      <c r="M72" s="658">
        <f>+M70/Assumptions!$P$130</f>
        <v>72930360.343308225</v>
      </c>
      <c r="N72" s="658">
        <f>+N70/Assumptions!$P$130</f>
        <v>72886485.274573267</v>
      </c>
      <c r="O72" s="658">
        <f>+O70/Assumptions!$P$130</f>
        <v>72841732.704463616</v>
      </c>
      <c r="P72" s="658">
        <f>+P70/Assumptions!$P$130</f>
        <v>72796085.082951769</v>
      </c>
      <c r="Q72" s="658">
        <f>+Q70/Assumptions!$P$130</f>
        <v>80261935.887015283</v>
      </c>
      <c r="R72" s="658">
        <f>+R70/Assumptions!$P$130</f>
        <v>80214444.101594359</v>
      </c>
      <c r="S72" s="658">
        <f>+S70/Assumptions!$P$130</f>
        <v>80166002.480465025</v>
      </c>
      <c r="T72" s="658">
        <f>+T70/Assumptions!$P$130</f>
        <v>80116592.026913092</v>
      </c>
      <c r="U72" s="658">
        <f>+U70/Assumptions!$P$130</f>
        <v>80066193.364290133</v>
      </c>
      <c r="V72" s="658">
        <f>+V70/Assumptions!$P$130</f>
        <v>88278439.244220838</v>
      </c>
      <c r="W72" s="658">
        <f>+W70/Assumptions!$P$130</f>
        <v>88226004.475627899</v>
      </c>
      <c r="X72" s="658">
        <f>+X70/Assumptions!$P$130</f>
        <v>88172521.011663109</v>
      </c>
      <c r="Y72" s="658">
        <f>+Y70/Assumptions!$P$130</f>
        <v>88117967.878419027</v>
      </c>
      <c r="Z72" s="658">
        <f>+Z70/Assumptions!$P$130</f>
        <v>88062323.682510048</v>
      </c>
    </row>
    <row r="73" spans="2:26" ht="20.25" customHeight="1"/>
    <row r="74" spans="2:26" hidden="1">
      <c r="B74" s="73" t="s">
        <v>50</v>
      </c>
      <c r="C74" s="74"/>
      <c r="D74" s="74"/>
      <c r="E74" s="74"/>
      <c r="F74" s="75">
        <f>+Assumptions!$H$22</f>
        <v>45657</v>
      </c>
      <c r="G74" s="75">
        <f>+EOMONTH(F74,12)</f>
        <v>46022</v>
      </c>
      <c r="H74" s="75">
        <f t="shared" ref="H74:Z74" si="35">+EOMONTH(G74,12)</f>
        <v>46387</v>
      </c>
      <c r="I74" s="75">
        <f t="shared" si="35"/>
        <v>46752</v>
      </c>
      <c r="J74" s="75">
        <f t="shared" si="35"/>
        <v>47118</v>
      </c>
      <c r="K74" s="75">
        <f t="shared" si="35"/>
        <v>47483</v>
      </c>
      <c r="L74" s="75">
        <f t="shared" si="35"/>
        <v>47848</v>
      </c>
      <c r="M74" s="75">
        <f t="shared" si="35"/>
        <v>48213</v>
      </c>
      <c r="N74" s="75">
        <f t="shared" si="35"/>
        <v>48579</v>
      </c>
      <c r="O74" s="75">
        <f t="shared" si="35"/>
        <v>48944</v>
      </c>
      <c r="P74" s="75">
        <f t="shared" si="35"/>
        <v>49309</v>
      </c>
      <c r="Q74" s="75">
        <f t="shared" si="35"/>
        <v>49674</v>
      </c>
      <c r="R74" s="75">
        <f t="shared" si="35"/>
        <v>50040</v>
      </c>
      <c r="S74" s="75">
        <f t="shared" si="35"/>
        <v>50405</v>
      </c>
      <c r="T74" s="75">
        <f t="shared" si="35"/>
        <v>50770</v>
      </c>
      <c r="U74" s="75">
        <f t="shared" si="35"/>
        <v>51135</v>
      </c>
      <c r="V74" s="75">
        <f t="shared" si="35"/>
        <v>51501</v>
      </c>
      <c r="W74" s="75">
        <f t="shared" si="35"/>
        <v>51866</v>
      </c>
      <c r="X74" s="75">
        <f t="shared" si="35"/>
        <v>52231</v>
      </c>
      <c r="Y74" s="75">
        <f t="shared" si="35"/>
        <v>52596</v>
      </c>
      <c r="Z74" s="75">
        <f t="shared" si="35"/>
        <v>52962</v>
      </c>
    </row>
    <row r="75" spans="2:26" hidden="1">
      <c r="B75" s="15" t="s">
        <v>575</v>
      </c>
      <c r="C75" s="15"/>
      <c r="D75" s="20"/>
      <c r="E75" s="20"/>
      <c r="F75" s="22">
        <f>+IF(AND(F74&gt;=Assumptions!$H$26,F74&lt;Assumptions!$H$28),Assumptions!$H$154/ROUNDUP((Assumptions!$H$27/12),0),0)</f>
        <v>0</v>
      </c>
      <c r="G75" s="22">
        <f>+IF(AND(G74&gt;=Assumptions!$H$26,G74&lt;Assumptions!$H$28),Assumptions!$H$154/ROUNDUP((Assumptions!$H$27/12),0),0)</f>
        <v>0</v>
      </c>
      <c r="H75" s="22">
        <f>+IF(AND(H74&gt;=Assumptions!$H$26,H74&lt;Assumptions!$H$28),Assumptions!$H$154/ROUNDUP((Assumptions!$H$27/12),0),0)</f>
        <v>0</v>
      </c>
      <c r="I75" s="22">
        <f>+IF(AND(I74&gt;=Assumptions!$H$26,I74&lt;Assumptions!$H$28),Assumptions!$H$154/ROUNDUP((Assumptions!$H$27/12),0),0)</f>
        <v>0</v>
      </c>
      <c r="J75" s="22">
        <f>+IF(AND(J74&gt;=Assumptions!$H$26,J74&lt;Assumptions!$H$28),Assumptions!$H$154/ROUNDUP((Assumptions!$H$27/12),0),0)</f>
        <v>0</v>
      </c>
      <c r="K75" s="22">
        <f>+IF(AND(K74&gt;=Assumptions!$H$26,K74&lt;Assumptions!$H$28),Assumptions!$H$154/ROUNDUP((Assumptions!$H$27/12),0),0)</f>
        <v>0</v>
      </c>
      <c r="L75" s="22">
        <f>+IF(AND(L74&gt;=Assumptions!$H$26,L74&lt;Assumptions!$H$28),Assumptions!$H$154/ROUNDUP((Assumptions!$H$27/12),0),0)</f>
        <v>0</v>
      </c>
      <c r="M75" s="22">
        <f>+IF(AND(M74&gt;=Assumptions!$H$26,M74&lt;Assumptions!$H$28),Assumptions!$H$154/ROUNDUP((Assumptions!$H$27/12),0),0)</f>
        <v>0</v>
      </c>
      <c r="N75" s="22">
        <f>+IF(AND(N74&gt;=Assumptions!$H$26,N74&lt;Assumptions!$H$28),Assumptions!$H$154/ROUNDUP((Assumptions!$H$27/12),0),0)</f>
        <v>0</v>
      </c>
      <c r="O75" s="22">
        <f>+IF(AND(O74&gt;=Assumptions!$H$26,O74&lt;Assumptions!$H$28),Assumptions!$H$154/ROUNDUP((Assumptions!$H$27/12),0),0)</f>
        <v>0</v>
      </c>
      <c r="P75" s="22">
        <f>+IF(AND(P74&gt;=Assumptions!$H$26,P74&lt;Assumptions!$H$28),Assumptions!$H$154/ROUNDUP((Assumptions!$H$27/12),0),0)</f>
        <v>0</v>
      </c>
      <c r="Q75" s="22">
        <f>+IF(AND(Q74&gt;=Assumptions!$H$26,Q74&lt;Assumptions!$H$28),Assumptions!$H$154/ROUNDUP((Assumptions!$H$27/12),0),0)</f>
        <v>0</v>
      </c>
      <c r="R75" s="22">
        <f>+IF(AND(R74&gt;=Assumptions!$H$26,R74&lt;Assumptions!$H$28),Assumptions!$H$154/ROUNDUP((Assumptions!$H$27/12),0),0)</f>
        <v>0</v>
      </c>
      <c r="S75" s="22">
        <f>+IF(AND(S74&gt;=Assumptions!$H$26,S74&lt;Assumptions!$H$28),Assumptions!$H$154/ROUNDUP((Assumptions!$H$27/12),0),0)</f>
        <v>0</v>
      </c>
      <c r="T75" s="22">
        <f>+IF(AND(T74&gt;=Assumptions!$H$26,T74&lt;Assumptions!$H$28),Assumptions!$H$154/ROUNDUP((Assumptions!$H$27/12),0),0)</f>
        <v>0</v>
      </c>
      <c r="U75" s="22">
        <f>+IF(AND(U74&gt;=Assumptions!$H$26,U74&lt;Assumptions!$H$28),Assumptions!$H$154/ROUNDUP((Assumptions!$H$27/12),0),0)</f>
        <v>0</v>
      </c>
      <c r="V75" s="22">
        <f>+IF(AND(V74&gt;=Assumptions!$H$26,V74&lt;Assumptions!$H$28),Assumptions!$H$154/ROUNDUP((Assumptions!$H$27/12),0),0)</f>
        <v>0</v>
      </c>
      <c r="W75" s="22">
        <f>+IF(AND(W74&gt;=Assumptions!$H$26,W74&lt;Assumptions!$H$28),Assumptions!$H$154/ROUNDUP((Assumptions!$H$27/12),0),0)</f>
        <v>0</v>
      </c>
      <c r="X75" s="22">
        <f>+IF(AND(X74&gt;=Assumptions!$H$26,X74&lt;Assumptions!$H$28),Assumptions!$H$154/ROUNDUP((Assumptions!$H$27/12),0),0)</f>
        <v>0</v>
      </c>
      <c r="Y75" s="22">
        <f>+IF(AND(Y74&gt;=Assumptions!$H$26,Y74&lt;Assumptions!$H$28),Assumptions!$H$154/ROUNDUP((Assumptions!$H$27/12),0),0)</f>
        <v>0</v>
      </c>
      <c r="Z75" s="22">
        <f>+IF(AND(Z74&gt;=Assumptions!$H$26,Z74&lt;Assumptions!$H$28),Assumptions!$H$154/ROUNDUP((Assumptions!$H$27/12),0),0)</f>
        <v>0</v>
      </c>
    </row>
    <row r="76" spans="2:26" hidden="1">
      <c r="B76" s="15" t="s">
        <v>576</v>
      </c>
      <c r="C76" s="15"/>
      <c r="D76" s="22"/>
      <c r="E76" s="22"/>
      <c r="F76" s="22">
        <f>+D76+F75</f>
        <v>0</v>
      </c>
      <c r="G76" s="22">
        <f t="shared" ref="G76:Z76" si="36">+F76+G75</f>
        <v>0</v>
      </c>
      <c r="H76" s="22">
        <f t="shared" si="36"/>
        <v>0</v>
      </c>
      <c r="I76" s="22">
        <f t="shared" si="36"/>
        <v>0</v>
      </c>
      <c r="J76" s="22">
        <f t="shared" si="36"/>
        <v>0</v>
      </c>
      <c r="K76" s="22">
        <f t="shared" si="36"/>
        <v>0</v>
      </c>
      <c r="L76" s="22">
        <f t="shared" si="36"/>
        <v>0</v>
      </c>
      <c r="M76" s="22">
        <f t="shared" si="36"/>
        <v>0</v>
      </c>
      <c r="N76" s="22">
        <f t="shared" si="36"/>
        <v>0</v>
      </c>
      <c r="O76" s="22">
        <f t="shared" si="36"/>
        <v>0</v>
      </c>
      <c r="P76" s="22">
        <f t="shared" si="36"/>
        <v>0</v>
      </c>
      <c r="Q76" s="22">
        <f t="shared" si="36"/>
        <v>0</v>
      </c>
      <c r="R76" s="22">
        <f t="shared" si="36"/>
        <v>0</v>
      </c>
      <c r="S76" s="22">
        <f t="shared" si="36"/>
        <v>0</v>
      </c>
      <c r="T76" s="22">
        <f t="shared" si="36"/>
        <v>0</v>
      </c>
      <c r="U76" s="22">
        <f t="shared" si="36"/>
        <v>0</v>
      </c>
      <c r="V76" s="22">
        <f t="shared" si="36"/>
        <v>0</v>
      </c>
      <c r="W76" s="22">
        <f t="shared" si="36"/>
        <v>0</v>
      </c>
      <c r="X76" s="22">
        <f t="shared" si="36"/>
        <v>0</v>
      </c>
      <c r="Y76" s="22">
        <f t="shared" si="36"/>
        <v>0</v>
      </c>
      <c r="Z76" s="22">
        <f t="shared" si="36"/>
        <v>0</v>
      </c>
    </row>
    <row r="77" spans="2:26" hidden="1">
      <c r="B77" s="15" t="s">
        <v>579</v>
      </c>
      <c r="C77" s="15"/>
      <c r="D77" s="22"/>
      <c r="E77" s="22"/>
      <c r="F77" s="49" t="e">
        <f>+F76/SUM($F75:$Z75)</f>
        <v>#DIV/0!</v>
      </c>
      <c r="G77" s="49" t="e">
        <f t="shared" ref="G77:Z77" si="37">+G76/SUM($F75:$Z75)</f>
        <v>#DIV/0!</v>
      </c>
      <c r="H77" s="49" t="e">
        <f t="shared" si="37"/>
        <v>#DIV/0!</v>
      </c>
      <c r="I77" s="49" t="e">
        <f t="shared" si="37"/>
        <v>#DIV/0!</v>
      </c>
      <c r="J77" s="49" t="e">
        <f t="shared" si="37"/>
        <v>#DIV/0!</v>
      </c>
      <c r="K77" s="49" t="e">
        <f t="shared" si="37"/>
        <v>#DIV/0!</v>
      </c>
      <c r="L77" s="49">
        <v>0</v>
      </c>
      <c r="M77" s="49" t="e">
        <f>+M76/SUM($F75:$Z75)</f>
        <v>#DIV/0!</v>
      </c>
      <c r="N77" s="49" t="e">
        <f t="shared" si="37"/>
        <v>#DIV/0!</v>
      </c>
      <c r="O77" s="49" t="e">
        <f t="shared" si="37"/>
        <v>#DIV/0!</v>
      </c>
      <c r="P77" s="49" t="e">
        <f t="shared" si="37"/>
        <v>#DIV/0!</v>
      </c>
      <c r="Q77" s="49" t="e">
        <f t="shared" si="37"/>
        <v>#DIV/0!</v>
      </c>
      <c r="R77" s="49" t="e">
        <f t="shared" si="37"/>
        <v>#DIV/0!</v>
      </c>
      <c r="S77" s="49" t="e">
        <f t="shared" si="37"/>
        <v>#DIV/0!</v>
      </c>
      <c r="T77" s="49" t="e">
        <f t="shared" si="37"/>
        <v>#DIV/0!</v>
      </c>
      <c r="U77" s="49" t="e">
        <f t="shared" si="37"/>
        <v>#DIV/0!</v>
      </c>
      <c r="V77" s="49" t="e">
        <f t="shared" si="37"/>
        <v>#DIV/0!</v>
      </c>
      <c r="W77" s="49" t="e">
        <f t="shared" si="37"/>
        <v>#DIV/0!</v>
      </c>
      <c r="X77" s="49" t="e">
        <f t="shared" si="37"/>
        <v>#DIV/0!</v>
      </c>
      <c r="Y77" s="49" t="e">
        <f t="shared" si="37"/>
        <v>#DIV/0!</v>
      </c>
      <c r="Z77" s="49" t="e">
        <f t="shared" si="37"/>
        <v>#DIV/0!</v>
      </c>
    </row>
    <row r="78" spans="2:26" hidden="1">
      <c r="B78" s="15"/>
      <c r="C78" s="15"/>
      <c r="D78" s="20"/>
      <c r="E78" s="20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 hidden="1">
      <c r="B79" s="15" t="s">
        <v>580</v>
      </c>
      <c r="C79" s="15"/>
      <c r="D79" s="22"/>
      <c r="E79" s="22"/>
      <c r="F79" s="49">
        <v>1</v>
      </c>
      <c r="G79" s="49">
        <f>+IF(MOD(G$2,Assumptions!$P$69)=(Assumptions!$P$69-1),F79*(1+Assumptions!$P$68),'Phase III Pro Forma'!F79)</f>
        <v>1</v>
      </c>
      <c r="H79" s="49">
        <f>+IF(MOD(H$2,Assumptions!$P$69)=(Assumptions!$P$69-1),G79*(1+Assumptions!$P$68),'Phase III Pro Forma'!G79)</f>
        <v>1</v>
      </c>
      <c r="I79" s="49">
        <f>+IF(MOD(I$2,Assumptions!$P$69)=(Assumptions!$P$69-1),H79*(1+Assumptions!$P$68),'Phase III Pro Forma'!H79)</f>
        <v>1</v>
      </c>
      <c r="J79" s="49">
        <f>+IF(MOD(J$2,Assumptions!$P$69)=(Assumptions!$P$69-1),I79*(1+Assumptions!$P$68),'Phase III Pro Forma'!I79)</f>
        <v>1</v>
      </c>
      <c r="K79" s="49">
        <f>+IF(MOD(K$2,Assumptions!$P$69)=(Assumptions!$P$69-1),J79*(1+Assumptions!$P$68),'Phase III Pro Forma'!J79)</f>
        <v>1</v>
      </c>
      <c r="L79" s="49">
        <f>+IF(MOD(L$2,Assumptions!$P$69)=(Assumptions!$P$69-1),K79*(1+Assumptions!$P$68),'Phase III Pro Forma'!K79)</f>
        <v>1.05</v>
      </c>
      <c r="M79" s="49">
        <f>+IF(MOD(M$2,Assumptions!$P$69)=(Assumptions!$P$69-1),L79*(1+Assumptions!$P$68),'Phase III Pro Forma'!L79)</f>
        <v>1.05</v>
      </c>
      <c r="N79" s="49">
        <f>+IF(MOD(N$2,Assumptions!$P$69)=(Assumptions!$P$69-1),M79*(1+Assumptions!$P$68),'Phase III Pro Forma'!M79)</f>
        <v>1.05</v>
      </c>
      <c r="O79" s="49">
        <f>+IF(MOD(O$2,Assumptions!$P$69)=(Assumptions!$P$69-1),N79*(1+Assumptions!$P$68),'Phase III Pro Forma'!N79)</f>
        <v>1.05</v>
      </c>
      <c r="P79" s="49">
        <f>+IF(MOD(P$2,Assumptions!$P$69)=(Assumptions!$P$69-1),O79*(1+Assumptions!$P$68),'Phase III Pro Forma'!O79)</f>
        <v>1.05</v>
      </c>
      <c r="Q79" s="49">
        <f>+IF(MOD(Q$2,Assumptions!$P$69)=(Assumptions!$P$69-1),P79*(1+Assumptions!$P$68),'Phase III Pro Forma'!P79)</f>
        <v>1.1025</v>
      </c>
      <c r="R79" s="49">
        <f>+IF(MOD(R$2,Assumptions!$P$69)=(Assumptions!$P$69-1),Q79*(1+Assumptions!$P$68),'Phase III Pro Forma'!Q79)</f>
        <v>1.1025</v>
      </c>
      <c r="S79" s="49">
        <f>+IF(MOD(S$2,Assumptions!$P$69)=(Assumptions!$P$69-1),R79*(1+Assumptions!$P$68),'Phase III Pro Forma'!R79)</f>
        <v>1.1025</v>
      </c>
      <c r="T79" s="49">
        <f>+IF(MOD(T$2,Assumptions!$P$69)=(Assumptions!$P$69-1),S79*(1+Assumptions!$P$68),'Phase III Pro Forma'!S79)</f>
        <v>1.1025</v>
      </c>
      <c r="U79" s="49">
        <f>+IF(MOD(U$2,Assumptions!$P$69)=(Assumptions!$P$69-1),T79*(1+Assumptions!$P$68),'Phase III Pro Forma'!T79)</f>
        <v>1.1025</v>
      </c>
      <c r="V79" s="49">
        <f>+IF(MOD(V$2,Assumptions!$P$69)=(Assumptions!$P$69-1),U79*(1+Assumptions!$P$68),'Phase III Pro Forma'!U79)</f>
        <v>1.1576250000000001</v>
      </c>
      <c r="W79" s="49">
        <f>+IF(MOD(W$2,Assumptions!$P$69)=(Assumptions!$P$69-1),V79*(1+Assumptions!$P$68),'Phase III Pro Forma'!V79)</f>
        <v>1.1576250000000001</v>
      </c>
      <c r="X79" s="49">
        <f>+IF(MOD(X$2,Assumptions!$P$69)=(Assumptions!$P$69-1),W79*(1+Assumptions!$P$68),'Phase III Pro Forma'!W79)</f>
        <v>1.1576250000000001</v>
      </c>
      <c r="Y79" s="49">
        <f>+IF(MOD(Y$2,Assumptions!$P$69)=(Assumptions!$P$69-1),X79*(1+Assumptions!$P$68),'Phase III Pro Forma'!X79)</f>
        <v>1.1576250000000001</v>
      </c>
      <c r="Z79" s="49">
        <f>+IF(MOD(Z$2,Assumptions!$P$69)=(Assumptions!$P$69-1),Y79*(1+Assumptions!$P$68),'Phase III Pro Forma'!Y79)</f>
        <v>1.1576250000000001</v>
      </c>
    </row>
    <row r="80" spans="2:26" hidden="1">
      <c r="B80" s="15" t="s">
        <v>581</v>
      </c>
      <c r="C80" s="15"/>
      <c r="D80" s="22"/>
      <c r="E80" s="22"/>
      <c r="F80" s="49">
        <v>1</v>
      </c>
      <c r="G80" s="49">
        <f>+F80*(1+Assumptions!$P$79)</f>
        <v>1.02</v>
      </c>
      <c r="H80" s="49">
        <f>+G80*(1+Assumptions!$P$79)</f>
        <v>1.0404</v>
      </c>
      <c r="I80" s="49">
        <f>+H80*(1+Assumptions!$P$79)</f>
        <v>1.0612079999999999</v>
      </c>
      <c r="J80" s="49">
        <f>+I80*(1+Assumptions!$P$79)</f>
        <v>1.08243216</v>
      </c>
      <c r="K80" s="49">
        <f>+J80*(1+Assumptions!$P$79)</f>
        <v>1.1040808032</v>
      </c>
      <c r="L80" s="49">
        <f>+K80*(1+Assumptions!$P$79)</f>
        <v>1.1261624192640001</v>
      </c>
      <c r="M80" s="49">
        <f>+L80*(1+Assumptions!$P$79)</f>
        <v>1.14868566764928</v>
      </c>
      <c r="N80" s="49">
        <f>+M80*(1+Assumptions!$P$79)</f>
        <v>1.1716593810022657</v>
      </c>
      <c r="O80" s="49">
        <f>+N80*(1+Assumptions!$P$79)</f>
        <v>1.1950925686223111</v>
      </c>
      <c r="P80" s="49">
        <f>+O80*(1+Assumptions!$P$79)</f>
        <v>1.2189944199947573</v>
      </c>
      <c r="Q80" s="49">
        <f>+P80*(1+Assumptions!$P$79)</f>
        <v>1.2433743083946525</v>
      </c>
      <c r="R80" s="49">
        <f>+Q80*(1+Assumptions!$P$79)</f>
        <v>1.2682417945625455</v>
      </c>
      <c r="S80" s="49">
        <f>+R80*(1+Assumptions!$P$79)</f>
        <v>1.2936066304537963</v>
      </c>
      <c r="T80" s="49">
        <f>+S80*(1+Assumptions!$P$79)</f>
        <v>1.3194787630628724</v>
      </c>
      <c r="U80" s="49">
        <f>+T80*(1+Assumptions!$P$79)</f>
        <v>1.3458683383241299</v>
      </c>
      <c r="V80" s="49">
        <f>+U80*(1+Assumptions!$P$79)</f>
        <v>1.3727857050906125</v>
      </c>
      <c r="W80" s="49">
        <f>+V80*(1+Assumptions!$P$79)</f>
        <v>1.4002414191924248</v>
      </c>
      <c r="X80" s="49">
        <f>+W80*(1+Assumptions!$P$79)</f>
        <v>1.4282462475762734</v>
      </c>
      <c r="Y80" s="49">
        <f>+X80*(1+Assumptions!$P$79)</f>
        <v>1.4568111725277988</v>
      </c>
      <c r="Z80" s="49">
        <f>+Y80*(1+Assumptions!$P$79)</f>
        <v>1.4859473959783549</v>
      </c>
    </row>
    <row r="81" spans="2:26" hidden="1">
      <c r="B81" s="15"/>
      <c r="C81" s="15"/>
      <c r="D81" s="20"/>
      <c r="E81" s="20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hidden="1">
      <c r="B82" s="15" t="s">
        <v>582</v>
      </c>
      <c r="C82" s="15"/>
      <c r="D82" s="20"/>
      <c r="E82" s="20"/>
      <c r="F82" s="16" t="e">
        <f>+F77*Assumptions!$H$153*F79</f>
        <v>#DIV/0!</v>
      </c>
      <c r="G82" s="16" t="e">
        <f>+G77*Assumptions!$H$153*G79</f>
        <v>#DIV/0!</v>
      </c>
      <c r="H82" s="16" t="e">
        <f>+H77*Assumptions!$H$153*H79</f>
        <v>#DIV/0!</v>
      </c>
      <c r="I82" s="16" t="e">
        <f>+I77*Assumptions!$H$153*I79</f>
        <v>#DIV/0!</v>
      </c>
      <c r="J82" s="16" t="e">
        <f>+J77*Assumptions!$H$153*J79</f>
        <v>#DIV/0!</v>
      </c>
      <c r="K82" s="16" t="e">
        <f>+K77*Assumptions!$H$153*K79</f>
        <v>#DIV/0!</v>
      </c>
      <c r="L82" s="16">
        <f>+L77*Assumptions!$H$153*L79</f>
        <v>0</v>
      </c>
      <c r="M82" s="362" t="e">
        <f>+M77*Assumptions!$H$153*M79</f>
        <v>#DIV/0!</v>
      </c>
      <c r="N82" s="16" t="e">
        <f>+N77*Assumptions!$H$153*N79</f>
        <v>#DIV/0!</v>
      </c>
      <c r="O82" s="16" t="e">
        <f>+O77*Assumptions!$H$153*O79</f>
        <v>#DIV/0!</v>
      </c>
      <c r="P82" s="16" t="e">
        <f>+P77*Assumptions!$H$153*P79</f>
        <v>#DIV/0!</v>
      </c>
      <c r="Q82" s="16" t="e">
        <f>+Q77*Assumptions!$H$153*Q79</f>
        <v>#DIV/0!</v>
      </c>
      <c r="R82" s="16" t="e">
        <f>+R77*Assumptions!$H$153*R79</f>
        <v>#DIV/0!</v>
      </c>
      <c r="S82" s="16" t="e">
        <f>+S77*Assumptions!$H$153*S79</f>
        <v>#DIV/0!</v>
      </c>
      <c r="T82" s="16" t="e">
        <f>+T77*Assumptions!$H$153*T79</f>
        <v>#DIV/0!</v>
      </c>
      <c r="U82" s="16" t="e">
        <f>+U77*Assumptions!$H$153*U79</f>
        <v>#DIV/0!</v>
      </c>
      <c r="V82" s="16" t="e">
        <f>+V77*Assumptions!$H$153*V79</f>
        <v>#DIV/0!</v>
      </c>
      <c r="W82" s="16" t="e">
        <f>+W77*Assumptions!$H$153*W79</f>
        <v>#DIV/0!</v>
      </c>
      <c r="X82" s="16" t="e">
        <f>+X77*Assumptions!$H$153*X79</f>
        <v>#DIV/0!</v>
      </c>
      <c r="Y82" s="16" t="e">
        <f>+Y77*Assumptions!$H$153*Y79</f>
        <v>#DIV/0!</v>
      </c>
      <c r="Z82" s="16" t="e">
        <f>+Z77*Assumptions!$H$153*Z79</f>
        <v>#DIV/0!</v>
      </c>
    </row>
    <row r="83" spans="2:26" hidden="1">
      <c r="B83" s="15" t="s">
        <v>583</v>
      </c>
      <c r="C83" s="15"/>
      <c r="D83" s="20"/>
      <c r="E83" s="20"/>
      <c r="F83" s="22" t="e">
        <f>-F82*Assumptions!$P$57</f>
        <v>#DIV/0!</v>
      </c>
      <c r="G83" s="22" t="e">
        <f>-G82*Assumptions!$P$57</f>
        <v>#DIV/0!</v>
      </c>
      <c r="H83" s="22" t="e">
        <f>-H82*Assumptions!$P$57</f>
        <v>#DIV/0!</v>
      </c>
      <c r="I83" s="22" t="e">
        <f>-I82*Assumptions!$P$57</f>
        <v>#DIV/0!</v>
      </c>
      <c r="J83" s="22" t="e">
        <f>-J82*Assumptions!$P$57</f>
        <v>#DIV/0!</v>
      </c>
      <c r="K83" s="22" t="e">
        <f>-K82*Assumptions!$P$57</f>
        <v>#DIV/0!</v>
      </c>
      <c r="L83" s="22">
        <f>-L82*Assumptions!$P$57</f>
        <v>0</v>
      </c>
      <c r="M83" s="22" t="e">
        <f>-M82*Assumptions!$P$57</f>
        <v>#DIV/0!</v>
      </c>
      <c r="N83" s="22" t="e">
        <f>-N82*Assumptions!$P$57</f>
        <v>#DIV/0!</v>
      </c>
      <c r="O83" s="22" t="e">
        <f>-O82*Assumptions!$P$57</f>
        <v>#DIV/0!</v>
      </c>
      <c r="P83" s="22" t="e">
        <f>-P82*Assumptions!$P$57</f>
        <v>#DIV/0!</v>
      </c>
      <c r="Q83" s="22" t="e">
        <f>-Q82*Assumptions!$P$57</f>
        <v>#DIV/0!</v>
      </c>
      <c r="R83" s="22" t="e">
        <f>-R82*Assumptions!$P$57</f>
        <v>#DIV/0!</v>
      </c>
      <c r="S83" s="22" t="e">
        <f>-S82*Assumptions!$P$57</f>
        <v>#DIV/0!</v>
      </c>
      <c r="T83" s="22" t="e">
        <f>-T82*Assumptions!$P$57</f>
        <v>#DIV/0!</v>
      </c>
      <c r="U83" s="22" t="e">
        <f>-U82*Assumptions!$P$57</f>
        <v>#DIV/0!</v>
      </c>
      <c r="V83" s="22" t="e">
        <f>-V82*Assumptions!$P$57</f>
        <v>#DIV/0!</v>
      </c>
      <c r="W83" s="22" t="e">
        <f>-W82*Assumptions!$P$57</f>
        <v>#DIV/0!</v>
      </c>
      <c r="X83" s="22" t="e">
        <f>-X82*Assumptions!$P$57</f>
        <v>#DIV/0!</v>
      </c>
      <c r="Y83" s="22" t="e">
        <f>-Y82*Assumptions!$P$57</f>
        <v>#DIV/0!</v>
      </c>
      <c r="Z83" s="22" t="e">
        <f>-Z82*Assumptions!$P$57</f>
        <v>#DIV/0!</v>
      </c>
    </row>
    <row r="84" spans="2:26" hidden="1">
      <c r="B84" s="15" t="s">
        <v>593</v>
      </c>
      <c r="C84" s="15"/>
      <c r="D84" s="20"/>
      <c r="E84" s="20"/>
      <c r="F84" s="76" t="e">
        <f>+F89*Assumptions!$P$90</f>
        <v>#DIV/0!</v>
      </c>
      <c r="G84" s="76" t="e">
        <f>+G89*Assumptions!$P$90</f>
        <v>#DIV/0!</v>
      </c>
      <c r="H84" s="76" t="e">
        <f>+H89*Assumptions!$P$90</f>
        <v>#DIV/0!</v>
      </c>
      <c r="I84" s="76" t="e">
        <f>+I89*Assumptions!$P$90</f>
        <v>#DIV/0!</v>
      </c>
      <c r="J84" s="76" t="e">
        <f>+J89*Assumptions!$P$90</f>
        <v>#DIV/0!</v>
      </c>
      <c r="K84" s="76" t="e">
        <f>+K89*Assumptions!$P$90</f>
        <v>#DIV/0!</v>
      </c>
      <c r="L84" s="76">
        <f>+L89*Assumptions!$P$90</f>
        <v>0</v>
      </c>
      <c r="M84" s="76" t="e">
        <f>+M89*Assumptions!$P$90</f>
        <v>#DIV/0!</v>
      </c>
      <c r="N84" s="76" t="e">
        <f>+N89*Assumptions!$P$90</f>
        <v>#DIV/0!</v>
      </c>
      <c r="O84" s="76" t="e">
        <f>+O89*Assumptions!$P$90</f>
        <v>#DIV/0!</v>
      </c>
      <c r="P84" s="76" t="e">
        <f>+P89*Assumptions!$P$90</f>
        <v>#DIV/0!</v>
      </c>
      <c r="Q84" s="76" t="e">
        <f>+Q89*Assumptions!$P$90</f>
        <v>#DIV/0!</v>
      </c>
      <c r="R84" s="76" t="e">
        <f>+R89*Assumptions!$P$90</f>
        <v>#DIV/0!</v>
      </c>
      <c r="S84" s="76" t="e">
        <f>+S89*Assumptions!$P$90</f>
        <v>#DIV/0!</v>
      </c>
      <c r="T84" s="76" t="e">
        <f>+T89*Assumptions!$P$90</f>
        <v>#DIV/0!</v>
      </c>
      <c r="U84" s="76" t="e">
        <f>+U89*Assumptions!$P$90</f>
        <v>#DIV/0!</v>
      </c>
      <c r="V84" s="76" t="e">
        <f>+V89*Assumptions!$P$90</f>
        <v>#DIV/0!</v>
      </c>
      <c r="W84" s="76" t="e">
        <f>+W89*Assumptions!$P$90</f>
        <v>#DIV/0!</v>
      </c>
      <c r="X84" s="76" t="e">
        <f>+X89*Assumptions!$P$90</f>
        <v>#DIV/0!</v>
      </c>
      <c r="Y84" s="76" t="e">
        <f>+Y89*Assumptions!$P$90</f>
        <v>#DIV/0!</v>
      </c>
      <c r="Z84" s="76" t="e">
        <f>+Z89*Assumptions!$P$90</f>
        <v>#DIV/0!</v>
      </c>
    </row>
    <row r="85" spans="2:26" hidden="1">
      <c r="B85" s="62" t="s">
        <v>584</v>
      </c>
      <c r="C85" s="62"/>
      <c r="D85" s="62"/>
      <c r="E85" s="62"/>
      <c r="F85" s="58" t="e">
        <f t="shared" ref="F85:Z85" si="38">+SUM(F82:F84)</f>
        <v>#DIV/0!</v>
      </c>
      <c r="G85" s="58" t="e">
        <f t="shared" si="38"/>
        <v>#DIV/0!</v>
      </c>
      <c r="H85" s="58" t="e">
        <f t="shared" si="38"/>
        <v>#DIV/0!</v>
      </c>
      <c r="I85" s="58" t="e">
        <f t="shared" si="38"/>
        <v>#DIV/0!</v>
      </c>
      <c r="J85" s="58" t="e">
        <f t="shared" si="38"/>
        <v>#DIV/0!</v>
      </c>
      <c r="K85" s="58" t="e">
        <f t="shared" si="38"/>
        <v>#DIV/0!</v>
      </c>
      <c r="L85" s="58">
        <f t="shared" si="38"/>
        <v>0</v>
      </c>
      <c r="M85" s="58" t="e">
        <f t="shared" si="38"/>
        <v>#DIV/0!</v>
      </c>
      <c r="N85" s="58" t="e">
        <f t="shared" si="38"/>
        <v>#DIV/0!</v>
      </c>
      <c r="O85" s="58" t="e">
        <f t="shared" si="38"/>
        <v>#DIV/0!</v>
      </c>
      <c r="P85" s="58" t="e">
        <f t="shared" si="38"/>
        <v>#DIV/0!</v>
      </c>
      <c r="Q85" s="58" t="e">
        <f t="shared" si="38"/>
        <v>#DIV/0!</v>
      </c>
      <c r="R85" s="58" t="e">
        <f t="shared" si="38"/>
        <v>#DIV/0!</v>
      </c>
      <c r="S85" s="58" t="e">
        <f t="shared" si="38"/>
        <v>#DIV/0!</v>
      </c>
      <c r="T85" s="58" t="e">
        <f t="shared" si="38"/>
        <v>#DIV/0!</v>
      </c>
      <c r="U85" s="58" t="e">
        <f t="shared" si="38"/>
        <v>#DIV/0!</v>
      </c>
      <c r="V85" s="58" t="e">
        <f t="shared" si="38"/>
        <v>#DIV/0!</v>
      </c>
      <c r="W85" s="58" t="e">
        <f t="shared" si="38"/>
        <v>#DIV/0!</v>
      </c>
      <c r="X85" s="58" t="e">
        <f t="shared" si="38"/>
        <v>#DIV/0!</v>
      </c>
      <c r="Y85" s="58" t="e">
        <f t="shared" si="38"/>
        <v>#DIV/0!</v>
      </c>
      <c r="Z85" s="58" t="e">
        <f t="shared" si="38"/>
        <v>#DIV/0!</v>
      </c>
    </row>
    <row r="86" spans="2:26" hidden="1"/>
    <row r="87" spans="2:26" hidden="1">
      <c r="B87" s="15" t="s">
        <v>585</v>
      </c>
      <c r="F87" s="16">
        <f>+F76*Assumptions!$P$122*'Phase III Pro Forma'!F80</f>
        <v>0</v>
      </c>
      <c r="G87" s="16">
        <f>+G76*Assumptions!$P$122*'Phase III Pro Forma'!G80</f>
        <v>0</v>
      </c>
      <c r="H87" s="16">
        <f>+H76*Assumptions!$P$122*'Phase III Pro Forma'!H80</f>
        <v>0</v>
      </c>
      <c r="I87" s="16">
        <f>+I76*Assumptions!$P$122*'Phase III Pro Forma'!I80</f>
        <v>0</v>
      </c>
      <c r="J87" s="16">
        <f>+J76*Assumptions!$P$122*'Phase III Pro Forma'!J80</f>
        <v>0</v>
      </c>
      <c r="K87" s="16">
        <f>+K76*Assumptions!$P$122*'Phase III Pro Forma'!K80</f>
        <v>0</v>
      </c>
      <c r="L87" s="16">
        <f>+L76*Assumptions!$P$122*'Phase III Pro Forma'!L80</f>
        <v>0</v>
      </c>
      <c r="M87" s="16">
        <f>+M76*Assumptions!$P$122*'Phase III Pro Forma'!M80</f>
        <v>0</v>
      </c>
      <c r="N87" s="16">
        <f>+N76*Assumptions!$P$122*'Phase III Pro Forma'!N80</f>
        <v>0</v>
      </c>
      <c r="O87" s="16">
        <f>+O76*Assumptions!$P$122*'Phase III Pro Forma'!O80</f>
        <v>0</v>
      </c>
      <c r="P87" s="16">
        <f>+P76*Assumptions!$P$122*'Phase III Pro Forma'!P80</f>
        <v>0</v>
      </c>
      <c r="Q87" s="16">
        <f>+Q76*Assumptions!$P$122*'Phase III Pro Forma'!Q80</f>
        <v>0</v>
      </c>
      <c r="R87" s="16">
        <f>+R76*Assumptions!$P$122*'Phase III Pro Forma'!R80</f>
        <v>0</v>
      </c>
      <c r="S87" s="16">
        <f>+S76*Assumptions!$P$122*'Phase III Pro Forma'!S80</f>
        <v>0</v>
      </c>
      <c r="T87" s="16">
        <f>+T76*Assumptions!$P$122*'Phase III Pro Forma'!T80</f>
        <v>0</v>
      </c>
      <c r="U87" s="16">
        <f>+U76*Assumptions!$P$122*'Phase III Pro Forma'!U80</f>
        <v>0</v>
      </c>
      <c r="V87" s="16">
        <f>+V76*Assumptions!$P$122*'Phase III Pro Forma'!V80</f>
        <v>0</v>
      </c>
      <c r="W87" s="16">
        <f>+W76*Assumptions!$P$122*'Phase III Pro Forma'!W80</f>
        <v>0</v>
      </c>
      <c r="X87" s="16">
        <f>+X76*Assumptions!$P$122*'Phase III Pro Forma'!X80</f>
        <v>0</v>
      </c>
      <c r="Y87" s="16">
        <f>+Y76*Assumptions!$P$122*'Phase III Pro Forma'!Y80</f>
        <v>0</v>
      </c>
      <c r="Z87" s="16">
        <f>+Z76*Assumptions!$P$122*'Phase III Pro Forma'!Z80</f>
        <v>0</v>
      </c>
    </row>
    <row r="88" spans="2:26" hidden="1">
      <c r="B88" s="15" t="s">
        <v>595</v>
      </c>
      <c r="F88" s="76" t="e">
        <f>+IFERROR(INDEX(#REF!,MATCH('Phase III Pro Forma'!F$7,#REF!,0)),0)*'Loan Sizing'!$M$18*F77</f>
        <v>#DIV/0!</v>
      </c>
      <c r="G88" s="76" t="e">
        <f>+IFERROR(INDEX(#REF!,MATCH('Phase III Pro Forma'!G$7,#REF!,0)),0)*'Loan Sizing'!$M$18*G77</f>
        <v>#DIV/0!</v>
      </c>
      <c r="H88" s="76" t="e">
        <f>+IFERROR(INDEX(#REF!,MATCH('Phase III Pro Forma'!H$7,#REF!,0)),0)*'Loan Sizing'!$M$18*H77</f>
        <v>#DIV/0!</v>
      </c>
      <c r="I88" s="76" t="e">
        <f>+IFERROR(INDEX(#REF!,MATCH('Phase III Pro Forma'!I$7,#REF!,0)),0)*'Loan Sizing'!$M$18*I77</f>
        <v>#DIV/0!</v>
      </c>
      <c r="J88" s="76" t="e">
        <f>+IFERROR(INDEX(#REF!,MATCH('Phase III Pro Forma'!J$7,#REF!,0)),0)*'Loan Sizing'!$M$18*J77</f>
        <v>#DIV/0!</v>
      </c>
      <c r="K88" s="76" t="e">
        <f>+IFERROR(INDEX(#REF!,MATCH('Phase III Pro Forma'!K$7,#REF!,0)),0)*'Loan Sizing'!$M$18*K77</f>
        <v>#DIV/0!</v>
      </c>
      <c r="L88" s="76">
        <f>+IFERROR(INDEX(#REF!,MATCH('Phase III Pro Forma'!L$7,#REF!,0)),0)*'Loan Sizing'!$M$18*L77</f>
        <v>0</v>
      </c>
      <c r="M88" s="76" t="e">
        <f>+IFERROR(INDEX(#REF!,MATCH('Phase III Pro Forma'!M$7,#REF!,0)),0)*'Loan Sizing'!$M$18*M77</f>
        <v>#DIV/0!</v>
      </c>
      <c r="N88" s="76" t="e">
        <f>+IFERROR(INDEX(#REF!,MATCH('Phase III Pro Forma'!N$7,#REF!,0)),0)*'Loan Sizing'!$M$18*N77</f>
        <v>#DIV/0!</v>
      </c>
      <c r="O88" s="76" t="e">
        <f>+IFERROR(INDEX(#REF!,MATCH('Phase III Pro Forma'!O$7,#REF!,0)),0)*'Loan Sizing'!$M$18*O77</f>
        <v>#DIV/0!</v>
      </c>
      <c r="P88" s="76" t="e">
        <f>+IFERROR(INDEX(#REF!,MATCH('Phase III Pro Forma'!P$7,#REF!,0)),0)*'Loan Sizing'!$M$18*P77</f>
        <v>#DIV/0!</v>
      </c>
      <c r="Q88" s="76" t="e">
        <f>+IFERROR(INDEX(#REF!,MATCH('Phase III Pro Forma'!Q$7,#REF!,0)),0)*'Loan Sizing'!$M$18*Q77</f>
        <v>#DIV/0!</v>
      </c>
      <c r="R88" s="76" t="e">
        <f>+IFERROR(INDEX(#REF!,MATCH('Phase III Pro Forma'!R$7,#REF!,0)),0)*'Loan Sizing'!$M$18*R77</f>
        <v>#DIV/0!</v>
      </c>
      <c r="S88" s="76" t="e">
        <f>+IFERROR(INDEX(#REF!,MATCH('Phase III Pro Forma'!S$7,#REF!,0)),0)*'Loan Sizing'!$M$18*S77</f>
        <v>#DIV/0!</v>
      </c>
      <c r="T88" s="76" t="e">
        <f>+IFERROR(INDEX(#REF!,MATCH('Phase III Pro Forma'!T$7,#REF!,0)),0)*'Loan Sizing'!$M$18*T77</f>
        <v>#DIV/0!</v>
      </c>
      <c r="U88" s="76" t="e">
        <f>+IFERROR(INDEX(#REF!,MATCH('Phase III Pro Forma'!U$7,#REF!,0)),0)*'Loan Sizing'!$M$18*U77</f>
        <v>#DIV/0!</v>
      </c>
      <c r="V88" s="76" t="e">
        <f>+IFERROR(INDEX(#REF!,MATCH('Phase III Pro Forma'!V$7,#REF!,0)),0)*'Loan Sizing'!$M$18*V77</f>
        <v>#DIV/0!</v>
      </c>
      <c r="W88" s="76" t="e">
        <f>+IFERROR(INDEX(#REF!,MATCH('Phase III Pro Forma'!W$7,#REF!,0)),0)*'Loan Sizing'!$M$18*W77</f>
        <v>#DIV/0!</v>
      </c>
      <c r="X88" s="76" t="e">
        <f>+IFERROR(INDEX(#REF!,MATCH('Phase III Pro Forma'!X$7,#REF!,0)),0)*'Loan Sizing'!$M$18*X77</f>
        <v>#DIV/0!</v>
      </c>
      <c r="Y88" s="76" t="e">
        <f>+IFERROR(INDEX(#REF!,MATCH('Phase III Pro Forma'!Y$7,#REF!,0)),0)*'Loan Sizing'!$M$18*Y77</f>
        <v>#DIV/0!</v>
      </c>
      <c r="Z88" s="76" t="e">
        <f>+IFERROR(INDEX(#REF!,MATCH('Phase III Pro Forma'!Z$7,#REF!,0)),0)*'Loan Sizing'!$M$18*Z77</f>
        <v>#DIV/0!</v>
      </c>
    </row>
    <row r="89" spans="2:26" hidden="1">
      <c r="B89" s="62" t="s">
        <v>586</v>
      </c>
      <c r="C89" s="62"/>
      <c r="D89" s="62"/>
      <c r="E89" s="62"/>
      <c r="F89" s="58" t="e">
        <f>+SUM(F87:F88)</f>
        <v>#DIV/0!</v>
      </c>
      <c r="G89" s="58" t="e">
        <f t="shared" ref="G89" si="39">+SUM(G87:G88)</f>
        <v>#DIV/0!</v>
      </c>
      <c r="H89" s="58" t="e">
        <f t="shared" ref="H89:Z89" si="40">+SUM(H87:H88)</f>
        <v>#DIV/0!</v>
      </c>
      <c r="I89" s="58" t="e">
        <f t="shared" si="40"/>
        <v>#DIV/0!</v>
      </c>
      <c r="J89" s="58" t="e">
        <f t="shared" si="40"/>
        <v>#DIV/0!</v>
      </c>
      <c r="K89" s="58" t="e">
        <f t="shared" si="40"/>
        <v>#DIV/0!</v>
      </c>
      <c r="L89" s="58">
        <f t="shared" si="40"/>
        <v>0</v>
      </c>
      <c r="M89" s="58" t="e">
        <f t="shared" si="40"/>
        <v>#DIV/0!</v>
      </c>
      <c r="N89" s="58" t="e">
        <f t="shared" si="40"/>
        <v>#DIV/0!</v>
      </c>
      <c r="O89" s="58" t="e">
        <f t="shared" si="40"/>
        <v>#DIV/0!</v>
      </c>
      <c r="P89" s="58" t="e">
        <f t="shared" si="40"/>
        <v>#DIV/0!</v>
      </c>
      <c r="Q89" s="58" t="e">
        <f t="shared" si="40"/>
        <v>#DIV/0!</v>
      </c>
      <c r="R89" s="58" t="e">
        <f t="shared" si="40"/>
        <v>#DIV/0!</v>
      </c>
      <c r="S89" s="58" t="e">
        <f t="shared" si="40"/>
        <v>#DIV/0!</v>
      </c>
      <c r="T89" s="58" t="e">
        <f t="shared" si="40"/>
        <v>#DIV/0!</v>
      </c>
      <c r="U89" s="58" t="e">
        <f t="shared" si="40"/>
        <v>#DIV/0!</v>
      </c>
      <c r="V89" s="58" t="e">
        <f t="shared" si="40"/>
        <v>#DIV/0!</v>
      </c>
      <c r="W89" s="58" t="e">
        <f t="shared" si="40"/>
        <v>#DIV/0!</v>
      </c>
      <c r="X89" s="58" t="e">
        <f t="shared" si="40"/>
        <v>#DIV/0!</v>
      </c>
      <c r="Y89" s="58" t="e">
        <f t="shared" si="40"/>
        <v>#DIV/0!</v>
      </c>
      <c r="Z89" s="58" t="e">
        <f t="shared" si="40"/>
        <v>#DIV/0!</v>
      </c>
    </row>
    <row r="90" spans="2:26" hidden="1">
      <c r="B90" s="15"/>
    </row>
    <row r="91" spans="2:26" hidden="1">
      <c r="B91" s="63" t="s">
        <v>587</v>
      </c>
      <c r="C91" s="63"/>
      <c r="D91" s="63"/>
      <c r="E91" s="63"/>
      <c r="F91" s="64" t="e">
        <f>+F85-F89</f>
        <v>#DIV/0!</v>
      </c>
      <c r="G91" s="64" t="e">
        <f t="shared" ref="G91:Z91" si="41">+G85-G89</f>
        <v>#DIV/0!</v>
      </c>
      <c r="H91" s="64" t="e">
        <f t="shared" si="41"/>
        <v>#DIV/0!</v>
      </c>
      <c r="I91" s="64" t="e">
        <f t="shared" si="41"/>
        <v>#DIV/0!</v>
      </c>
      <c r="J91" s="64" t="e">
        <f t="shared" si="41"/>
        <v>#DIV/0!</v>
      </c>
      <c r="K91" s="64" t="e">
        <f t="shared" si="41"/>
        <v>#DIV/0!</v>
      </c>
      <c r="L91" s="64">
        <f t="shared" si="41"/>
        <v>0</v>
      </c>
      <c r="M91" s="64">
        <v>0</v>
      </c>
      <c r="N91" s="64" t="e">
        <f t="shared" si="41"/>
        <v>#DIV/0!</v>
      </c>
      <c r="O91" s="64" t="e">
        <f t="shared" si="41"/>
        <v>#DIV/0!</v>
      </c>
      <c r="P91" s="64" t="e">
        <f t="shared" si="41"/>
        <v>#DIV/0!</v>
      </c>
      <c r="Q91" s="64" t="e">
        <f t="shared" si="41"/>
        <v>#DIV/0!</v>
      </c>
      <c r="R91" s="64" t="e">
        <f t="shared" si="41"/>
        <v>#DIV/0!</v>
      </c>
      <c r="S91" s="64" t="e">
        <f t="shared" si="41"/>
        <v>#DIV/0!</v>
      </c>
      <c r="T91" s="64" t="e">
        <f t="shared" si="41"/>
        <v>#DIV/0!</v>
      </c>
      <c r="U91" s="64" t="e">
        <f t="shared" si="41"/>
        <v>#DIV/0!</v>
      </c>
      <c r="V91" s="64" t="e">
        <f t="shared" si="41"/>
        <v>#DIV/0!</v>
      </c>
      <c r="W91" s="64" t="e">
        <f t="shared" si="41"/>
        <v>#DIV/0!</v>
      </c>
      <c r="X91" s="64" t="e">
        <f t="shared" si="41"/>
        <v>#DIV/0!</v>
      </c>
      <c r="Y91" s="64" t="e">
        <f t="shared" si="41"/>
        <v>#DIV/0!</v>
      </c>
      <c r="Z91" s="64" t="e">
        <f t="shared" si="41"/>
        <v>#DIV/0!</v>
      </c>
    </row>
    <row r="92" spans="2:26" hidden="1">
      <c r="B92" s="68" t="s">
        <v>588</v>
      </c>
      <c r="C92" s="66"/>
      <c r="D92" s="66"/>
      <c r="E92" s="66"/>
      <c r="F92" s="69" t="str">
        <f>+IFERROR(F91/F85,"")</f>
        <v/>
      </c>
      <c r="G92" s="69" t="str">
        <f t="shared" ref="G92:Z92" si="42">+IFERROR(G91/G85,"")</f>
        <v/>
      </c>
      <c r="H92" s="69" t="str">
        <f t="shared" si="42"/>
        <v/>
      </c>
      <c r="I92" s="70" t="str">
        <f t="shared" si="42"/>
        <v/>
      </c>
      <c r="J92" s="70" t="str">
        <f t="shared" si="42"/>
        <v/>
      </c>
      <c r="K92" s="70" t="str">
        <f t="shared" si="42"/>
        <v/>
      </c>
      <c r="L92" s="70" t="str">
        <f t="shared" si="42"/>
        <v/>
      </c>
      <c r="M92" s="70" t="str">
        <f t="shared" si="42"/>
        <v/>
      </c>
      <c r="N92" s="70" t="str">
        <f t="shared" si="42"/>
        <v/>
      </c>
      <c r="O92" s="70" t="str">
        <f t="shared" si="42"/>
        <v/>
      </c>
      <c r="P92" s="70" t="str">
        <f t="shared" si="42"/>
        <v/>
      </c>
      <c r="Q92" s="70" t="str">
        <f t="shared" si="42"/>
        <v/>
      </c>
      <c r="R92" s="70" t="str">
        <f t="shared" si="42"/>
        <v/>
      </c>
      <c r="S92" s="70" t="str">
        <f t="shared" si="42"/>
        <v/>
      </c>
      <c r="T92" s="70" t="str">
        <f t="shared" si="42"/>
        <v/>
      </c>
      <c r="U92" s="70" t="str">
        <f t="shared" si="42"/>
        <v/>
      </c>
      <c r="V92" s="70" t="str">
        <f t="shared" si="42"/>
        <v/>
      </c>
      <c r="W92" s="70" t="str">
        <f t="shared" si="42"/>
        <v/>
      </c>
      <c r="X92" s="70" t="str">
        <f t="shared" si="42"/>
        <v/>
      </c>
      <c r="Y92" s="70" t="str">
        <f t="shared" si="42"/>
        <v/>
      </c>
      <c r="Z92" s="70" t="str">
        <f t="shared" si="42"/>
        <v/>
      </c>
    </row>
    <row r="93" spans="2:26" hidden="1">
      <c r="B93" s="68" t="s">
        <v>589</v>
      </c>
      <c r="C93" s="66"/>
      <c r="D93" s="66"/>
      <c r="E93" s="66"/>
      <c r="F93" s="67" t="e">
        <f>+F91/Assumptions!$P$132</f>
        <v>#DIV/0!</v>
      </c>
      <c r="G93" s="67" t="e">
        <f>+G91/Assumptions!$P$132</f>
        <v>#DIV/0!</v>
      </c>
      <c r="H93" s="67" t="e">
        <f>+H91/Assumptions!$P$132</f>
        <v>#DIV/0!</v>
      </c>
      <c r="I93" s="67" t="e">
        <f>+I91/Assumptions!$P$132</f>
        <v>#DIV/0!</v>
      </c>
      <c r="J93" s="67" t="e">
        <f>+J91/Assumptions!$P$132</f>
        <v>#DIV/0!</v>
      </c>
      <c r="K93" s="67" t="e">
        <f>+K91/Assumptions!$P$132</f>
        <v>#DIV/0!</v>
      </c>
      <c r="L93" s="67">
        <f>+L91/Assumptions!$P$132</f>
        <v>0</v>
      </c>
      <c r="M93" s="67">
        <v>0</v>
      </c>
      <c r="N93" s="67" t="e">
        <f>+N91/Assumptions!$P$132</f>
        <v>#DIV/0!</v>
      </c>
      <c r="O93" s="67" t="e">
        <f>+O91/Assumptions!$P$132</f>
        <v>#DIV/0!</v>
      </c>
      <c r="P93" s="67" t="e">
        <f>+P91/Assumptions!$P$132</f>
        <v>#DIV/0!</v>
      </c>
      <c r="Q93" s="67" t="e">
        <f>+Q91/Assumptions!$P$132</f>
        <v>#DIV/0!</v>
      </c>
      <c r="R93" s="67" t="e">
        <f>+R91/Assumptions!$P$132</f>
        <v>#DIV/0!</v>
      </c>
      <c r="S93" s="67" t="e">
        <f>+S91/Assumptions!$P$132</f>
        <v>#DIV/0!</v>
      </c>
      <c r="T93" s="67" t="e">
        <f>+T91/Assumptions!$P$132</f>
        <v>#DIV/0!</v>
      </c>
      <c r="U93" s="67" t="e">
        <f>+U91/Assumptions!$P$132</f>
        <v>#DIV/0!</v>
      </c>
      <c r="V93" s="67" t="e">
        <f>+V91/Assumptions!$P$132</f>
        <v>#DIV/0!</v>
      </c>
      <c r="W93" s="67" t="e">
        <f>+W91/Assumptions!$P$132</f>
        <v>#DIV/0!</v>
      </c>
      <c r="X93" s="67" t="e">
        <f>+X91/Assumptions!$P$132</f>
        <v>#DIV/0!</v>
      </c>
      <c r="Y93" s="67" t="e">
        <f>+Y91/Assumptions!$P$132</f>
        <v>#DIV/0!</v>
      </c>
      <c r="Z93" s="67" t="e">
        <f>+Z91/Assumptions!$P$132</f>
        <v>#DIV/0!</v>
      </c>
    </row>
    <row r="94" spans="2:26" hidden="1"/>
    <row r="95" spans="2:26" hidden="1">
      <c r="B95" s="73" t="s">
        <v>35</v>
      </c>
      <c r="C95" s="74"/>
      <c r="D95" s="74"/>
      <c r="E95" s="74"/>
      <c r="F95" s="75">
        <f>+Assumptions!$H$22</f>
        <v>45657</v>
      </c>
      <c r="G95" s="75">
        <f>+EOMONTH(F95,12)</f>
        <v>46022</v>
      </c>
      <c r="H95" s="75">
        <f t="shared" ref="H95:Z95" si="43">+EOMONTH(G95,12)</f>
        <v>46387</v>
      </c>
      <c r="I95" s="75">
        <f t="shared" si="43"/>
        <v>46752</v>
      </c>
      <c r="J95" s="75">
        <f t="shared" si="43"/>
        <v>47118</v>
      </c>
      <c r="K95" s="75">
        <f t="shared" si="43"/>
        <v>47483</v>
      </c>
      <c r="L95" s="75">
        <f t="shared" si="43"/>
        <v>47848</v>
      </c>
      <c r="M95" s="75">
        <f t="shared" si="43"/>
        <v>48213</v>
      </c>
      <c r="N95" s="75">
        <f t="shared" si="43"/>
        <v>48579</v>
      </c>
      <c r="O95" s="75">
        <f t="shared" si="43"/>
        <v>48944</v>
      </c>
      <c r="P95" s="75">
        <f t="shared" si="43"/>
        <v>49309</v>
      </c>
      <c r="Q95" s="75">
        <f t="shared" si="43"/>
        <v>49674</v>
      </c>
      <c r="R95" s="75">
        <f t="shared" si="43"/>
        <v>50040</v>
      </c>
      <c r="S95" s="75">
        <f t="shared" si="43"/>
        <v>50405</v>
      </c>
      <c r="T95" s="75">
        <f t="shared" si="43"/>
        <v>50770</v>
      </c>
      <c r="U95" s="75">
        <f t="shared" si="43"/>
        <v>51135</v>
      </c>
      <c r="V95" s="75">
        <f t="shared" si="43"/>
        <v>51501</v>
      </c>
      <c r="W95" s="75">
        <f t="shared" si="43"/>
        <v>51866</v>
      </c>
      <c r="X95" s="75">
        <f t="shared" si="43"/>
        <v>52231</v>
      </c>
      <c r="Y95" s="75">
        <f t="shared" si="43"/>
        <v>52596</v>
      </c>
      <c r="Z95" s="75">
        <f t="shared" si="43"/>
        <v>52962</v>
      </c>
    </row>
    <row r="96" spans="2:26" hidden="1">
      <c r="B96" s="15" t="s">
        <v>575</v>
      </c>
      <c r="C96" s="15"/>
      <c r="D96" s="20"/>
      <c r="E96" s="20"/>
      <c r="F96" s="22"/>
      <c r="G96" s="22">
        <f>+IF(AND(G95&gt;=Assumptions!$H$26,G95&lt;Assumptions!$H$28),Assumptions!$H$172/ROUNDUP((Assumptions!$H$27/12),0),0)</f>
        <v>0</v>
      </c>
      <c r="H96" s="22">
        <f>+IF(AND(H95&gt;=Assumptions!$H$26,H95&lt;Assumptions!$H$28),Assumptions!$H$172/ROUNDUP((Assumptions!$H$27/12),0),0)</f>
        <v>0</v>
      </c>
      <c r="I96" s="22">
        <v>0</v>
      </c>
      <c r="J96" s="22">
        <v>0</v>
      </c>
      <c r="K96" s="22">
        <f>+IF(AND(K95&gt;=Assumptions!$H$26,K95&lt;Assumptions!$H$28),Assumptions!$H$172/ROUNDUP((Assumptions!$H$27/12),0),0)</f>
        <v>0</v>
      </c>
      <c r="L96" s="22">
        <f>+IF(AND(L95&gt;=Assumptions!$H$26,L95&lt;Assumptions!$H$28),Assumptions!$H$172/ROUNDUP((Assumptions!$H$27/12),0),0)</f>
        <v>0</v>
      </c>
      <c r="M96" s="22">
        <f>+IF(AND(M95&gt;=Assumptions!$H$26,M95&lt;Assumptions!$H$28),Assumptions!$H$172/ROUNDUP((Assumptions!$H$27/12),0),0)</f>
        <v>0</v>
      </c>
      <c r="N96" s="22">
        <f>+IF(AND(N95&gt;=Assumptions!$H$26,N95&lt;Assumptions!$H$28),Assumptions!$H$172/ROUNDUP((Assumptions!$H$27/12),0),0)</f>
        <v>0</v>
      </c>
      <c r="O96" s="22">
        <f>+IF(AND(O95&gt;=Assumptions!$H$26,O95&lt;Assumptions!$H$28),Assumptions!$H$172/ROUNDUP((Assumptions!$H$27/12),0),0)</f>
        <v>0</v>
      </c>
      <c r="P96" s="22">
        <f>+IF(AND(P95&gt;=Assumptions!$H$26,P95&lt;Assumptions!$H$28),Assumptions!$H$172/ROUNDUP((Assumptions!$H$27/12),0),0)</f>
        <v>0</v>
      </c>
      <c r="Q96" s="22">
        <f>+IF(AND(Q95&gt;=Assumptions!$H$26,Q95&lt;Assumptions!$H$28),Assumptions!$H$172/ROUNDUP((Assumptions!$H$27/12),0),0)</f>
        <v>0</v>
      </c>
      <c r="R96" s="22">
        <f>+IF(AND(R95&gt;=Assumptions!$H$26,R95&lt;Assumptions!$H$28),Assumptions!$H$172/ROUNDUP((Assumptions!$H$27/12),0),0)</f>
        <v>0</v>
      </c>
      <c r="S96" s="22">
        <f>+IF(AND(S95&gt;=Assumptions!$H$26,S95&lt;Assumptions!$H$28),Assumptions!$H$172/ROUNDUP((Assumptions!$H$27/12),0),0)</f>
        <v>0</v>
      </c>
      <c r="T96" s="22">
        <f>+IF(AND(T95&gt;=Assumptions!$H$26,T95&lt;Assumptions!$H$28),Assumptions!$H$172/ROUNDUP((Assumptions!$H$27/12),0),0)</f>
        <v>0</v>
      </c>
      <c r="U96" s="22">
        <f>+IF(AND(U95&gt;=Assumptions!$H$26,U95&lt;Assumptions!$H$28),Assumptions!$H$172/ROUNDUP((Assumptions!$H$27/12),0),0)</f>
        <v>0</v>
      </c>
      <c r="V96" s="22">
        <f>+IF(AND(V95&gt;=Assumptions!$H$26,V95&lt;Assumptions!$H$28),Assumptions!$H$172/ROUNDUP((Assumptions!$H$27/12),0),0)</f>
        <v>0</v>
      </c>
      <c r="W96" s="22">
        <f>+IF(AND(W95&gt;=Assumptions!$H$26,W95&lt;Assumptions!$H$28),Assumptions!$H$172/ROUNDUP((Assumptions!$H$27/12),0),0)</f>
        <v>0</v>
      </c>
      <c r="X96" s="22">
        <f>+IF(AND(X95&gt;=Assumptions!$H$26,X95&lt;Assumptions!$H$28),Assumptions!$H$172/ROUNDUP((Assumptions!$H$27/12),0),0)</f>
        <v>0</v>
      </c>
      <c r="Y96" s="22">
        <f>+IF(AND(Y95&gt;=Assumptions!$H$26,Y95&lt;Assumptions!$H$28),Assumptions!$H$172/ROUNDUP((Assumptions!$H$27/12),0),0)</f>
        <v>0</v>
      </c>
      <c r="Z96" s="22">
        <f>+IF(AND(Z95&gt;=Assumptions!$H$26,Z95&lt;Assumptions!$H$28),Assumptions!$H$172/ROUNDUP((Assumptions!$H$27/12),0),0)</f>
        <v>0</v>
      </c>
    </row>
    <row r="97" spans="2:31" hidden="1">
      <c r="B97" s="15" t="s">
        <v>576</v>
      </c>
      <c r="C97" s="15"/>
      <c r="D97" s="22">
        <v>0</v>
      </c>
      <c r="E97" s="22"/>
      <c r="F97" s="22">
        <f>+D97+F96</f>
        <v>0</v>
      </c>
      <c r="G97" s="22">
        <f t="shared" ref="G97" si="44">+F97+G96</f>
        <v>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>
        <v>0</v>
      </c>
      <c r="X97" s="22">
        <v>0</v>
      </c>
      <c r="Y97" s="22">
        <v>0</v>
      </c>
      <c r="Z97" s="22">
        <v>0</v>
      </c>
    </row>
    <row r="98" spans="2:31" hidden="1">
      <c r="B98" s="15" t="s">
        <v>579</v>
      </c>
      <c r="C98" s="15"/>
      <c r="D98" s="22"/>
      <c r="E98" s="22"/>
      <c r="F98" s="49">
        <v>0</v>
      </c>
      <c r="G98" s="49">
        <v>0</v>
      </c>
      <c r="H98" s="49">
        <v>0</v>
      </c>
      <c r="I98" s="49">
        <f>I56</f>
        <v>0.5</v>
      </c>
      <c r="J98" s="49">
        <v>1</v>
      </c>
      <c r="K98" s="49">
        <v>1</v>
      </c>
      <c r="L98" s="49">
        <v>1</v>
      </c>
      <c r="M98" s="49">
        <v>1</v>
      </c>
      <c r="N98" s="49">
        <v>1</v>
      </c>
      <c r="O98" s="49">
        <v>1</v>
      </c>
      <c r="P98" s="49">
        <v>1</v>
      </c>
      <c r="Q98" s="49">
        <v>1</v>
      </c>
      <c r="R98" s="49">
        <v>1</v>
      </c>
      <c r="S98" s="49">
        <v>1</v>
      </c>
      <c r="T98" s="49">
        <v>1</v>
      </c>
      <c r="U98" s="49">
        <v>1</v>
      </c>
      <c r="V98" s="49">
        <v>1</v>
      </c>
      <c r="W98" s="49">
        <v>1</v>
      </c>
      <c r="X98" s="49">
        <v>1</v>
      </c>
      <c r="Y98" s="49">
        <v>1</v>
      </c>
      <c r="Z98" s="49">
        <v>1</v>
      </c>
    </row>
    <row r="99" spans="2:31" hidden="1">
      <c r="B99" s="15"/>
      <c r="C99" s="15"/>
      <c r="D99" s="20"/>
      <c r="E99" s="20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31" hidden="1">
      <c r="B100" s="15" t="s">
        <v>580</v>
      </c>
      <c r="C100" s="15"/>
      <c r="D100" s="22"/>
      <c r="E100" s="22"/>
      <c r="F100" s="49">
        <v>1</v>
      </c>
      <c r="G100" s="49">
        <f>+IF(MOD(G$2,Assumptions!$P$71)=(Assumptions!$P$71-1),F100*(1+Assumptions!$P$70),'Phase III Pro Forma'!F100)</f>
        <v>1</v>
      </c>
      <c r="H100" s="49">
        <f>+IF(MOD(H$2,Assumptions!$P$71)=(Assumptions!$P$71-1),G100*(1+Assumptions!$P$70),'Phase III Pro Forma'!G100)</f>
        <v>1</v>
      </c>
      <c r="I100" s="49">
        <f>+IF(MOD(I$2,Assumptions!$P$71)=(Assumptions!$P$71-1),H100*(1+Assumptions!$P$70),'Phase III Pro Forma'!H100)</f>
        <v>1</v>
      </c>
      <c r="J100" s="49">
        <f>+IF(MOD(J$2,Assumptions!$P$71)=(Assumptions!$P$71-1),I100*(1+Assumptions!$P$70),'Phase III Pro Forma'!I100)</f>
        <v>1</v>
      </c>
      <c r="K100" s="49">
        <f>+IF(MOD(K$2,Assumptions!$P$71)=(Assumptions!$P$71-1),J100*(1+Assumptions!$P$70),'Phase III Pro Forma'!J100)</f>
        <v>1</v>
      </c>
      <c r="L100" s="49">
        <f>+IF(MOD(L$2,Assumptions!$P$71)=(Assumptions!$P$71-1),K100*(1+Assumptions!$P$70),'Phase III Pro Forma'!K100)</f>
        <v>1.1000000000000001</v>
      </c>
      <c r="M100" s="49">
        <f>+IF(MOD(M$2,Assumptions!$P$71)=(Assumptions!$P$71-1),L100*(1+Assumptions!$P$70),'Phase III Pro Forma'!L100)</f>
        <v>1.1000000000000001</v>
      </c>
      <c r="N100" s="49">
        <f>+IF(MOD(N$2,Assumptions!$P$71)=(Assumptions!$P$71-1),M100*(1+Assumptions!$P$70),'Phase III Pro Forma'!M100)</f>
        <v>1.1000000000000001</v>
      </c>
      <c r="O100" s="49">
        <f>+IF(MOD(O$2,Assumptions!$P$71)=(Assumptions!$P$71-1),N100*(1+Assumptions!$P$70),'Phase III Pro Forma'!N100)</f>
        <v>1.1000000000000001</v>
      </c>
      <c r="P100" s="49">
        <f>+IF(MOD(P$2,Assumptions!$P$71)=(Assumptions!$P$71-1),O100*(1+Assumptions!$P$70),'Phase III Pro Forma'!O100)</f>
        <v>1.1000000000000001</v>
      </c>
      <c r="Q100" s="49">
        <f>+IF(MOD(Q$2,Assumptions!$P$71)=(Assumptions!$P$71-1),P100*(1+Assumptions!$P$70),'Phase III Pro Forma'!P100)</f>
        <v>1.2100000000000002</v>
      </c>
      <c r="R100" s="49">
        <f>+IF(MOD(R$2,Assumptions!$P$71)=(Assumptions!$P$71-1),Q100*(1+Assumptions!$P$70),'Phase III Pro Forma'!Q100)</f>
        <v>1.2100000000000002</v>
      </c>
      <c r="S100" s="49">
        <f>+IF(MOD(S$2,Assumptions!$P$71)=(Assumptions!$P$71-1),R100*(1+Assumptions!$P$70),'Phase III Pro Forma'!R100)</f>
        <v>1.2100000000000002</v>
      </c>
      <c r="T100" s="49">
        <f>+IF(MOD(T$2,Assumptions!$P$71)=(Assumptions!$P$71-1),S100*(1+Assumptions!$P$70),'Phase III Pro Forma'!S100)</f>
        <v>1.2100000000000002</v>
      </c>
      <c r="U100" s="49">
        <f>+IF(MOD(U$2,Assumptions!$P$71)=(Assumptions!$P$71-1),T100*(1+Assumptions!$P$70),'Phase III Pro Forma'!T100)</f>
        <v>1.2100000000000002</v>
      </c>
      <c r="V100" s="49">
        <f>+IF(MOD(V$2,Assumptions!$P$71)=(Assumptions!$P$71-1),U100*(1+Assumptions!$P$70),'Phase III Pro Forma'!U100)</f>
        <v>1.3310000000000004</v>
      </c>
      <c r="W100" s="49">
        <f>+IF(MOD(W$2,Assumptions!$P$71)=(Assumptions!$P$71-1),V100*(1+Assumptions!$P$70),'Phase III Pro Forma'!V100)</f>
        <v>1.3310000000000004</v>
      </c>
      <c r="X100" s="49">
        <f>+IF(MOD(X$2,Assumptions!$P$71)=(Assumptions!$P$71-1),W100*(1+Assumptions!$P$70),'Phase III Pro Forma'!W100)</f>
        <v>1.3310000000000004</v>
      </c>
      <c r="Y100" s="49">
        <f>+IF(MOD(Y$2,Assumptions!$P$71)=(Assumptions!$P$71-1),X100*(1+Assumptions!$P$70),'Phase III Pro Forma'!X100)</f>
        <v>1.3310000000000004</v>
      </c>
      <c r="Z100" s="49">
        <f>+IF(MOD(Z$2,Assumptions!$P$71)=(Assumptions!$P$71-1),Y100*(1+Assumptions!$P$70),'Phase III Pro Forma'!Y100)</f>
        <v>1.3310000000000004</v>
      </c>
    </row>
    <row r="101" spans="2:31" hidden="1">
      <c r="B101" s="15" t="s">
        <v>581</v>
      </c>
      <c r="C101" s="15"/>
      <c r="D101" s="22"/>
      <c r="E101" s="22"/>
      <c r="F101" s="49">
        <v>1</v>
      </c>
      <c r="G101" s="49">
        <f>+F101*(1+Assumptions!$P$80)</f>
        <v>1.02</v>
      </c>
      <c r="H101" s="49">
        <f>+G101*(1+Assumptions!$P$80)</f>
        <v>1.0404</v>
      </c>
      <c r="I101" s="49">
        <f>+H101*(1+Assumptions!$P$80)</f>
        <v>1.0612079999999999</v>
      </c>
      <c r="J101" s="49">
        <f>+I101*(1+Assumptions!$P$80)</f>
        <v>1.08243216</v>
      </c>
      <c r="K101" s="49">
        <f>+J101*(1+Assumptions!$P$80)</f>
        <v>1.1040808032</v>
      </c>
      <c r="L101" s="49">
        <f>+K101*(1+Assumptions!$P$80)</f>
        <v>1.1261624192640001</v>
      </c>
      <c r="M101" s="49">
        <f>+L101*(1+Assumptions!$P$80)</f>
        <v>1.14868566764928</v>
      </c>
      <c r="N101" s="49">
        <f>+M101*(1+Assumptions!$P$80)</f>
        <v>1.1716593810022657</v>
      </c>
      <c r="O101" s="49">
        <f>+N101*(1+Assumptions!$P$80)</f>
        <v>1.1950925686223111</v>
      </c>
      <c r="P101" s="49">
        <f>+O101*(1+Assumptions!$P$80)</f>
        <v>1.2189944199947573</v>
      </c>
      <c r="Q101" s="49">
        <f>+P101*(1+Assumptions!$P$80)</f>
        <v>1.2433743083946525</v>
      </c>
      <c r="R101" s="49">
        <f>+Q101*(1+Assumptions!$P$80)</f>
        <v>1.2682417945625455</v>
      </c>
      <c r="S101" s="49">
        <f>+R101*(1+Assumptions!$P$80)</f>
        <v>1.2936066304537963</v>
      </c>
      <c r="T101" s="49">
        <f>+S101*(1+Assumptions!$P$80)</f>
        <v>1.3194787630628724</v>
      </c>
      <c r="U101" s="49">
        <f>+T101*(1+Assumptions!$P$80)</f>
        <v>1.3458683383241299</v>
      </c>
      <c r="V101" s="49">
        <f>+U101*(1+Assumptions!$P$80)</f>
        <v>1.3727857050906125</v>
      </c>
      <c r="W101" s="49">
        <f>+V101*(1+Assumptions!$P$80)</f>
        <v>1.4002414191924248</v>
      </c>
      <c r="X101" s="49">
        <f>+W101*(1+Assumptions!$P$80)</f>
        <v>1.4282462475762734</v>
      </c>
      <c r="Y101" s="49">
        <f>+X101*(1+Assumptions!$P$80)</f>
        <v>1.4568111725277988</v>
      </c>
      <c r="Z101" s="49">
        <f>+Y101*(1+Assumptions!$P$80)</f>
        <v>1.4859473959783549</v>
      </c>
    </row>
    <row r="102" spans="2:31" hidden="1">
      <c r="B102" s="15"/>
      <c r="C102" s="15"/>
      <c r="D102" s="20"/>
      <c r="E102" s="20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31" hidden="1">
      <c r="B103" s="15" t="s">
        <v>582</v>
      </c>
      <c r="C103" s="15"/>
      <c r="D103" s="20"/>
      <c r="E103" s="20"/>
      <c r="F103" s="16">
        <f>+F98*Assumptions!$H$171*F100</f>
        <v>0</v>
      </c>
      <c r="G103" s="16">
        <f>+G98*Assumptions!$H$171*G100</f>
        <v>0</v>
      </c>
      <c r="H103" s="16">
        <f>+H98*Assumptions!$H$171*H100</f>
        <v>0</v>
      </c>
      <c r="I103" s="16">
        <f>+I98*Assumptions!$H$171*I100</f>
        <v>0</v>
      </c>
      <c r="J103" s="16">
        <f>+J98*Assumptions!$H$171*J100</f>
        <v>0</v>
      </c>
      <c r="K103" s="16">
        <f>+K98*Assumptions!$H$171*K100</f>
        <v>0</v>
      </c>
      <c r="L103" s="16">
        <f>+L98*Assumptions!$H$171*L100</f>
        <v>0</v>
      </c>
      <c r="M103" s="16">
        <f>+M98*Assumptions!$H$171*M100</f>
        <v>0</v>
      </c>
      <c r="N103" s="16">
        <f>+N98*Assumptions!$H$171*N100</f>
        <v>0</v>
      </c>
      <c r="O103" s="16">
        <f>+O98*Assumptions!$H$171*O100</f>
        <v>0</v>
      </c>
      <c r="P103" s="16">
        <f>+P98*Assumptions!$H$171*P100</f>
        <v>0</v>
      </c>
      <c r="Q103" s="16">
        <f>+Q98*Assumptions!$H$171*Q100</f>
        <v>0</v>
      </c>
      <c r="R103" s="16">
        <f>+R98*Assumptions!$H$171*R100</f>
        <v>0</v>
      </c>
      <c r="S103" s="16">
        <f>+S98*Assumptions!$H$171*S100</f>
        <v>0</v>
      </c>
      <c r="T103" s="16">
        <f>+T98*Assumptions!$H$171*T100</f>
        <v>0</v>
      </c>
      <c r="U103" s="16">
        <f>+U98*Assumptions!$H$171*U100</f>
        <v>0</v>
      </c>
      <c r="V103" s="16">
        <f>+V98*Assumptions!$H$171*V100</f>
        <v>0</v>
      </c>
      <c r="W103" s="16">
        <f>+W98*Assumptions!$H$171*W100</f>
        <v>0</v>
      </c>
      <c r="X103" s="16">
        <f>+X98*Assumptions!$H$171*X100</f>
        <v>0</v>
      </c>
      <c r="Y103" s="16">
        <f>+Y98*Assumptions!$H$171*Y100</f>
        <v>0</v>
      </c>
      <c r="Z103" s="16">
        <f>+Z98*Assumptions!$H$171*Z100</f>
        <v>0</v>
      </c>
    </row>
    <row r="104" spans="2:31" hidden="1">
      <c r="B104" s="15" t="s">
        <v>583</v>
      </c>
      <c r="C104" s="15"/>
      <c r="D104" s="20"/>
      <c r="E104" s="20"/>
      <c r="F104" s="22">
        <f>-F103*Assumptions!$P$58</f>
        <v>0</v>
      </c>
      <c r="G104" s="22">
        <f>-G103*Assumptions!$P$58</f>
        <v>0</v>
      </c>
      <c r="H104" s="22">
        <f>-H103*Assumptions!$P$58</f>
        <v>0</v>
      </c>
      <c r="I104" s="22">
        <f>-I103*Assumptions!$P$58</f>
        <v>0</v>
      </c>
      <c r="J104" s="22">
        <f>-J103*Assumptions!$P$58</f>
        <v>0</v>
      </c>
      <c r="K104" s="22">
        <f>-K103*Assumptions!$P$58</f>
        <v>0</v>
      </c>
      <c r="L104" s="22">
        <f>-L103*Assumptions!$P$58</f>
        <v>0</v>
      </c>
      <c r="M104" s="22">
        <f>-M103*Assumptions!$P$58</f>
        <v>0</v>
      </c>
      <c r="N104" s="22">
        <f>-N103*Assumptions!$P$58</f>
        <v>0</v>
      </c>
      <c r="O104" s="22">
        <f>-O103*Assumptions!$P$58</f>
        <v>0</v>
      </c>
      <c r="P104" s="22">
        <f>-P103*Assumptions!$P$58</f>
        <v>0</v>
      </c>
      <c r="Q104" s="22">
        <f>-Q103*Assumptions!$P$58</f>
        <v>0</v>
      </c>
      <c r="R104" s="22">
        <f>-R103*Assumptions!$P$58</f>
        <v>0</v>
      </c>
      <c r="S104" s="22">
        <f>-S103*Assumptions!$P$58</f>
        <v>0</v>
      </c>
      <c r="T104" s="22">
        <f>-T103*Assumptions!$P$58</f>
        <v>0</v>
      </c>
      <c r="U104" s="22">
        <f>-U103*Assumptions!$P$58</f>
        <v>0</v>
      </c>
      <c r="V104" s="22">
        <f>-V103*Assumptions!$P$58</f>
        <v>0</v>
      </c>
      <c r="W104" s="22">
        <f>-W103*Assumptions!$P$58</f>
        <v>0</v>
      </c>
      <c r="X104" s="22">
        <f>-X103*Assumptions!$P$58</f>
        <v>0</v>
      </c>
      <c r="Y104" s="22">
        <f>-Y103*Assumptions!$P$58</f>
        <v>0</v>
      </c>
      <c r="Z104" s="22">
        <f>-Z103*Assumptions!$P$58</f>
        <v>0</v>
      </c>
    </row>
    <row r="105" spans="2:31" hidden="1">
      <c r="B105" s="15" t="s">
        <v>593</v>
      </c>
      <c r="C105" s="15"/>
      <c r="D105" s="20"/>
      <c r="E105" s="20"/>
      <c r="F105" s="76">
        <f>+F110*Assumptions!$P$91</f>
        <v>0</v>
      </c>
      <c r="G105" s="76">
        <f>+G110*Assumptions!$P$91</f>
        <v>0</v>
      </c>
      <c r="H105" s="76">
        <f>+H110*Assumptions!$P$91</f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</row>
    <row r="106" spans="2:31" hidden="1">
      <c r="B106" s="62" t="s">
        <v>584</v>
      </c>
      <c r="C106" s="62"/>
      <c r="D106" s="62"/>
      <c r="E106" s="62"/>
      <c r="F106" s="58">
        <f>+SUM(F103:F105)</f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</row>
    <row r="107" spans="2:31" hidden="1"/>
    <row r="108" spans="2:31" hidden="1">
      <c r="B108" s="15" t="s">
        <v>585</v>
      </c>
      <c r="F108" s="16">
        <f>+F97*Assumptions!$P$123*'Phase III Pro Forma'!F101</f>
        <v>0</v>
      </c>
      <c r="G108" s="16">
        <f>+G97*Assumptions!$P$123*'Phase III Pro Forma'!G101</f>
        <v>0</v>
      </c>
      <c r="H108" s="16">
        <f>+H97*Assumptions!$P$123*'Phase III Pro Forma'!H101</f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E108" s="21">
        <v>0</v>
      </c>
    </row>
    <row r="109" spans="2:31" hidden="1">
      <c r="B109" s="15" t="s">
        <v>595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</row>
    <row r="110" spans="2:31" hidden="1">
      <c r="B110" s="62" t="s">
        <v>586</v>
      </c>
      <c r="C110" s="62"/>
      <c r="D110" s="62">
        <v>0</v>
      </c>
      <c r="E110" s="62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</row>
    <row r="111" spans="2:31" hidden="1">
      <c r="B111" s="15"/>
    </row>
    <row r="112" spans="2:31" hidden="1">
      <c r="B112" s="63" t="s">
        <v>587</v>
      </c>
      <c r="C112" s="63"/>
      <c r="D112" s="63"/>
      <c r="E112" s="63"/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</row>
    <row r="113" spans="2:26" hidden="1">
      <c r="B113" s="68" t="s">
        <v>588</v>
      </c>
      <c r="C113" s="66"/>
      <c r="D113" s="66"/>
      <c r="E113" s="66"/>
      <c r="F113" s="69" t="str">
        <f>+IFERROR(F112/F106,"")</f>
        <v/>
      </c>
      <c r="G113" s="69" t="str">
        <f t="shared" ref="G113:Z113" si="45">+IFERROR(G112/G106,"")</f>
        <v/>
      </c>
      <c r="H113" s="69" t="str">
        <f t="shared" si="45"/>
        <v/>
      </c>
      <c r="I113" s="70" t="str">
        <f t="shared" si="45"/>
        <v/>
      </c>
      <c r="J113" s="70" t="str">
        <f t="shared" si="45"/>
        <v/>
      </c>
      <c r="K113" s="70" t="str">
        <f t="shared" si="45"/>
        <v/>
      </c>
      <c r="L113" s="70" t="str">
        <f t="shared" si="45"/>
        <v/>
      </c>
      <c r="M113" s="70" t="str">
        <f t="shared" si="45"/>
        <v/>
      </c>
      <c r="N113" s="70" t="str">
        <f t="shared" si="45"/>
        <v/>
      </c>
      <c r="O113" s="70" t="str">
        <f t="shared" si="45"/>
        <v/>
      </c>
      <c r="P113" s="70" t="str">
        <f t="shared" si="45"/>
        <v/>
      </c>
      <c r="Q113" s="70" t="str">
        <f t="shared" si="45"/>
        <v/>
      </c>
      <c r="R113" s="70" t="str">
        <f t="shared" si="45"/>
        <v/>
      </c>
      <c r="S113" s="70" t="str">
        <f t="shared" si="45"/>
        <v/>
      </c>
      <c r="T113" s="70" t="str">
        <f t="shared" si="45"/>
        <v/>
      </c>
      <c r="U113" s="70" t="str">
        <f t="shared" si="45"/>
        <v/>
      </c>
      <c r="V113" s="70" t="str">
        <f t="shared" si="45"/>
        <v/>
      </c>
      <c r="W113" s="70" t="str">
        <f t="shared" si="45"/>
        <v/>
      </c>
      <c r="X113" s="70" t="str">
        <f t="shared" si="45"/>
        <v/>
      </c>
      <c r="Y113" s="70" t="str">
        <f t="shared" si="45"/>
        <v/>
      </c>
      <c r="Z113" s="70" t="str">
        <f t="shared" si="45"/>
        <v/>
      </c>
    </row>
    <row r="114" spans="2:26" hidden="1">
      <c r="B114" s="68" t="s">
        <v>589</v>
      </c>
      <c r="C114" s="66"/>
      <c r="D114" s="66"/>
      <c r="E114" s="66"/>
      <c r="F114" s="67">
        <f>+F112/Assumptions!$P$133</f>
        <v>0</v>
      </c>
      <c r="G114" s="67">
        <f>+G112/Assumptions!$P$133</f>
        <v>0</v>
      </c>
      <c r="H114" s="67">
        <f>+H112/Assumptions!$P$133</f>
        <v>0</v>
      </c>
      <c r="I114" s="67">
        <f>+I112/Assumptions!$P$133</f>
        <v>0</v>
      </c>
      <c r="J114" s="67">
        <f>+J112/Assumptions!$P$133</f>
        <v>0</v>
      </c>
      <c r="K114" s="67">
        <f>+K112/Assumptions!$P$133</f>
        <v>0</v>
      </c>
      <c r="L114" s="67">
        <f>+L112/Assumptions!$P$133</f>
        <v>0</v>
      </c>
      <c r="M114" s="67">
        <f>+M112/Assumptions!$P$133</f>
        <v>0</v>
      </c>
      <c r="N114" s="67">
        <f>+N112/Assumptions!$P$133</f>
        <v>0</v>
      </c>
      <c r="O114" s="67">
        <f>+O112/Assumptions!$P$133</f>
        <v>0</v>
      </c>
      <c r="P114" s="67">
        <f>+P112/Assumptions!$P$133</f>
        <v>0</v>
      </c>
      <c r="Q114" s="67">
        <f>+Q112/Assumptions!$P$133</f>
        <v>0</v>
      </c>
      <c r="R114" s="67">
        <f>+R112/Assumptions!$P$133</f>
        <v>0</v>
      </c>
      <c r="S114" s="67">
        <f>+S112/Assumptions!$P$133</f>
        <v>0</v>
      </c>
      <c r="T114" s="67">
        <f>+T112/Assumptions!$P$133</f>
        <v>0</v>
      </c>
      <c r="U114" s="67">
        <f>+U112/Assumptions!$P$133</f>
        <v>0</v>
      </c>
      <c r="V114" s="67">
        <f>+V112/Assumptions!$P$133</f>
        <v>0</v>
      </c>
      <c r="W114" s="67">
        <f>+W112/Assumptions!$P$133</f>
        <v>0</v>
      </c>
      <c r="X114" s="67">
        <f>+X112/Assumptions!$P$133</f>
        <v>0</v>
      </c>
      <c r="Y114" s="67">
        <f>+Y112/Assumptions!$P$133</f>
        <v>0</v>
      </c>
      <c r="Z114" s="67">
        <f>+Z112/Assumptions!$P$133</f>
        <v>0</v>
      </c>
    </row>
    <row r="115" spans="2:26" ht="328.5" hidden="1" customHeight="1"/>
    <row r="116" spans="2:26">
      <c r="B116" s="73" t="s">
        <v>104</v>
      </c>
      <c r="C116" s="74"/>
      <c r="D116" s="74"/>
      <c r="E116" s="74"/>
      <c r="F116" s="75">
        <f>+Assumptions!$H$22</f>
        <v>45657</v>
      </c>
      <c r="G116" s="75">
        <f>+EOMONTH(F116,12)</f>
        <v>46022</v>
      </c>
      <c r="H116" s="75">
        <f t="shared" ref="H116:Z116" si="46">+EOMONTH(G116,12)</f>
        <v>46387</v>
      </c>
      <c r="I116" s="75">
        <f t="shared" si="46"/>
        <v>46752</v>
      </c>
      <c r="J116" s="75">
        <f t="shared" si="46"/>
        <v>47118</v>
      </c>
      <c r="K116" s="75">
        <f t="shared" si="46"/>
        <v>47483</v>
      </c>
      <c r="L116" s="75">
        <f t="shared" si="46"/>
        <v>47848</v>
      </c>
      <c r="M116" s="75">
        <f t="shared" si="46"/>
        <v>48213</v>
      </c>
      <c r="N116" s="75">
        <f t="shared" si="46"/>
        <v>48579</v>
      </c>
      <c r="O116" s="75">
        <f t="shared" si="46"/>
        <v>48944</v>
      </c>
      <c r="P116" s="75">
        <f t="shared" si="46"/>
        <v>49309</v>
      </c>
      <c r="Q116" s="75">
        <f t="shared" si="46"/>
        <v>49674</v>
      </c>
      <c r="R116" s="75">
        <f t="shared" si="46"/>
        <v>50040</v>
      </c>
      <c r="S116" s="75">
        <f t="shared" si="46"/>
        <v>50405</v>
      </c>
      <c r="T116" s="75">
        <f t="shared" si="46"/>
        <v>50770</v>
      </c>
      <c r="U116" s="75">
        <f t="shared" si="46"/>
        <v>51135</v>
      </c>
      <c r="V116" s="75">
        <f t="shared" si="46"/>
        <v>51501</v>
      </c>
      <c r="W116" s="75">
        <f t="shared" si="46"/>
        <v>51866</v>
      </c>
      <c r="X116" s="75">
        <f t="shared" si="46"/>
        <v>52231</v>
      </c>
      <c r="Y116" s="75">
        <f t="shared" si="46"/>
        <v>52596</v>
      </c>
      <c r="Z116" s="75">
        <f t="shared" si="46"/>
        <v>52962</v>
      </c>
    </row>
    <row r="117" spans="2:26">
      <c r="B117" s="15" t="s">
        <v>575</v>
      </c>
      <c r="C117" s="15"/>
      <c r="D117" s="20"/>
      <c r="E117" s="20"/>
      <c r="F117" s="22">
        <f>+IF(AND(F116&gt;=Assumptions!$H$26,F116&lt;Assumptions!$H$28),SUM(Assumptions!$H$204:$H$205)/ROUNDUP((Assumptions!$H$27/12),0),0)</f>
        <v>0</v>
      </c>
      <c r="G117" s="22">
        <f>+IF(AND(G116&gt;=Assumptions!$H$26,G116&lt;Assumptions!$H$28),SUM(Assumptions!$H$204:$H$205)/ROUNDUP((Assumptions!$H$27/12),0),0)</f>
        <v>0</v>
      </c>
      <c r="H117" s="22">
        <f>+IF(AND(H116&gt;=Assumptions!$H$26,H116&lt;Assumptions!$H$28),SUM(Assumptions!$H$204:$H$205)/ROUNDUP((Assumptions!$H$27/12),0),0)</f>
        <v>0</v>
      </c>
      <c r="I117" s="22">
        <f>+IF(AND(I116&gt;=Assumptions!$H$26,I116&lt;Assumptions!$H$28),SUM(Assumptions!$H$204:$H$205)/ROUNDUP((Assumptions!$H$27/12),0),0)</f>
        <v>99022</v>
      </c>
      <c r="J117" s="22">
        <f>+IF(AND(J116&gt;=Assumptions!$H$26,J116&lt;Assumptions!$H$28),SUM(Assumptions!$H$204:$H$205)/ROUNDUP((Assumptions!$H$27/12),0),0)</f>
        <v>99022</v>
      </c>
      <c r="K117" s="22">
        <f>+IF(AND(K116&gt;=Assumptions!$H$26,K116&lt;Assumptions!$H$28),SUM(Assumptions!$H$204:$H$205)/ROUNDUP((Assumptions!$H$27/12),0),0)</f>
        <v>0</v>
      </c>
      <c r="L117" s="22">
        <f>+IF(AND(L116&gt;=Assumptions!$H$26,L116&lt;Assumptions!$H$28),SUM(Assumptions!$H$204:$H$205)/ROUNDUP((Assumptions!$H$27/12),0),0)</f>
        <v>0</v>
      </c>
      <c r="M117" s="22">
        <f>+IF(AND(M116&gt;=Assumptions!$H$26,M116&lt;Assumptions!$H$28),SUM(Assumptions!$H$204:$H$205)/ROUNDUP((Assumptions!$H$27/12),0),0)</f>
        <v>0</v>
      </c>
      <c r="N117" s="22">
        <f>+IF(AND(N116&gt;=Assumptions!$H$26,N116&lt;Assumptions!$H$28),SUM(Assumptions!$H$204:$H$205)/ROUNDUP((Assumptions!$H$27/12),0),0)</f>
        <v>0</v>
      </c>
      <c r="O117" s="22">
        <f>+IF(AND(O116&gt;=Assumptions!$H$26,O116&lt;Assumptions!$H$28),SUM(Assumptions!$H$204:$H$205)/ROUNDUP((Assumptions!$H$27/12),0),0)</f>
        <v>0</v>
      </c>
      <c r="P117" s="22">
        <f>+IF(AND(P116&gt;=Assumptions!$H$26,P116&lt;Assumptions!$H$28),SUM(Assumptions!$H$204:$H$205)/ROUNDUP((Assumptions!$H$27/12),0),0)</f>
        <v>0</v>
      </c>
      <c r="Q117" s="22">
        <f>+IF(AND(Q116&gt;=Assumptions!$H$26,Q116&lt;Assumptions!$H$28),SUM(Assumptions!$H$204:$H$205)/ROUNDUP((Assumptions!$H$27/12),0),0)</f>
        <v>0</v>
      </c>
      <c r="R117" s="22">
        <f>+IF(AND(R116&gt;=Assumptions!$H$26,R116&lt;Assumptions!$H$28),SUM(Assumptions!$H$204:$H$205)/ROUNDUP((Assumptions!$H$27/12),0),0)</f>
        <v>0</v>
      </c>
      <c r="S117" s="22">
        <f>+IF(AND(S116&gt;=Assumptions!$H$26,S116&lt;Assumptions!$H$28),SUM(Assumptions!$H$204:$H$205)/ROUNDUP((Assumptions!$H$27/12),0),0)</f>
        <v>0</v>
      </c>
      <c r="T117" s="22">
        <f>+IF(AND(T116&gt;=Assumptions!$H$26,T116&lt;Assumptions!$H$28),SUM(Assumptions!$H$204:$H$205)/ROUNDUP((Assumptions!$H$27/12),0),0)</f>
        <v>0</v>
      </c>
      <c r="U117" s="22">
        <f>+IF(AND(U116&gt;=Assumptions!$H$26,U116&lt;Assumptions!$H$28),SUM(Assumptions!$H$204:$H$205)/ROUNDUP((Assumptions!$H$27/12),0),0)</f>
        <v>0</v>
      </c>
      <c r="V117" s="22">
        <f>+IF(AND(V116&gt;=Assumptions!$H$26,V116&lt;Assumptions!$H$28),SUM(Assumptions!$H$204:$H$205)/ROUNDUP((Assumptions!$H$27/12),0),0)</f>
        <v>0</v>
      </c>
      <c r="W117" s="22">
        <f>+IF(AND(W116&gt;=Assumptions!$H$26,W116&lt;Assumptions!$H$28),SUM(Assumptions!$H$204:$H$205)/ROUNDUP((Assumptions!$H$27/12),0),0)</f>
        <v>0</v>
      </c>
      <c r="X117" s="22">
        <f>+IF(AND(X116&gt;=Assumptions!$H$26,X116&lt;Assumptions!$H$28),SUM(Assumptions!$H$204:$H$205)/ROUNDUP((Assumptions!$H$27/12),0),0)</f>
        <v>0</v>
      </c>
      <c r="Y117" s="22">
        <f>+IF(AND(Y116&gt;=Assumptions!$H$26,Y116&lt;Assumptions!$H$28),SUM(Assumptions!$H$204:$H$205)/ROUNDUP((Assumptions!$H$27/12),0),0)</f>
        <v>0</v>
      </c>
      <c r="Z117" s="22">
        <f>+IF(AND(Z116&gt;=Assumptions!$H$26,Z116&lt;Assumptions!$H$28),SUM(Assumptions!$H$204:$H$205)/ROUNDUP((Assumptions!$H$27/12),0),0)</f>
        <v>0</v>
      </c>
    </row>
    <row r="118" spans="2:26">
      <c r="B118" s="15" t="s">
        <v>577</v>
      </c>
      <c r="C118" s="15"/>
      <c r="D118" s="22"/>
      <c r="E118" s="22"/>
      <c r="F118" s="22">
        <f>+F119-E119</f>
        <v>0</v>
      </c>
      <c r="G118" s="22">
        <f t="shared" ref="G118:Z118" si="47">+G119-F119</f>
        <v>0</v>
      </c>
      <c r="H118" s="22">
        <f t="shared" si="47"/>
        <v>0</v>
      </c>
      <c r="I118" s="22">
        <f t="shared" si="47"/>
        <v>396.08800000000002</v>
      </c>
      <c r="J118" s="22">
        <f t="shared" si="47"/>
        <v>396.08800000000002</v>
      </c>
      <c r="K118" s="22">
        <f t="shared" si="47"/>
        <v>0</v>
      </c>
      <c r="L118" s="22">
        <f t="shared" si="47"/>
        <v>0</v>
      </c>
      <c r="M118" s="22">
        <f t="shared" si="47"/>
        <v>0</v>
      </c>
      <c r="N118" s="22">
        <f t="shared" si="47"/>
        <v>0</v>
      </c>
      <c r="O118" s="22">
        <f t="shared" si="47"/>
        <v>0</v>
      </c>
      <c r="P118" s="22">
        <f t="shared" si="47"/>
        <v>0</v>
      </c>
      <c r="Q118" s="22">
        <f t="shared" si="47"/>
        <v>0</v>
      </c>
      <c r="R118" s="22">
        <f t="shared" si="47"/>
        <v>0</v>
      </c>
      <c r="S118" s="22">
        <f t="shared" si="47"/>
        <v>0</v>
      </c>
      <c r="T118" s="22">
        <f t="shared" si="47"/>
        <v>0</v>
      </c>
      <c r="U118" s="22">
        <f t="shared" si="47"/>
        <v>0</v>
      </c>
      <c r="V118" s="22">
        <f t="shared" si="47"/>
        <v>0</v>
      </c>
      <c r="W118" s="22">
        <f t="shared" si="47"/>
        <v>0</v>
      </c>
      <c r="X118" s="22">
        <f t="shared" si="47"/>
        <v>0</v>
      </c>
      <c r="Y118" s="22">
        <f t="shared" si="47"/>
        <v>0</v>
      </c>
      <c r="Z118" s="22">
        <f t="shared" si="47"/>
        <v>0</v>
      </c>
    </row>
    <row r="119" spans="2:26">
      <c r="B119" s="15" t="s">
        <v>578</v>
      </c>
      <c r="C119" s="15"/>
      <c r="D119" s="20"/>
      <c r="E119" s="20"/>
      <c r="F119" s="22">
        <f>+F121*SUM(Assumptions!$P$49:$P$50)</f>
        <v>0</v>
      </c>
      <c r="G119" s="22">
        <f>+G121*SUM(Assumptions!$P$49:$P$50)</f>
        <v>0</v>
      </c>
      <c r="H119" s="22">
        <f>+H121*SUM(Assumptions!$P$49:$P$50)</f>
        <v>0</v>
      </c>
      <c r="I119" s="22">
        <f>+I121*SUM(Assumptions!$P$49:$P$50)</f>
        <v>396.08800000000002</v>
      </c>
      <c r="J119" s="22">
        <f>+J121*SUM(Assumptions!$P$49:$P$50)</f>
        <v>792.17600000000004</v>
      </c>
      <c r="K119" s="22">
        <f>+K121*SUM(Assumptions!$P$49:$P$50)</f>
        <v>792.17600000000004</v>
      </c>
      <c r="L119" s="22">
        <f>+L121*SUM(Assumptions!$P$49:$P$50)</f>
        <v>792.17600000000004</v>
      </c>
      <c r="M119" s="22">
        <f>+M121*SUM(Assumptions!$P$49:$P$50)</f>
        <v>792.17600000000004</v>
      </c>
      <c r="N119" s="22">
        <f>+N121*SUM(Assumptions!$P$49:$P$50)</f>
        <v>792.17600000000004</v>
      </c>
      <c r="O119" s="22">
        <f>+O121*SUM(Assumptions!$P$49:$P$50)</f>
        <v>792.17600000000004</v>
      </c>
      <c r="P119" s="22">
        <f>+P121*SUM(Assumptions!$P$49:$P$50)</f>
        <v>792.17600000000004</v>
      </c>
      <c r="Q119" s="22">
        <f>+Q121*SUM(Assumptions!$P$49:$P$50)</f>
        <v>792.17600000000004</v>
      </c>
      <c r="R119" s="22">
        <f>+R121*SUM(Assumptions!$P$49:$P$50)</f>
        <v>792.17600000000004</v>
      </c>
      <c r="S119" s="22">
        <f>+S121*SUM(Assumptions!$P$49:$P$50)</f>
        <v>792.17600000000004</v>
      </c>
      <c r="T119" s="22">
        <f>+T121*SUM(Assumptions!$P$49:$P$50)</f>
        <v>792.17600000000004</v>
      </c>
      <c r="U119" s="22">
        <f>+U121*SUM(Assumptions!$P$49:$P$50)</f>
        <v>792.17600000000004</v>
      </c>
      <c r="V119" s="22">
        <f>+V121*SUM(Assumptions!$P$49:$P$50)</f>
        <v>792.17600000000004</v>
      </c>
      <c r="W119" s="22">
        <f>+W121*SUM(Assumptions!$P$49:$P$50)</f>
        <v>792.17600000000004</v>
      </c>
      <c r="X119" s="22">
        <f>+X121*SUM(Assumptions!$P$49:$P$50)</f>
        <v>792.17600000000004</v>
      </c>
      <c r="Y119" s="22">
        <f>+Y121*SUM(Assumptions!$P$49:$P$50)</f>
        <v>792.17600000000004</v>
      </c>
      <c r="Z119" s="22">
        <f>+Z121*SUM(Assumptions!$P$49:$P$50)</f>
        <v>792.17600000000004</v>
      </c>
    </row>
    <row r="120" spans="2:26">
      <c r="B120" s="15" t="s">
        <v>576</v>
      </c>
      <c r="C120" s="15"/>
      <c r="D120" s="22">
        <v>0</v>
      </c>
      <c r="E120" s="22"/>
      <c r="F120" s="22">
        <f>+D120+F117</f>
        <v>0</v>
      </c>
      <c r="G120" s="22">
        <f t="shared" ref="G120:Z120" si="48">+F120+G117</f>
        <v>0</v>
      </c>
      <c r="H120" s="22">
        <f t="shared" si="48"/>
        <v>0</v>
      </c>
      <c r="I120" s="22">
        <f t="shared" si="48"/>
        <v>99022</v>
      </c>
      <c r="J120" s="22">
        <f t="shared" si="48"/>
        <v>198044</v>
      </c>
      <c r="K120" s="22">
        <f t="shared" si="48"/>
        <v>198044</v>
      </c>
      <c r="L120" s="22">
        <f t="shared" si="48"/>
        <v>198044</v>
      </c>
      <c r="M120" s="22">
        <f t="shared" si="48"/>
        <v>198044</v>
      </c>
      <c r="N120" s="22">
        <f t="shared" si="48"/>
        <v>198044</v>
      </c>
      <c r="O120" s="22">
        <f t="shared" si="48"/>
        <v>198044</v>
      </c>
      <c r="P120" s="22">
        <f t="shared" si="48"/>
        <v>198044</v>
      </c>
      <c r="Q120" s="22">
        <f t="shared" si="48"/>
        <v>198044</v>
      </c>
      <c r="R120" s="22">
        <f t="shared" si="48"/>
        <v>198044</v>
      </c>
      <c r="S120" s="22">
        <f t="shared" si="48"/>
        <v>198044</v>
      </c>
      <c r="T120" s="22">
        <f t="shared" si="48"/>
        <v>198044</v>
      </c>
      <c r="U120" s="22">
        <f t="shared" si="48"/>
        <v>198044</v>
      </c>
      <c r="V120" s="22">
        <f t="shared" si="48"/>
        <v>198044</v>
      </c>
      <c r="W120" s="22">
        <f t="shared" si="48"/>
        <v>198044</v>
      </c>
      <c r="X120" s="22">
        <f t="shared" si="48"/>
        <v>198044</v>
      </c>
      <c r="Y120" s="22">
        <f t="shared" si="48"/>
        <v>198044</v>
      </c>
      <c r="Z120" s="22">
        <f t="shared" si="48"/>
        <v>198044</v>
      </c>
    </row>
    <row r="121" spans="2:26">
      <c r="B121" s="15" t="s">
        <v>579</v>
      </c>
      <c r="C121" s="15"/>
      <c r="D121" s="22"/>
      <c r="E121" s="22"/>
      <c r="F121" s="49">
        <f t="shared" ref="F121:Z121" si="49">+F120/SUM($F117:$Z117)</f>
        <v>0</v>
      </c>
      <c r="G121" s="49">
        <f t="shared" si="49"/>
        <v>0</v>
      </c>
      <c r="H121" s="49">
        <f t="shared" si="49"/>
        <v>0</v>
      </c>
      <c r="I121" s="49">
        <f t="shared" si="49"/>
        <v>0.5</v>
      </c>
      <c r="J121" s="49">
        <f t="shared" si="49"/>
        <v>1</v>
      </c>
      <c r="K121" s="49">
        <f t="shared" si="49"/>
        <v>1</v>
      </c>
      <c r="L121" s="49">
        <f t="shared" si="49"/>
        <v>1</v>
      </c>
      <c r="M121" s="49">
        <f t="shared" si="49"/>
        <v>1</v>
      </c>
      <c r="N121" s="49">
        <f t="shared" si="49"/>
        <v>1</v>
      </c>
      <c r="O121" s="49">
        <f t="shared" si="49"/>
        <v>1</v>
      </c>
      <c r="P121" s="49">
        <f t="shared" si="49"/>
        <v>1</v>
      </c>
      <c r="Q121" s="49">
        <f t="shared" si="49"/>
        <v>1</v>
      </c>
      <c r="R121" s="49">
        <f t="shared" si="49"/>
        <v>1</v>
      </c>
      <c r="S121" s="49">
        <f t="shared" si="49"/>
        <v>1</v>
      </c>
      <c r="T121" s="49">
        <f t="shared" si="49"/>
        <v>1</v>
      </c>
      <c r="U121" s="49">
        <f t="shared" si="49"/>
        <v>1</v>
      </c>
      <c r="V121" s="49">
        <f t="shared" si="49"/>
        <v>1</v>
      </c>
      <c r="W121" s="49">
        <f t="shared" si="49"/>
        <v>1</v>
      </c>
      <c r="X121" s="49">
        <f t="shared" si="49"/>
        <v>1</v>
      </c>
      <c r="Y121" s="49">
        <f t="shared" si="49"/>
        <v>1</v>
      </c>
      <c r="Z121" s="49">
        <f t="shared" si="49"/>
        <v>1</v>
      </c>
    </row>
    <row r="122" spans="2:26">
      <c r="B122" s="15"/>
      <c r="C122" s="15"/>
      <c r="D122" s="20"/>
      <c r="E122" s="20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>
      <c r="B123" s="15" t="s">
        <v>580</v>
      </c>
      <c r="C123" s="15"/>
      <c r="D123" s="22"/>
      <c r="E123" s="22"/>
      <c r="F123" s="49">
        <v>1</v>
      </c>
      <c r="G123" s="49">
        <f>+F123*(1+Assumptions!$P$74)</f>
        <v>1.02</v>
      </c>
      <c r="H123" s="49">
        <f>+G123*(1+Assumptions!$P$74)</f>
        <v>1.0404</v>
      </c>
      <c r="I123" s="49">
        <f>+H123*(1+Assumptions!$P$74)</f>
        <v>1.0612079999999999</v>
      </c>
      <c r="J123" s="49">
        <f>+I123*(1+Assumptions!$P$74)</f>
        <v>1.08243216</v>
      </c>
      <c r="K123" s="49">
        <f>+J123*(1+Assumptions!$P$74)</f>
        <v>1.1040808032</v>
      </c>
      <c r="L123" s="49">
        <f>+K123*(1+Assumptions!$P$74)</f>
        <v>1.1261624192640001</v>
      </c>
      <c r="M123" s="49">
        <f>+L123*(1+Assumptions!$P$74)</f>
        <v>1.14868566764928</v>
      </c>
      <c r="N123" s="49">
        <f>+M123*(1+Assumptions!$P$74)</f>
        <v>1.1716593810022657</v>
      </c>
      <c r="O123" s="49">
        <f>+N123*(1+Assumptions!$P$74)</f>
        <v>1.1950925686223111</v>
      </c>
      <c r="P123" s="49">
        <f>+O123*(1+Assumptions!$P$74)</f>
        <v>1.2189944199947573</v>
      </c>
      <c r="Q123" s="49">
        <f>+P123*(1+Assumptions!$P$74)</f>
        <v>1.2433743083946525</v>
      </c>
      <c r="R123" s="49">
        <f>+Q123*(1+Assumptions!$P$74)</f>
        <v>1.2682417945625455</v>
      </c>
      <c r="S123" s="49">
        <f>+R123*(1+Assumptions!$P$74)</f>
        <v>1.2936066304537963</v>
      </c>
      <c r="T123" s="49">
        <f>+S123*(1+Assumptions!$P$74)</f>
        <v>1.3194787630628724</v>
      </c>
      <c r="U123" s="49">
        <f>+T123*(1+Assumptions!$P$74)</f>
        <v>1.3458683383241299</v>
      </c>
      <c r="V123" s="49">
        <f>+U123*(1+Assumptions!$P$74)</f>
        <v>1.3727857050906125</v>
      </c>
      <c r="W123" s="49">
        <f>+V123*(1+Assumptions!$P$74)</f>
        <v>1.4002414191924248</v>
      </c>
      <c r="X123" s="49">
        <f>+W123*(1+Assumptions!$P$74)</f>
        <v>1.4282462475762734</v>
      </c>
      <c r="Y123" s="49">
        <f>+X123*(1+Assumptions!$P$74)</f>
        <v>1.4568111725277988</v>
      </c>
      <c r="Z123" s="49">
        <f>+Y123*(1+Assumptions!$P$74)</f>
        <v>1.4859473959783549</v>
      </c>
    </row>
    <row r="124" spans="2:26">
      <c r="B124" s="15" t="s">
        <v>581</v>
      </c>
      <c r="C124" s="15"/>
      <c r="D124" s="22"/>
      <c r="E124" s="22"/>
      <c r="F124" s="49">
        <v>1</v>
      </c>
      <c r="G124" s="49">
        <f>+F124*(1+Assumptions!$P$82)</f>
        <v>1.02</v>
      </c>
      <c r="H124" s="49">
        <f>+G124*(1+Assumptions!$P$82)</f>
        <v>1.0404</v>
      </c>
      <c r="I124" s="49">
        <f>+H124*(1+Assumptions!$P$82)</f>
        <v>1.0612079999999999</v>
      </c>
      <c r="J124" s="49">
        <f>+I124*(1+Assumptions!$P$82)</f>
        <v>1.08243216</v>
      </c>
      <c r="K124" s="49">
        <f>+J124*(1+Assumptions!$P$82)</f>
        <v>1.1040808032</v>
      </c>
      <c r="L124" s="49">
        <f>+K124*(1+Assumptions!$P$82)</f>
        <v>1.1261624192640001</v>
      </c>
      <c r="M124" s="49">
        <f>+L124*(1+Assumptions!$P$82)</f>
        <v>1.14868566764928</v>
      </c>
      <c r="N124" s="49">
        <f>+M124*(1+Assumptions!$P$82)</f>
        <v>1.1716593810022657</v>
      </c>
      <c r="O124" s="49">
        <f>+N124*(1+Assumptions!$P$82)</f>
        <v>1.1950925686223111</v>
      </c>
      <c r="P124" s="49">
        <f>+O124*(1+Assumptions!$P$82)</f>
        <v>1.2189944199947573</v>
      </c>
      <c r="Q124" s="49">
        <f>+P124*(1+Assumptions!$P$82)</f>
        <v>1.2433743083946525</v>
      </c>
      <c r="R124" s="49">
        <f>+Q124*(1+Assumptions!$P$82)</f>
        <v>1.2682417945625455</v>
      </c>
      <c r="S124" s="49">
        <f>+R124*(1+Assumptions!$P$82)</f>
        <v>1.2936066304537963</v>
      </c>
      <c r="T124" s="49">
        <f>+S124*(1+Assumptions!$P$82)</f>
        <v>1.3194787630628724</v>
      </c>
      <c r="U124" s="49">
        <f>+T124*(1+Assumptions!$P$82)</f>
        <v>1.3458683383241299</v>
      </c>
      <c r="V124" s="49">
        <f>+U124*(1+Assumptions!$P$82)</f>
        <v>1.3727857050906125</v>
      </c>
      <c r="W124" s="49">
        <f>+V124*(1+Assumptions!$P$82)</f>
        <v>1.4002414191924248</v>
      </c>
      <c r="X124" s="49">
        <f>+W124*(1+Assumptions!$P$82)</f>
        <v>1.4282462475762734</v>
      </c>
      <c r="Y124" s="49">
        <f>+X124*(1+Assumptions!$P$82)</f>
        <v>1.4568111725277988</v>
      </c>
      <c r="Z124" s="49">
        <f>+Y124*(1+Assumptions!$P$82)</f>
        <v>1.4859473959783549</v>
      </c>
    </row>
    <row r="125" spans="2:26">
      <c r="B125" s="15"/>
      <c r="C125" s="15"/>
      <c r="D125" s="20"/>
      <c r="E125" s="20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>
      <c r="B126" s="15" t="s">
        <v>582</v>
      </c>
      <c r="C126" s="15"/>
      <c r="D126" s="20"/>
      <c r="E126" s="20"/>
      <c r="F126" s="16">
        <f>+F121*Assumptions!$H$203*F123</f>
        <v>0</v>
      </c>
      <c r="G126" s="16">
        <f>+G121*Assumptions!$H$203*G123</f>
        <v>0</v>
      </c>
      <c r="H126" s="16">
        <f>+H121*Assumptions!$H$203*H123</f>
        <v>0</v>
      </c>
      <c r="I126" s="16">
        <f>+I121*Assumptions!$H$203*I123</f>
        <v>1146551.1339942275</v>
      </c>
      <c r="J126" s="16">
        <f>+J121*Assumptions!$H$203*J123</f>
        <v>2338964.3133482239</v>
      </c>
      <c r="K126" s="16">
        <f>+K121*Assumptions!$H$203*K123</f>
        <v>2385743.5996151888</v>
      </c>
      <c r="L126" s="16">
        <f>+L121*Assumptions!$H$203*L123</f>
        <v>2433458.4716074923</v>
      </c>
      <c r="M126" s="16">
        <f>+M121*Assumptions!$H$203*M123</f>
        <v>2482127.6410396425</v>
      </c>
      <c r="N126" s="16">
        <f>+N121*Assumptions!$H$203*N123</f>
        <v>2531770.1938604354</v>
      </c>
      <c r="O126" s="16">
        <f>+O121*Assumptions!$H$203*O123</f>
        <v>2582405.5977376439</v>
      </c>
      <c r="P126" s="16">
        <f>+P121*Assumptions!$H$203*P123</f>
        <v>2634053.7096923972</v>
      </c>
      <c r="Q126" s="16">
        <f>+Q121*Assumptions!$H$203*Q123</f>
        <v>2686734.783886245</v>
      </c>
      <c r="R126" s="16">
        <f>+R121*Assumptions!$H$203*R123</f>
        <v>2740469.4795639697</v>
      </c>
      <c r="S126" s="16">
        <f>+S121*Assumptions!$H$203*S123</f>
        <v>2795278.8691552491</v>
      </c>
      <c r="T126" s="16">
        <f>+T121*Assumptions!$H$203*T123</f>
        <v>2851184.4465383543</v>
      </c>
      <c r="U126" s="16">
        <f>+U121*Assumptions!$H$203*U123</f>
        <v>2908208.1354691214</v>
      </c>
      <c r="V126" s="16">
        <f>+V121*Assumptions!$H$203*V123</f>
        <v>2966372.2981785038</v>
      </c>
      <c r="W126" s="16">
        <f>+W121*Assumptions!$H$203*W123</f>
        <v>3025699.7441420741</v>
      </c>
      <c r="X126" s="16">
        <f>+X121*Assumptions!$H$203*X123</f>
        <v>3086213.7390249157</v>
      </c>
      <c r="Y126" s="16">
        <f>+Y121*Assumptions!$H$203*Y123</f>
        <v>3147938.0138054141</v>
      </c>
      <c r="Z126" s="16">
        <f>+Z121*Assumptions!$H$203*Z123</f>
        <v>3210896.7740815226</v>
      </c>
    </row>
    <row r="127" spans="2:26">
      <c r="B127" s="15" t="s">
        <v>583</v>
      </c>
      <c r="C127" s="15"/>
      <c r="D127" s="20"/>
      <c r="E127" s="20"/>
      <c r="F127" s="22">
        <f>-F126*Assumptions!$P$60</f>
        <v>0</v>
      </c>
      <c r="G127" s="22">
        <f>-G126*Assumptions!$P$60</f>
        <v>0</v>
      </c>
      <c r="H127" s="22">
        <f>-H126*Assumptions!$P$60</f>
        <v>0</v>
      </c>
      <c r="I127" s="22">
        <f>-I126*Assumptions!$P$60</f>
        <v>-114655.11339942276</v>
      </c>
      <c r="J127" s="22">
        <f>-J126*Assumptions!$P$60</f>
        <v>-233896.43133482241</v>
      </c>
      <c r="K127" s="22">
        <f>-K126*Assumptions!$P$60</f>
        <v>-238574.3599615189</v>
      </c>
      <c r="L127" s="22">
        <f>-L126*Assumptions!$P$60</f>
        <v>-243345.84716074925</v>
      </c>
      <c r="M127" s="22">
        <f>-M126*Assumptions!$P$60</f>
        <v>-248212.76410396426</v>
      </c>
      <c r="N127" s="22">
        <f>-N126*Assumptions!$P$60</f>
        <v>-253177.01938604354</v>
      </c>
      <c r="O127" s="22">
        <f>-O126*Assumptions!$P$60</f>
        <v>-258240.5597737644</v>
      </c>
      <c r="P127" s="22">
        <f>-P126*Assumptions!$P$60</f>
        <v>-263405.37096923974</v>
      </c>
      <c r="Q127" s="22">
        <f>-Q126*Assumptions!$P$60</f>
        <v>-268673.4783886245</v>
      </c>
      <c r="R127" s="22">
        <f>-R126*Assumptions!$P$60</f>
        <v>-274046.94795639697</v>
      </c>
      <c r="S127" s="22">
        <f>-S126*Assumptions!$P$60</f>
        <v>-279527.8869155249</v>
      </c>
      <c r="T127" s="22">
        <f>-T126*Assumptions!$P$60</f>
        <v>-285118.44465383544</v>
      </c>
      <c r="U127" s="22">
        <f>-U126*Assumptions!$P$60</f>
        <v>-290820.81354691216</v>
      </c>
      <c r="V127" s="22">
        <f>-V126*Assumptions!$P$60</f>
        <v>-296637.2298178504</v>
      </c>
      <c r="W127" s="22">
        <f>-W126*Assumptions!$P$60</f>
        <v>-302569.97441420745</v>
      </c>
      <c r="X127" s="22">
        <f>-X126*Assumptions!$P$60</f>
        <v>-308621.37390249158</v>
      </c>
      <c r="Y127" s="22">
        <f>-Y126*Assumptions!$P$60</f>
        <v>-314793.80138054141</v>
      </c>
      <c r="Z127" s="22">
        <f>-Z126*Assumptions!$P$60</f>
        <v>-321089.67740815226</v>
      </c>
    </row>
    <row r="128" spans="2:26">
      <c r="B128" s="62" t="s">
        <v>584</v>
      </c>
      <c r="C128" s="62"/>
      <c r="D128" s="62"/>
      <c r="E128" s="62"/>
      <c r="F128" s="58">
        <f t="shared" ref="F128:Z128" si="50">+SUM(F126:F127)</f>
        <v>0</v>
      </c>
      <c r="G128" s="58">
        <f t="shared" si="50"/>
        <v>0</v>
      </c>
      <c r="H128" s="58">
        <f t="shared" si="50"/>
        <v>0</v>
      </c>
      <c r="I128" s="58">
        <f t="shared" si="50"/>
        <v>1031896.0205948048</v>
      </c>
      <c r="J128" s="58">
        <f t="shared" si="50"/>
        <v>2105067.8820134015</v>
      </c>
      <c r="K128" s="58">
        <f t="shared" si="50"/>
        <v>2147169.2396536698</v>
      </c>
      <c r="L128" s="58">
        <f t="shared" si="50"/>
        <v>2190112.6244467432</v>
      </c>
      <c r="M128" s="58">
        <f t="shared" si="50"/>
        <v>2233914.8769356781</v>
      </c>
      <c r="N128" s="58">
        <f t="shared" si="50"/>
        <v>2278593.1744743921</v>
      </c>
      <c r="O128" s="58">
        <f t="shared" si="50"/>
        <v>2324165.0379638793</v>
      </c>
      <c r="P128" s="58">
        <f t="shared" si="50"/>
        <v>2370648.3387231575</v>
      </c>
      <c r="Q128" s="58">
        <f t="shared" si="50"/>
        <v>2418061.3054976203</v>
      </c>
      <c r="R128" s="58">
        <f t="shared" si="50"/>
        <v>2466422.5316075729</v>
      </c>
      <c r="S128" s="58">
        <f t="shared" si="50"/>
        <v>2515750.9822397241</v>
      </c>
      <c r="T128" s="58">
        <f t="shared" si="50"/>
        <v>2566066.0018845187</v>
      </c>
      <c r="U128" s="58">
        <f t="shared" si="50"/>
        <v>2617387.3219222091</v>
      </c>
      <c r="V128" s="58">
        <f t="shared" si="50"/>
        <v>2669735.0683606532</v>
      </c>
      <c r="W128" s="58">
        <f t="shared" si="50"/>
        <v>2723129.7697278666</v>
      </c>
      <c r="X128" s="58">
        <f t="shared" si="50"/>
        <v>2777592.365122424</v>
      </c>
      <c r="Y128" s="58">
        <f t="shared" si="50"/>
        <v>2833144.2124248724</v>
      </c>
      <c r="Z128" s="58">
        <f t="shared" si="50"/>
        <v>2889807.0966733703</v>
      </c>
    </row>
    <row r="130" spans="2:26">
      <c r="B130" s="15" t="s">
        <v>585</v>
      </c>
      <c r="F130" s="16">
        <f>+F119*Assumptions!$P$97*'Phase III Pro Forma'!F124</f>
        <v>0</v>
      </c>
      <c r="G130" s="16">
        <f>+G119*Assumptions!$P$97*'Phase III Pro Forma'!G124</f>
        <v>0</v>
      </c>
      <c r="H130" s="16">
        <f>+H119*Assumptions!$P$97*'Phase III Pro Forma'!H124</f>
        <v>0</v>
      </c>
      <c r="I130" s="16">
        <f>+I119*Assumptions!$P$97*'Phase III Pro Forma'!I124</f>
        <v>227490.30436393403</v>
      </c>
      <c r="J130" s="16">
        <f>+J119*Assumptions!$P$97*'Phase III Pro Forma'!J124</f>
        <v>464080.22090242541</v>
      </c>
      <c r="K130" s="16">
        <f>+K119*Assumptions!$P$97*'Phase III Pro Forma'!K124</f>
        <v>473361.82532047393</v>
      </c>
      <c r="L130" s="16">
        <f>+L119*Assumptions!$P$97*'Phase III Pro Forma'!L124</f>
        <v>482829.06182688347</v>
      </c>
      <c r="M130" s="16">
        <f>+M119*Assumptions!$P$97*'Phase III Pro Forma'!M124</f>
        <v>492485.64306342113</v>
      </c>
      <c r="N130" s="16">
        <f>+N119*Assumptions!$P$97*'Phase III Pro Forma'!N124</f>
        <v>502335.35592468956</v>
      </c>
      <c r="O130" s="16">
        <f>+O119*Assumptions!$P$97*'Phase III Pro Forma'!O124</f>
        <v>512382.06304318336</v>
      </c>
      <c r="P130" s="16">
        <f>+P119*Assumptions!$P$97*'Phase III Pro Forma'!P124</f>
        <v>522629.70430404705</v>
      </c>
      <c r="Q130" s="16">
        <f>+Q119*Assumptions!$P$97*'Phase III Pro Forma'!Q124</f>
        <v>533082.29839012795</v>
      </c>
      <c r="R130" s="16">
        <f>+R119*Assumptions!$P$97*'Phase III Pro Forma'!R124</f>
        <v>543743.94435793057</v>
      </c>
      <c r="S130" s="16">
        <f>+S119*Assumptions!$P$97*'Phase III Pro Forma'!S124</f>
        <v>554618.82324508915</v>
      </c>
      <c r="T130" s="16">
        <f>+T119*Assumptions!$P$97*'Phase III Pro Forma'!T124</f>
        <v>565711.19970999099</v>
      </c>
      <c r="U130" s="16">
        <f>+U119*Assumptions!$P$97*'Phase III Pro Forma'!U124</f>
        <v>577025.42370419076</v>
      </c>
      <c r="V130" s="16">
        <f>+V119*Assumptions!$P$97*'Phase III Pro Forma'!V124</f>
        <v>588565.93217827461</v>
      </c>
      <c r="W130" s="16">
        <f>+W119*Assumptions!$P$97*'Phase III Pro Forma'!W124</f>
        <v>600337.25082184013</v>
      </c>
      <c r="X130" s="16">
        <f>+X119*Assumptions!$P$97*'Phase III Pro Forma'!X124</f>
        <v>612343.99583827704</v>
      </c>
      <c r="Y130" s="16">
        <f>+Y119*Assumptions!$P$97*'Phase III Pro Forma'!Y124</f>
        <v>624590.87575504254</v>
      </c>
      <c r="Z130" s="16">
        <f>+Z119*Assumptions!$P$97*'Phase III Pro Forma'!Z124</f>
        <v>637082.69327014335</v>
      </c>
    </row>
    <row r="131" spans="2:26">
      <c r="B131" s="659" t="s">
        <v>595</v>
      </c>
      <c r="C131" s="659"/>
      <c r="D131" s="659"/>
      <c r="E131" s="659"/>
      <c r="F131" s="698"/>
      <c r="G131" s="698">
        <v>0</v>
      </c>
      <c r="H131" s="698">
        <v>0</v>
      </c>
      <c r="I131" s="698">
        <f>(('Parcel x Block Info'!$P$17*0.12)*I121)*0.5</f>
        <v>225761.31095903998</v>
      </c>
      <c r="J131" s="698">
        <f t="shared" ref="J131:Z131" si="51">I131*1.02</f>
        <v>230276.53717822078</v>
      </c>
      <c r="K131" s="698">
        <f t="shared" si="51"/>
        <v>234882.0679217852</v>
      </c>
      <c r="L131" s="698">
        <f t="shared" si="51"/>
        <v>239579.70928022091</v>
      </c>
      <c r="M131" s="698">
        <f t="shared" si="51"/>
        <v>244371.30346582533</v>
      </c>
      <c r="N131" s="698">
        <f t="shared" si="51"/>
        <v>249258.72953514184</v>
      </c>
      <c r="O131" s="698">
        <f t="shared" si="51"/>
        <v>254243.90412584468</v>
      </c>
      <c r="P131" s="707">
        <f t="shared" si="51"/>
        <v>259328.78220836158</v>
      </c>
      <c r="Q131" s="707">
        <f t="shared" si="51"/>
        <v>264515.3578525288</v>
      </c>
      <c r="R131" s="698">
        <f t="shared" si="51"/>
        <v>269805.66500957939</v>
      </c>
      <c r="S131" s="698">
        <f t="shared" si="51"/>
        <v>275201.77830977098</v>
      </c>
      <c r="T131" s="698">
        <f t="shared" si="51"/>
        <v>280705.81387596641</v>
      </c>
      <c r="U131" s="698">
        <f t="shared" si="51"/>
        <v>286319.93015348574</v>
      </c>
      <c r="V131" s="698">
        <f t="shared" si="51"/>
        <v>292046.32875655545</v>
      </c>
      <c r="W131" s="698">
        <f t="shared" si="51"/>
        <v>297887.25533168658</v>
      </c>
      <c r="X131" s="698">
        <f t="shared" si="51"/>
        <v>303845.00043832033</v>
      </c>
      <c r="Y131" s="698">
        <f t="shared" si="51"/>
        <v>309921.90044708672</v>
      </c>
      <c r="Z131" s="698">
        <f t="shared" si="51"/>
        <v>316120.33845602849</v>
      </c>
    </row>
    <row r="132" spans="2:26">
      <c r="B132" s="62" t="s">
        <v>586</v>
      </c>
      <c r="C132" s="62"/>
      <c r="D132" s="62"/>
      <c r="E132" s="62"/>
      <c r="F132" s="58">
        <f>+SUM(F130:F131)</f>
        <v>0</v>
      </c>
      <c r="G132" s="58">
        <f t="shared" ref="G132" si="52">+SUM(G130:G131)</f>
        <v>0</v>
      </c>
      <c r="H132" s="58">
        <f t="shared" ref="H132:Z132" si="53">+SUM(H130:H131)</f>
        <v>0</v>
      </c>
      <c r="I132" s="58">
        <f t="shared" si="53"/>
        <v>453251.61532297404</v>
      </c>
      <c r="J132" s="58">
        <f t="shared" si="53"/>
        <v>694356.75808064616</v>
      </c>
      <c r="K132" s="58">
        <f t="shared" si="53"/>
        <v>708243.89324225916</v>
      </c>
      <c r="L132" s="58">
        <f t="shared" si="53"/>
        <v>722408.77110710437</v>
      </c>
      <c r="M132" s="58">
        <f t="shared" si="53"/>
        <v>736856.9465292464</v>
      </c>
      <c r="N132" s="58">
        <f t="shared" si="53"/>
        <v>751594.0854598314</v>
      </c>
      <c r="O132" s="58">
        <f t="shared" si="53"/>
        <v>766625.96716902801</v>
      </c>
      <c r="P132" s="58">
        <f t="shared" si="53"/>
        <v>781958.48651240859</v>
      </c>
      <c r="Q132" s="58">
        <f t="shared" si="53"/>
        <v>797597.65624265675</v>
      </c>
      <c r="R132" s="58">
        <f t="shared" si="53"/>
        <v>813549.60936750995</v>
      </c>
      <c r="S132" s="58">
        <f t="shared" si="53"/>
        <v>829820.60155486013</v>
      </c>
      <c r="T132" s="58">
        <f t="shared" si="53"/>
        <v>846417.01358595747</v>
      </c>
      <c r="U132" s="58">
        <f t="shared" si="53"/>
        <v>863345.3538576765</v>
      </c>
      <c r="V132" s="58">
        <f t="shared" si="53"/>
        <v>880612.26093483006</v>
      </c>
      <c r="W132" s="58">
        <f t="shared" si="53"/>
        <v>898224.50615352672</v>
      </c>
      <c r="X132" s="58">
        <f t="shared" si="53"/>
        <v>916188.99627659738</v>
      </c>
      <c r="Y132" s="58">
        <f t="shared" si="53"/>
        <v>934512.7762021292</v>
      </c>
      <c r="Z132" s="58">
        <f t="shared" si="53"/>
        <v>953203.03172617184</v>
      </c>
    </row>
    <row r="133" spans="2:26">
      <c r="B133" s="15"/>
    </row>
    <row r="134" spans="2:26">
      <c r="B134" s="653" t="s">
        <v>587</v>
      </c>
      <c r="C134" s="653"/>
      <c r="D134" s="653"/>
      <c r="E134" s="653"/>
      <c r="F134" s="544">
        <f>+F128-F132</f>
        <v>0</v>
      </c>
      <c r="G134" s="544">
        <f t="shared" ref="G134" si="54">+G128-G132</f>
        <v>0</v>
      </c>
      <c r="H134" s="544">
        <f t="shared" ref="H134:Z134" si="55">+H128-H132</f>
        <v>0</v>
      </c>
      <c r="I134" s="544">
        <f t="shared" si="55"/>
        <v>578644.40527183074</v>
      </c>
      <c r="J134" s="544">
        <f t="shared" si="55"/>
        <v>1410711.1239327553</v>
      </c>
      <c r="K134" s="544">
        <f t="shared" si="55"/>
        <v>1438925.3464114107</v>
      </c>
      <c r="L134" s="544">
        <f t="shared" si="55"/>
        <v>1467703.8533396388</v>
      </c>
      <c r="M134" s="544">
        <f t="shared" si="55"/>
        <v>1497057.9304064317</v>
      </c>
      <c r="N134" s="544">
        <f t="shared" si="55"/>
        <v>1526999.0890145607</v>
      </c>
      <c r="O134" s="544">
        <f t="shared" si="55"/>
        <v>1557539.0707948513</v>
      </c>
      <c r="P134" s="544">
        <f t="shared" si="55"/>
        <v>1588689.8522107489</v>
      </c>
      <c r="Q134" s="544">
        <f t="shared" si="55"/>
        <v>1620463.6492549635</v>
      </c>
      <c r="R134" s="544">
        <f t="shared" si="55"/>
        <v>1652872.9222400631</v>
      </c>
      <c r="S134" s="544">
        <f t="shared" si="55"/>
        <v>1685930.380684864</v>
      </c>
      <c r="T134" s="544">
        <f t="shared" si="55"/>
        <v>1719648.9882985612</v>
      </c>
      <c r="U134" s="544">
        <f t="shared" si="55"/>
        <v>1754041.9680645326</v>
      </c>
      <c r="V134" s="544">
        <f t="shared" si="55"/>
        <v>1789122.8074258231</v>
      </c>
      <c r="W134" s="544">
        <f t="shared" si="55"/>
        <v>1824905.2635743399</v>
      </c>
      <c r="X134" s="544">
        <f t="shared" si="55"/>
        <v>1861403.3688458265</v>
      </c>
      <c r="Y134" s="544">
        <f t="shared" si="55"/>
        <v>1898631.4362227432</v>
      </c>
      <c r="Z134" s="544">
        <f t="shared" si="55"/>
        <v>1936604.0649471986</v>
      </c>
    </row>
    <row r="135" spans="2:26">
      <c r="B135" s="654" t="s">
        <v>588</v>
      </c>
      <c r="C135" s="655"/>
      <c r="D135" s="655"/>
      <c r="E135" s="655"/>
      <c r="F135" s="656" t="str">
        <f>+IFERROR(F134/F128,"")</f>
        <v/>
      </c>
      <c r="G135" s="656" t="str">
        <f t="shared" ref="G135:H135" si="56">+IFERROR(G134/G128,"")</f>
        <v/>
      </c>
      <c r="H135" s="656" t="str">
        <f t="shared" si="56"/>
        <v/>
      </c>
      <c r="I135" s="657">
        <f t="shared" ref="I135:Z135" si="57">+IFERROR(I134/I128,"")</f>
        <v>0.56075844244295947</v>
      </c>
      <c r="J135" s="657">
        <f t="shared" si="57"/>
        <v>0.67014994432553621</v>
      </c>
      <c r="K135" s="657">
        <f t="shared" si="57"/>
        <v>0.67014994432553621</v>
      </c>
      <c r="L135" s="657">
        <f t="shared" si="57"/>
        <v>0.6701499443255361</v>
      </c>
      <c r="M135" s="657">
        <f t="shared" si="57"/>
        <v>0.67014994432553621</v>
      </c>
      <c r="N135" s="657">
        <f t="shared" si="57"/>
        <v>0.67014994432553621</v>
      </c>
      <c r="O135" s="657">
        <f t="shared" si="57"/>
        <v>0.6701499443255361</v>
      </c>
      <c r="P135" s="657">
        <f t="shared" si="57"/>
        <v>0.67014994432553621</v>
      </c>
      <c r="Q135" s="657">
        <f t="shared" si="57"/>
        <v>0.67014994432553621</v>
      </c>
      <c r="R135" s="657">
        <f t="shared" si="57"/>
        <v>0.67014994432553621</v>
      </c>
      <c r="S135" s="657">
        <f t="shared" si="57"/>
        <v>0.6701499443255361</v>
      </c>
      <c r="T135" s="657">
        <f t="shared" si="57"/>
        <v>0.6701499443255361</v>
      </c>
      <c r="U135" s="657">
        <f t="shared" si="57"/>
        <v>0.67014994432553621</v>
      </c>
      <c r="V135" s="657">
        <f t="shared" si="57"/>
        <v>0.6701499443255361</v>
      </c>
      <c r="W135" s="657">
        <f t="shared" si="57"/>
        <v>0.67014994432553621</v>
      </c>
      <c r="X135" s="657">
        <f t="shared" si="57"/>
        <v>0.6701499443255361</v>
      </c>
      <c r="Y135" s="657">
        <f t="shared" si="57"/>
        <v>0.67014994432553621</v>
      </c>
      <c r="Z135" s="657">
        <f t="shared" si="57"/>
        <v>0.67014994432553621</v>
      </c>
    </row>
    <row r="136" spans="2:26">
      <c r="B136" s="654" t="s">
        <v>589</v>
      </c>
      <c r="C136" s="655"/>
      <c r="D136" s="655"/>
      <c r="E136" s="655"/>
      <c r="F136" s="658">
        <f>+F134/Assumptions!$P$135</f>
        <v>0</v>
      </c>
      <c r="G136" s="658">
        <f>+G134/Assumptions!$P$135</f>
        <v>0</v>
      </c>
      <c r="H136" s="658">
        <f>+H134/Assumptions!$P$135</f>
        <v>0</v>
      </c>
      <c r="I136" s="658">
        <f>+I134/Assumptions!$P$135</f>
        <v>8902221.6195666268</v>
      </c>
      <c r="J136" s="658">
        <f>+J134/Assumptions!$P$135</f>
        <v>21703248.060503926</v>
      </c>
      <c r="K136" s="658">
        <f>+K134/Assumptions!$P$135</f>
        <v>22137313.021714009</v>
      </c>
      <c r="L136" s="658">
        <f>+L134/Assumptions!$P$135</f>
        <v>22580059.282148287</v>
      </c>
      <c r="M136" s="658">
        <f>+M134/Assumptions!$P$135</f>
        <v>23031660.467791256</v>
      </c>
      <c r="N136" s="658">
        <f>+N134/Assumptions!$P$135</f>
        <v>23492293.677147087</v>
      </c>
      <c r="O136" s="658">
        <f>+O134/Assumptions!$P$135</f>
        <v>23962139.550690018</v>
      </c>
      <c r="P136" s="658">
        <f>+P134/Assumptions!$P$135</f>
        <v>24441382.341703828</v>
      </c>
      <c r="Q136" s="658">
        <f>+Q134/Assumptions!$P$135</f>
        <v>24930209.9885379</v>
      </c>
      <c r="R136" s="658">
        <f>+R134/Assumptions!$P$135</f>
        <v>25428814.188308664</v>
      </c>
      <c r="S136" s="658">
        <f>+S134/Assumptions!$P$135</f>
        <v>25937390.472074829</v>
      </c>
      <c r="T136" s="658">
        <f>+T134/Assumptions!$P$135</f>
        <v>26456138.281516325</v>
      </c>
      <c r="U136" s="658">
        <f>+U134/Assumptions!$P$135</f>
        <v>26985261.047146656</v>
      </c>
      <c r="V136" s="658">
        <f>+V134/Assumptions!$P$135</f>
        <v>27524966.268089585</v>
      </c>
      <c r="W136" s="658">
        <f>+W134/Assumptions!$P$135</f>
        <v>28075465.593451381</v>
      </c>
      <c r="X136" s="658">
        <f>+X134/Assumptions!$P$135</f>
        <v>28636974.905320406</v>
      </c>
      <c r="Y136" s="658">
        <f>+Y134/Assumptions!$P$135</f>
        <v>29209714.403426819</v>
      </c>
      <c r="Z136" s="658">
        <f>+Z134/Assumptions!$P$135</f>
        <v>29793908.691495363</v>
      </c>
    </row>
    <row r="138" spans="2:26">
      <c r="B138" s="653" t="s">
        <v>596</v>
      </c>
      <c r="C138" s="653"/>
      <c r="D138" s="653"/>
      <c r="E138" s="653"/>
      <c r="F138" s="544">
        <v>0</v>
      </c>
      <c r="G138" s="544">
        <v>0</v>
      </c>
      <c r="H138" s="544">
        <v>0</v>
      </c>
      <c r="I138" s="544">
        <f t="shared" ref="I138:Z138" si="58">I134+I70+I49+I26</f>
        <v>10024255.565184468</v>
      </c>
      <c r="J138" s="544">
        <f t="shared" si="58"/>
        <v>20772625.966064475</v>
      </c>
      <c r="K138" s="544">
        <f t="shared" si="58"/>
        <v>21270932.788604517</v>
      </c>
      <c r="L138" s="544">
        <f t="shared" si="58"/>
        <v>22194161.731755052</v>
      </c>
      <c r="M138" s="544">
        <f t="shared" si="58"/>
        <v>22723235.736094281</v>
      </c>
      <c r="N138" s="544">
        <f t="shared" si="58"/>
        <v>23268395.266064797</v>
      </c>
      <c r="O138" s="544">
        <f t="shared" si="58"/>
        <v>23830127.153545558</v>
      </c>
      <c r="P138" s="544">
        <f t="shared" si="58"/>
        <v>24408932.920694094</v>
      </c>
      <c r="Q138" s="544">
        <f t="shared" si="58"/>
        <v>25456073.90504165</v>
      </c>
      <c r="R138" s="544">
        <f t="shared" si="58"/>
        <v>26070592.984493189</v>
      </c>
      <c r="S138" s="544">
        <f t="shared" si="58"/>
        <v>26703783.142837271</v>
      </c>
      <c r="T138" s="544">
        <f t="shared" si="58"/>
        <v>27356209.222570855</v>
      </c>
      <c r="U138" s="544">
        <f t="shared" si="58"/>
        <v>28028453.105668396</v>
      </c>
      <c r="V138" s="544">
        <f t="shared" si="58"/>
        <v>29216933.377598625</v>
      </c>
      <c r="W138" s="544">
        <f t="shared" si="58"/>
        <v>29930629.252029166</v>
      </c>
      <c r="X138" s="544">
        <f t="shared" si="58"/>
        <v>30665996.020908237</v>
      </c>
      <c r="Y138" s="544">
        <f t="shared" si="58"/>
        <v>31423689.011433598</v>
      </c>
      <c r="Z138" s="544">
        <f t="shared" si="58"/>
        <v>32204383.314626236</v>
      </c>
    </row>
    <row r="140" spans="2:26">
      <c r="B140" s="73" t="s">
        <v>597</v>
      </c>
      <c r="F140" s="75">
        <f>+Assumptions!$H$22</f>
        <v>45657</v>
      </c>
      <c r="G140" s="935">
        <f>+EOMONTH(F140,12)</f>
        <v>46022</v>
      </c>
      <c r="H140" s="935">
        <f t="shared" ref="H140:Z140" si="59">+EOMONTH(G140,12)</f>
        <v>46387</v>
      </c>
      <c r="I140" s="935">
        <f t="shared" si="59"/>
        <v>46752</v>
      </c>
      <c r="J140" s="935">
        <f t="shared" si="59"/>
        <v>47118</v>
      </c>
      <c r="K140" s="935">
        <f t="shared" si="59"/>
        <v>47483</v>
      </c>
      <c r="L140" s="935">
        <f t="shared" si="59"/>
        <v>47848</v>
      </c>
      <c r="M140" s="935">
        <f t="shared" si="59"/>
        <v>48213</v>
      </c>
      <c r="N140" s="935">
        <f t="shared" si="59"/>
        <v>48579</v>
      </c>
      <c r="O140" s="935">
        <f t="shared" si="59"/>
        <v>48944</v>
      </c>
      <c r="P140" s="935">
        <f t="shared" si="59"/>
        <v>49309</v>
      </c>
      <c r="Q140" s="935">
        <f t="shared" si="59"/>
        <v>49674</v>
      </c>
      <c r="R140" s="935">
        <f t="shared" si="59"/>
        <v>50040</v>
      </c>
      <c r="S140" s="935">
        <f t="shared" si="59"/>
        <v>50405</v>
      </c>
      <c r="T140" s="935">
        <f t="shared" si="59"/>
        <v>50770</v>
      </c>
      <c r="U140" s="935">
        <f t="shared" si="59"/>
        <v>51135</v>
      </c>
      <c r="V140" s="935">
        <f t="shared" si="59"/>
        <v>51501</v>
      </c>
      <c r="W140" s="935">
        <f t="shared" si="59"/>
        <v>51866</v>
      </c>
      <c r="X140" s="935">
        <f t="shared" si="59"/>
        <v>52231</v>
      </c>
      <c r="Y140" s="935">
        <f t="shared" si="59"/>
        <v>52596</v>
      </c>
      <c r="Z140" s="935">
        <f t="shared" si="59"/>
        <v>52962</v>
      </c>
    </row>
    <row r="141" spans="2:26">
      <c r="B141" s="15" t="s">
        <v>598</v>
      </c>
      <c r="F141" s="16">
        <v>0</v>
      </c>
      <c r="G141" s="16">
        <f t="shared" ref="G141:I141" si="60">+F144</f>
        <v>0</v>
      </c>
      <c r="H141" s="16">
        <f t="shared" si="60"/>
        <v>0</v>
      </c>
      <c r="I141" s="16">
        <f t="shared" si="60"/>
        <v>0</v>
      </c>
      <c r="J141" s="16">
        <f>+I144</f>
        <v>231269850.70192492</v>
      </c>
      <c r="K141" s="16">
        <f t="shared" ref="K141:Z141" si="61">J144</f>
        <v>228129295.5131568</v>
      </c>
      <c r="L141" s="16">
        <f t="shared" si="61"/>
        <v>224800307.0130626</v>
      </c>
      <c r="M141" s="16">
        <f t="shared" si="61"/>
        <v>221271579.20296273</v>
      </c>
      <c r="N141" s="16">
        <f t="shared" si="61"/>
        <v>217531127.72425687</v>
      </c>
      <c r="O141" s="16">
        <f t="shared" si="61"/>
        <v>213566249.15682867</v>
      </c>
      <c r="P141" s="16">
        <f t="shared" si="61"/>
        <v>209363477.87535477</v>
      </c>
      <c r="Q141" s="16">
        <f t="shared" si="61"/>
        <v>204908540.31699243</v>
      </c>
      <c r="R141" s="16">
        <f t="shared" si="61"/>
        <v>200186306.50512835</v>
      </c>
      <c r="S141" s="16">
        <f t="shared" si="61"/>
        <v>195180738.66455242</v>
      </c>
      <c r="T141" s="16">
        <f t="shared" si="61"/>
        <v>189874836.75354195</v>
      </c>
      <c r="U141" s="16">
        <f t="shared" si="61"/>
        <v>184250580.72787085</v>
      </c>
      <c r="V141" s="16">
        <f t="shared" si="61"/>
        <v>178288869.34065947</v>
      </c>
      <c r="W141" s="16">
        <f t="shared" si="61"/>
        <v>171969455.27021542</v>
      </c>
      <c r="X141" s="16">
        <f t="shared" si="61"/>
        <v>165270876.35554472</v>
      </c>
      <c r="Y141" s="16">
        <f t="shared" si="61"/>
        <v>158170382.70599377</v>
      </c>
      <c r="Z141" s="16">
        <f t="shared" si="61"/>
        <v>150643859.43746978</v>
      </c>
    </row>
    <row r="142" spans="2:26">
      <c r="B142" s="659" t="s">
        <v>599</v>
      </c>
      <c r="F142" s="76">
        <f>+IF(YEAR(F$140)=YEAR(Assumptions!$H$26),'S&amp;U'!$T$17,0)</f>
        <v>0</v>
      </c>
      <c r="G142" s="76">
        <f>+IF(YEAR(G$140)=YEAR(Assumptions!$H$26),'S&amp;U'!$T$17,0)</f>
        <v>0</v>
      </c>
      <c r="H142" s="76">
        <f>+IF(YEAR(H$140)=YEAR(Assumptions!$H$26),'S&amp;U'!$T$17,0)</f>
        <v>0</v>
      </c>
      <c r="I142" s="76">
        <f>+IF(YEAR(I$140)=YEAR(Assumptions!$H$26),'S&amp;U'!$T$17,0)</f>
        <v>234232638.61585712</v>
      </c>
      <c r="J142" s="76">
        <f>+IF(YEAR(J$140)=YEAR(Assumptions!$H$26),'S&amp;U'!$T$17,0)</f>
        <v>0</v>
      </c>
      <c r="K142" s="76">
        <f>+IF(YEAR(K$140)=YEAR(Assumptions!$H$26),'S&amp;U'!$T$17,0)</f>
        <v>0</v>
      </c>
      <c r="L142" s="76">
        <f>+IF(YEAR(L$140)=YEAR(Assumptions!$H$26),'S&amp;U'!$T$17,0)</f>
        <v>0</v>
      </c>
      <c r="M142" s="76">
        <f>+IF(YEAR(M$140)=YEAR(Assumptions!$H$26),'S&amp;U'!$T$17,0)</f>
        <v>0</v>
      </c>
      <c r="N142" s="76">
        <f>+IF(YEAR(N$140)=YEAR(Assumptions!$H$26),'S&amp;U'!$T$17,0)</f>
        <v>0</v>
      </c>
      <c r="O142" s="76">
        <f>+IF(YEAR(O$140)=YEAR(Assumptions!$H$26),'S&amp;U'!$T$17,0)</f>
        <v>0</v>
      </c>
      <c r="P142" s="76">
        <f>+IF(YEAR(P$140)=YEAR(Assumptions!$H$26),'S&amp;U'!$T$17,0)</f>
        <v>0</v>
      </c>
      <c r="Q142" s="76">
        <f>+IF(YEAR(Q$140)=YEAR(Assumptions!$H$26),'S&amp;U'!$T$17,0)</f>
        <v>0</v>
      </c>
      <c r="R142" s="76">
        <f>+IF(YEAR(R$140)=YEAR(Assumptions!$H$26),'S&amp;U'!$T$17,0)</f>
        <v>0</v>
      </c>
      <c r="S142" s="76">
        <f>+IF(YEAR(S$140)=YEAR(Assumptions!$H$26),'S&amp;U'!$T$17,0)</f>
        <v>0</v>
      </c>
      <c r="T142" s="76">
        <f>+IF(YEAR(T$140)=YEAR(Assumptions!$H$26),'S&amp;U'!$T$17,0)</f>
        <v>0</v>
      </c>
      <c r="U142" s="76">
        <f>+IF(YEAR(U$140)=YEAR(Assumptions!$H$26),'S&amp;U'!$T$17,0)</f>
        <v>0</v>
      </c>
      <c r="V142" s="76">
        <f>+IF(YEAR(V$140)=YEAR(Assumptions!$H$26),'S&amp;U'!$T$17,0)</f>
        <v>0</v>
      </c>
      <c r="W142" s="76">
        <f>+IF(YEAR(W$140)=YEAR(Assumptions!$H$26),'S&amp;U'!$T$17,0)</f>
        <v>0</v>
      </c>
      <c r="X142" s="76">
        <f>+IF(YEAR(X$140)=YEAR(Assumptions!$H$26),'S&amp;U'!$T$17,0)</f>
        <v>0</v>
      </c>
      <c r="Y142" s="76">
        <f>+IF(YEAR(Y$140)=YEAR(Assumptions!$H$26),'S&amp;U'!$T$17,0)</f>
        <v>0</v>
      </c>
      <c r="Z142" s="76">
        <f>+IF(YEAR(Z$140)=YEAR(Assumptions!$H$26),'S&amp;U'!$T$17,0)</f>
        <v>0</v>
      </c>
    </row>
    <row r="143" spans="2:26">
      <c r="B143" s="15" t="s">
        <v>167</v>
      </c>
      <c r="F143" s="76">
        <f>+IFERROR(PPMT(Assumptions!$P$151,F2,Assumptions!$P$153,'S&amp;U'!$T$17),0)</f>
        <v>0</v>
      </c>
      <c r="G143" s="76">
        <f>+IFERROR(PPMT(Assumptions!$P$151,G2,Assumptions!$P$153,'S&amp;U'!$T$17),0)</f>
        <v>0</v>
      </c>
      <c r="H143" s="76">
        <f>+IFERROR(PPMT(Assumptions!$P$151,H2,Assumptions!$P$153,'S&amp;U'!$T$17),0)</f>
        <v>0</v>
      </c>
      <c r="I143" s="76">
        <f>+IFERROR(PPMT(Assumptions!$P$151,I2,Assumptions!$P$153,'S&amp;U'!$T$17),0)</f>
        <v>-2962787.9139321954</v>
      </c>
      <c r="J143" s="76">
        <f>+IFERROR(PPMT(Assumptions!$P$151,J2,Assumptions!$P$153,'S&amp;U'!$T$17),0)</f>
        <v>-3140555.1887681265</v>
      </c>
      <c r="K143" s="76">
        <f>+IFERROR(PPMT(Assumptions!$P$151,K2,Assumptions!$P$153,'S&amp;U'!$T$17),0)</f>
        <v>-3328988.500094214</v>
      </c>
      <c r="L143" s="76">
        <f>+IFERROR(PPMT(Assumptions!$P$151,L2,Assumptions!$P$153,'S&amp;U'!$T$17),0)</f>
        <v>-3528727.8100998672</v>
      </c>
      <c r="M143" s="76">
        <f>+IFERROR(PPMT(Assumptions!$P$151,M2,Assumptions!$P$153,'S&amp;U'!$T$17),0)</f>
        <v>-3740451.4787058593</v>
      </c>
      <c r="N143" s="76">
        <f>+IFERROR(PPMT(Assumptions!$P$151,N2,Assumptions!$P$153,'S&amp;U'!$T$17),0)</f>
        <v>-3964878.5674282108</v>
      </c>
      <c r="O143" s="76">
        <f>+IFERROR(PPMT(Assumptions!$P$151,O2,Assumptions!$P$153,'S&amp;U'!$T$17),0)</f>
        <v>-4202771.2814739039</v>
      </c>
      <c r="P143" s="76">
        <f>+IFERROR(PPMT(Assumptions!$P$151,P2,Assumptions!$P$153,'S&amp;U'!$T$17),0)</f>
        <v>-4454937.5583623378</v>
      </c>
      <c r="Q143" s="76">
        <f>+IFERROR(PPMT(Assumptions!$P$151,Q2,Assumptions!$P$153,'S&amp;U'!$T$17),0)</f>
        <v>-4722233.8118640771</v>
      </c>
      <c r="R143" s="76">
        <f>+IFERROR(PPMT(Assumptions!$P$151,R2,Assumptions!$P$153,'S&amp;U'!$T$17),0)</f>
        <v>-5005567.8405759213</v>
      </c>
      <c r="S143" s="76">
        <f>+IFERROR(PPMT(Assumptions!$P$151,S2,Assumptions!$P$153,'S&amp;U'!$T$17),0)</f>
        <v>-5305901.9110104777</v>
      </c>
      <c r="T143" s="76">
        <f>+IFERROR(PPMT(Assumptions!$P$151,T2,Assumptions!$P$153,'S&amp;U'!$T$17),0)</f>
        <v>-5624256.0256711058</v>
      </c>
      <c r="U143" s="76">
        <f>+IFERROR(PPMT(Assumptions!$P$151,U2,Assumptions!$P$153,'S&amp;U'!$T$17),0)</f>
        <v>-5961711.3872113712</v>
      </c>
      <c r="V143" s="76">
        <f>+IFERROR(PPMT(Assumptions!$P$151,V2,Assumptions!$P$153,'S&amp;U'!$T$17),0)</f>
        <v>-6319414.070444054</v>
      </c>
      <c r="W143" s="76">
        <f>+IFERROR(PPMT(Assumptions!$P$151,W2,Assumptions!$P$153,'S&amp;U'!$T$17),0)</f>
        <v>-6698578.9146706983</v>
      </c>
      <c r="X143" s="76">
        <f>+IFERROR(PPMT(Assumptions!$P$151,X2,Assumptions!$P$153,'S&amp;U'!$T$17),0)</f>
        <v>-7100493.6495509408</v>
      </c>
      <c r="Y143" s="76">
        <f>+IFERROR(PPMT(Assumptions!$P$151,Y2,Assumptions!$P$153,'S&amp;U'!$T$17),0)</f>
        <v>-7526523.2685239958</v>
      </c>
      <c r="Z143" s="76">
        <f>+IFERROR(PPMT(Assumptions!$P$151,Z2,Assumptions!$P$153,'S&amp;U'!$T$17),0)</f>
        <v>-7978114.6646354366</v>
      </c>
    </row>
    <row r="144" spans="2:26">
      <c r="B144" s="15" t="s">
        <v>600</v>
      </c>
      <c r="F144" s="76">
        <f t="shared" ref="F144:H144" si="62">+SUM(F141:F143)</f>
        <v>0</v>
      </c>
      <c r="G144" s="76">
        <f t="shared" si="62"/>
        <v>0</v>
      </c>
      <c r="H144" s="76">
        <f t="shared" si="62"/>
        <v>0</v>
      </c>
      <c r="I144" s="76">
        <f>I142+I143</f>
        <v>231269850.70192492</v>
      </c>
      <c r="J144" s="76">
        <f t="shared" ref="J144:Z144" si="63">J141+J143</f>
        <v>228129295.5131568</v>
      </c>
      <c r="K144" s="76">
        <f t="shared" si="63"/>
        <v>224800307.0130626</v>
      </c>
      <c r="L144" s="76">
        <f t="shared" si="63"/>
        <v>221271579.20296273</v>
      </c>
      <c r="M144" s="76">
        <f t="shared" si="63"/>
        <v>217531127.72425687</v>
      </c>
      <c r="N144" s="76">
        <f t="shared" si="63"/>
        <v>213566249.15682867</v>
      </c>
      <c r="O144" s="76">
        <f t="shared" si="63"/>
        <v>209363477.87535477</v>
      </c>
      <c r="P144" s="76">
        <f t="shared" si="63"/>
        <v>204908540.31699243</v>
      </c>
      <c r="Q144" s="76">
        <f t="shared" si="63"/>
        <v>200186306.50512835</v>
      </c>
      <c r="R144" s="76">
        <f t="shared" si="63"/>
        <v>195180738.66455242</v>
      </c>
      <c r="S144" s="76">
        <f t="shared" si="63"/>
        <v>189874836.75354195</v>
      </c>
      <c r="T144" s="76">
        <f t="shared" si="63"/>
        <v>184250580.72787085</v>
      </c>
      <c r="U144" s="76">
        <f t="shared" si="63"/>
        <v>178288869.34065947</v>
      </c>
      <c r="V144" s="76">
        <f t="shared" si="63"/>
        <v>171969455.27021542</v>
      </c>
      <c r="W144" s="76">
        <f t="shared" si="63"/>
        <v>165270876.35554472</v>
      </c>
      <c r="X144" s="76">
        <f t="shared" si="63"/>
        <v>158170382.70599377</v>
      </c>
      <c r="Y144" s="76">
        <f t="shared" si="63"/>
        <v>150643859.43746978</v>
      </c>
      <c r="Z144" s="76">
        <f t="shared" si="63"/>
        <v>142665744.77283433</v>
      </c>
    </row>
    <row r="146" spans="2:26">
      <c r="B146" s="21" t="s">
        <v>601</v>
      </c>
      <c r="F146" s="16">
        <f>-IFERROR(IPMT(Assumptions!$P$151,F2,Assumptions!$P$153,'S&amp;U'!$T$17),0)</f>
        <v>0</v>
      </c>
      <c r="G146" s="16">
        <f>-IFERROR(IPMT(Assumptions!$P$151,G2,Assumptions!$P$153,'S&amp;U'!$T$17),0)</f>
        <v>0</v>
      </c>
      <c r="H146" s="16">
        <f>-IFERROR(IPMT(Assumptions!$P$151,H2,Assumptions!$P$153,'S&amp;U'!$T$17),0)</f>
        <v>0</v>
      </c>
      <c r="I146" s="16">
        <f>-IFERROR(IPMT(Assumptions!$P$151,I2,Assumptions!$P$153,'S&amp;U'!$T$17),0)</f>
        <v>14053958.316951428</v>
      </c>
      <c r="J146" s="16">
        <f>-IFERROR(IPMT(Assumptions!$P$151,J2,Assumptions!$P$153,'S&amp;U'!$T$17),0)</f>
        <v>13876191.042115493</v>
      </c>
      <c r="K146" s="16">
        <f>-IFERROR(IPMT(Assumptions!$P$151,K2,Assumptions!$P$153,'S&amp;U'!$T$17),0)</f>
        <v>13687757.730789406</v>
      </c>
      <c r="L146" s="16">
        <f>-IFERROR(IPMT(Assumptions!$P$151,L2,Assumptions!$P$153,'S&amp;U'!$T$17),0)</f>
        <v>13488018.420783753</v>
      </c>
      <c r="M146" s="16">
        <f>-IFERROR(IPMT(Assumptions!$P$151,M2,Assumptions!$P$153,'S&amp;U'!$T$17),0)</f>
        <v>13276294.752177762</v>
      </c>
      <c r="N146" s="16">
        <f>-IFERROR(IPMT(Assumptions!$P$151,N2,Assumptions!$P$153,'S&amp;U'!$T$17),0)</f>
        <v>13051867.66345541</v>
      </c>
      <c r="O146" s="16">
        <f>-IFERROR(IPMT(Assumptions!$P$151,O2,Assumptions!$P$153,'S&amp;U'!$T$17),0)</f>
        <v>12813974.949409716</v>
      </c>
      <c r="P146" s="16">
        <f>-IFERROR(IPMT(Assumptions!$P$151,P2,Assumptions!$P$153,'S&amp;U'!$T$17),0)</f>
        <v>12561808.672521284</v>
      </c>
      <c r="Q146" s="16">
        <f>-IFERROR(IPMT(Assumptions!$P$151,Q2,Assumptions!$P$153,'S&amp;U'!$T$17),0)</f>
        <v>12294512.419019544</v>
      </c>
      <c r="R146" s="16">
        <f>-IFERROR(IPMT(Assumptions!$P$151,R2,Assumptions!$P$153,'S&amp;U'!$T$17),0)</f>
        <v>12011178.390307698</v>
      </c>
      <c r="S146" s="16">
        <f>-IFERROR(IPMT(Assumptions!$P$151,S2,Assumptions!$P$153,'S&amp;U'!$T$17),0)</f>
        <v>11710844.319873143</v>
      </c>
      <c r="T146" s="16">
        <f>-IFERROR(IPMT(Assumptions!$P$151,T2,Assumptions!$P$153,'S&amp;U'!$T$17),0)</f>
        <v>11392490.205212515</v>
      </c>
      <c r="U146" s="16">
        <f>-IFERROR(IPMT(Assumptions!$P$151,U2,Assumptions!$P$153,'S&amp;U'!$T$17),0)</f>
        <v>11055034.843672249</v>
      </c>
      <c r="V146" s="16">
        <f>-IFERROR(IPMT(Assumptions!$P$151,V2,Assumptions!$P$153,'S&amp;U'!$T$17),0)</f>
        <v>10697332.16043957</v>
      </c>
      <c r="W146" s="16">
        <f>-IFERROR(IPMT(Assumptions!$P$151,W2,Assumptions!$P$153,'S&amp;U'!$T$17),0)</f>
        <v>10318167.31621292</v>
      </c>
      <c r="X146" s="16">
        <f>-IFERROR(IPMT(Assumptions!$P$151,X2,Assumptions!$P$153,'S&amp;U'!$T$17),0)</f>
        <v>9916252.5813326817</v>
      </c>
      <c r="Y146" s="16">
        <f>-IFERROR(IPMT(Assumptions!$P$151,Y2,Assumptions!$P$153,'S&amp;U'!$T$17),0)</f>
        <v>9490222.9623596221</v>
      </c>
      <c r="Z146" s="16">
        <f>-IFERROR(IPMT(Assumptions!$P$151,Z2,Assumptions!$P$153,'S&amp;U'!$T$17),0)</f>
        <v>9038631.5662481841</v>
      </c>
    </row>
    <row r="147" spans="2:26">
      <c r="B147" s="62" t="s">
        <v>602</v>
      </c>
      <c r="C147" s="62"/>
      <c r="D147" s="62"/>
      <c r="E147" s="62"/>
      <c r="F147" s="58">
        <f t="shared" ref="F147:H147" si="64">+F146-F143</f>
        <v>0</v>
      </c>
      <c r="G147" s="58">
        <f t="shared" si="64"/>
        <v>0</v>
      </c>
      <c r="H147" s="58">
        <f t="shared" si="64"/>
        <v>0</v>
      </c>
      <c r="I147" s="58">
        <f>I146</f>
        <v>14053958.316951428</v>
      </c>
      <c r="J147" s="58">
        <f t="shared" ref="J147:Z147" si="65">J146</f>
        <v>13876191.042115493</v>
      </c>
      <c r="K147" s="58">
        <f t="shared" si="65"/>
        <v>13687757.730789406</v>
      </c>
      <c r="L147" s="58">
        <f t="shared" si="65"/>
        <v>13488018.420783753</v>
      </c>
      <c r="M147" s="58">
        <f t="shared" si="65"/>
        <v>13276294.752177762</v>
      </c>
      <c r="N147" s="58">
        <f t="shared" si="65"/>
        <v>13051867.66345541</v>
      </c>
      <c r="O147" s="58">
        <f t="shared" si="65"/>
        <v>12813974.949409716</v>
      </c>
      <c r="P147" s="58">
        <f t="shared" si="65"/>
        <v>12561808.672521284</v>
      </c>
      <c r="Q147" s="58">
        <f t="shared" si="65"/>
        <v>12294512.419019544</v>
      </c>
      <c r="R147" s="58">
        <f t="shared" si="65"/>
        <v>12011178.390307698</v>
      </c>
      <c r="S147" s="58">
        <f t="shared" si="65"/>
        <v>11710844.319873143</v>
      </c>
      <c r="T147" s="58">
        <f t="shared" si="65"/>
        <v>11392490.205212515</v>
      </c>
      <c r="U147" s="58">
        <f t="shared" si="65"/>
        <v>11055034.843672249</v>
      </c>
      <c r="V147" s="58">
        <f t="shared" si="65"/>
        <v>10697332.16043957</v>
      </c>
      <c r="W147" s="58">
        <f t="shared" si="65"/>
        <v>10318167.31621292</v>
      </c>
      <c r="X147" s="58">
        <f t="shared" si="65"/>
        <v>9916252.5813326817</v>
      </c>
      <c r="Y147" s="58">
        <f t="shared" si="65"/>
        <v>9490222.9623596221</v>
      </c>
      <c r="Z147" s="58">
        <f t="shared" si="65"/>
        <v>9038631.5662481841</v>
      </c>
    </row>
    <row r="148" spans="2:26">
      <c r="B148" s="71" t="s">
        <v>165</v>
      </c>
      <c r="F148" s="89" t="str">
        <f>+IFERROR(F138/F147,"")</f>
        <v/>
      </c>
      <c r="G148" s="89" t="str">
        <f t="shared" ref="G148:Z148" si="66">+IFERROR(G138/G147,"")</f>
        <v/>
      </c>
      <c r="H148" s="89" t="str">
        <f t="shared" si="66"/>
        <v/>
      </c>
      <c r="I148" s="89">
        <f>+IFERROR(I138/I147,"")</f>
        <v>0.71326919712672954</v>
      </c>
      <c r="J148" s="89">
        <f t="shared" si="66"/>
        <v>1.4969976921633379</v>
      </c>
      <c r="K148" s="89">
        <f t="shared" si="66"/>
        <v>1.5540114901915181</v>
      </c>
      <c r="L148" s="89">
        <f t="shared" si="66"/>
        <v>1.645472376991713</v>
      </c>
      <c r="M148" s="89">
        <f t="shared" si="66"/>
        <v>1.7115645713098453</v>
      </c>
      <c r="N148" s="89">
        <f t="shared" si="66"/>
        <v>1.7827636523786679</v>
      </c>
      <c r="O148" s="89">
        <f t="shared" si="66"/>
        <v>1.8596982784520981</v>
      </c>
      <c r="P148" s="89">
        <f t="shared" si="66"/>
        <v>1.9431065666593195</v>
      </c>
      <c r="Q148" s="89">
        <f t="shared" si="66"/>
        <v>2.0705232576495867</v>
      </c>
      <c r="R148" s="89">
        <f t="shared" si="66"/>
        <v>2.1705274984118623</v>
      </c>
      <c r="S148" s="89">
        <f t="shared" si="66"/>
        <v>2.2802611334796175</v>
      </c>
      <c r="T148" s="89">
        <f t="shared" si="66"/>
        <v>2.40124930807966</v>
      </c>
      <c r="U148" s="89">
        <f t="shared" si="66"/>
        <v>2.5353563785202811</v>
      </c>
      <c r="V148" s="89">
        <f t="shared" si="66"/>
        <v>2.7312355024038122</v>
      </c>
      <c r="W148" s="89">
        <f t="shared" si="66"/>
        <v>2.9007699075589919</v>
      </c>
      <c r="X148" s="89">
        <f t="shared" si="66"/>
        <v>3.0924984785721263</v>
      </c>
      <c r="Y148" s="89">
        <f t="shared" si="66"/>
        <v>3.3111644622120133</v>
      </c>
      <c r="Z148" s="89">
        <f t="shared" si="66"/>
        <v>3.5629711288247417</v>
      </c>
    </row>
    <row r="150" spans="2:26">
      <c r="B150" s="21" t="s">
        <v>161</v>
      </c>
      <c r="F150" s="16">
        <f>+F142*Assumptions!$P$152</f>
        <v>0</v>
      </c>
      <c r="G150" s="16">
        <f>+G142*Assumptions!$P$152</f>
        <v>0</v>
      </c>
      <c r="H150" s="16">
        <f>+H142*Assumptions!$P$152</f>
        <v>0</v>
      </c>
      <c r="I150" s="16">
        <v>0</v>
      </c>
      <c r="J150" s="16">
        <f>+J142*Assumptions!$P$152</f>
        <v>0</v>
      </c>
      <c r="K150" s="16">
        <f>+K142*Assumptions!$P$152</f>
        <v>0</v>
      </c>
      <c r="L150" s="16">
        <f>+L142*Assumptions!$P$152</f>
        <v>0</v>
      </c>
      <c r="M150" s="16">
        <f>+M142*Assumptions!$P$152</f>
        <v>0</v>
      </c>
      <c r="N150" s="16">
        <f>+N142*Assumptions!$P$152</f>
        <v>0</v>
      </c>
      <c r="O150" s="16">
        <f>+O142*Assumptions!$P$152</f>
        <v>0</v>
      </c>
      <c r="P150" s="16">
        <f>+P142*Assumptions!$P$152</f>
        <v>0</v>
      </c>
      <c r="Q150" s="16">
        <f>+Q142*Assumptions!$P$152</f>
        <v>0</v>
      </c>
      <c r="R150" s="16">
        <f>+R142*Assumptions!$P$152</f>
        <v>0</v>
      </c>
      <c r="S150" s="16">
        <f>+S142*Assumptions!$P$152</f>
        <v>0</v>
      </c>
      <c r="T150" s="16">
        <f>+T142*Assumptions!$P$152</f>
        <v>0</v>
      </c>
      <c r="U150" s="16">
        <f>+U142*Assumptions!$P$152</f>
        <v>0</v>
      </c>
      <c r="V150" s="16">
        <f>+V142*Assumptions!$P$152</f>
        <v>0</v>
      </c>
      <c r="W150" s="16">
        <f>+W142*Assumptions!$P$152</f>
        <v>0</v>
      </c>
      <c r="X150" s="16">
        <f>+X142*Assumptions!$P$152</f>
        <v>0</v>
      </c>
      <c r="Y150" s="16">
        <f>+Y142*Assumptions!$P$152</f>
        <v>0</v>
      </c>
      <c r="Z150" s="16">
        <f>+Z142*Assumptions!$P$152</f>
        <v>0</v>
      </c>
    </row>
    <row r="152" spans="2:26" s="82" customFormat="1">
      <c r="B152" s="62" t="s">
        <v>603</v>
      </c>
      <c r="C152" s="62"/>
      <c r="D152" s="62"/>
      <c r="E152" s="62"/>
      <c r="F152" s="58">
        <f>+F138-F147-F150</f>
        <v>0</v>
      </c>
      <c r="G152" s="58">
        <f>+G138-G147-G150</f>
        <v>0</v>
      </c>
      <c r="H152" s="58">
        <f t="shared" ref="H152:Z152" si="67">+H138-H147-H150</f>
        <v>0</v>
      </c>
      <c r="I152" s="58">
        <v>0</v>
      </c>
      <c r="J152" s="58">
        <f t="shared" si="67"/>
        <v>6896434.9239489827</v>
      </c>
      <c r="K152" s="58">
        <f t="shared" si="67"/>
        <v>7583175.0578151103</v>
      </c>
      <c r="L152" s="58">
        <f t="shared" si="67"/>
        <v>8706143.3109712992</v>
      </c>
      <c r="M152" s="58">
        <f t="shared" si="67"/>
        <v>9446940.9839165192</v>
      </c>
      <c r="N152" s="58">
        <f t="shared" si="67"/>
        <v>10216527.602609387</v>
      </c>
      <c r="O152" s="58">
        <f t="shared" si="67"/>
        <v>11016152.204135843</v>
      </c>
      <c r="P152" s="58">
        <f t="shared" si="67"/>
        <v>11847124.24817281</v>
      </c>
      <c r="Q152" s="58">
        <f t="shared" si="67"/>
        <v>13161561.486022105</v>
      </c>
      <c r="R152" s="58">
        <f t="shared" si="67"/>
        <v>14059414.59418549</v>
      </c>
      <c r="S152" s="58">
        <f t="shared" si="67"/>
        <v>14992938.822964128</v>
      </c>
      <c r="T152" s="58">
        <f t="shared" si="67"/>
        <v>15963719.01735834</v>
      </c>
      <c r="U152" s="58">
        <f t="shared" si="67"/>
        <v>16973418.261996146</v>
      </c>
      <c r="V152" s="58">
        <f t="shared" si="67"/>
        <v>18519601.217159055</v>
      </c>
      <c r="W152" s="58">
        <f t="shared" si="67"/>
        <v>19612461.935816243</v>
      </c>
      <c r="X152" s="58">
        <f t="shared" si="67"/>
        <v>20749743.439575553</v>
      </c>
      <c r="Y152" s="58">
        <f t="shared" si="67"/>
        <v>21933466.049073976</v>
      </c>
      <c r="Z152" s="58">
        <f t="shared" si="67"/>
        <v>23165751.748378053</v>
      </c>
    </row>
    <row r="154" spans="2:26">
      <c r="B154" s="699" t="s">
        <v>604</v>
      </c>
    </row>
    <row r="155" spans="2:26">
      <c r="B155" s="15" t="s">
        <v>605</v>
      </c>
      <c r="F155" s="16">
        <f>+IF(YEAR(F$140)=YEAR(Assumptions!$H$30),F136+F114+F93+F72+F51+F28,0)</f>
        <v>0</v>
      </c>
      <c r="G155" s="16">
        <f>+IF(YEAR(G$140)=YEAR(Assumptions!$H$30),G136+G114+G93+G72+G51+G28,0)</f>
        <v>0</v>
      </c>
      <c r="H155" s="16">
        <f>+IF(YEAR(H$140)=YEAR(Assumptions!$H$30),H136+H114+H93+H72+H51+H28,0)</f>
        <v>0</v>
      </c>
      <c r="I155" s="16">
        <f>+IF(YEAR(I$140)=YEAR(Assumptions!$H$30),I136+I114+I93+I72+I51+I28,0)</f>
        <v>0</v>
      </c>
      <c r="J155" s="16">
        <f>+IF(YEAR(J$140)=YEAR(Assumptions!$H$30),J136+J114+J93+J72+J51+J28,0)</f>
        <v>0</v>
      </c>
      <c r="K155" s="16">
        <f>+IF(YEAR(K$140)=YEAR(Assumptions!$H$30),K136+K114+K93+K72+K51+K28,0)</f>
        <v>0</v>
      </c>
      <c r="L155" s="16">
        <f>+IF(YEAR(L$140)=YEAR(Assumptions!$H$30),L136+L114+L93+L72+L51+L28,0)</f>
        <v>0</v>
      </c>
      <c r="M155" s="16">
        <f>M28+M51+M72+M136</f>
        <v>400086614.03837138</v>
      </c>
      <c r="N155" s="16">
        <f>+IF(YEAR(N$140)=YEAR(Assumptions!$H$30),N136+N114+N93+N72+N51+N28,0)</f>
        <v>0</v>
      </c>
      <c r="O155" s="16">
        <f>+IF(YEAR(O$140)=YEAR(Assumptions!$H$30),O136+O114+O93+O72+O51+O28,0)</f>
        <v>0</v>
      </c>
      <c r="P155" s="16">
        <f>+IF(YEAR(P$140)=YEAR(Assumptions!$H$30),P136+P114+P93+P72+P51+P28,0)</f>
        <v>0</v>
      </c>
      <c r="Q155" s="16">
        <f>+IF(YEAR(Q$140)=YEAR(Assumptions!$H$30),Q136+Q114+Q93+Q72+Q51+Q28,0)</f>
        <v>0</v>
      </c>
      <c r="R155" s="16">
        <f>+IF(YEAR(R$140)=YEAR(Assumptions!$H$30),R136+R114+R93+R72+R51+R28,0)</f>
        <v>0</v>
      </c>
      <c r="S155" s="16">
        <f>+IF(YEAR(S$140)=YEAR(Assumptions!$H$30),S136+S114+S93+S72+S51+S28,0)</f>
        <v>0</v>
      </c>
      <c r="T155" s="16">
        <f>+IF(YEAR(T$140)=YEAR(Assumptions!$H$30),T136+T114+T93+T72+T51+T28,0)</f>
        <v>0</v>
      </c>
      <c r="U155" s="16">
        <f>+IF(YEAR(U$140)=YEAR(Assumptions!$H$30),U136+U114+U93+U72+U51+U28,0)</f>
        <v>0</v>
      </c>
      <c r="V155" s="16">
        <f>+IF(YEAR(V$140)=YEAR(Assumptions!$H$30),V136+V114+V93+V72+V51+V28,0)</f>
        <v>0</v>
      </c>
      <c r="W155" s="16">
        <f>+IF(YEAR(W$140)=YEAR(Assumptions!$H$30),W136+W114+W93+W72+W51+W28,0)</f>
        <v>0</v>
      </c>
      <c r="X155" s="16">
        <f>+IF(YEAR(X$140)=YEAR(Assumptions!$H$30),X136+X114+X93+X72+X51+X28,0)</f>
        <v>0</v>
      </c>
      <c r="Y155" s="16">
        <f>+IF(YEAR(Y$140)=YEAR(Assumptions!$H$30),Y136+Y114+Y93+Y72+Y51+Y28,0)</f>
        <v>0</v>
      </c>
      <c r="Z155" s="16">
        <f>+IF(YEAR(Z$140)=YEAR(Assumptions!$H$30),Z136+Z114+Z93+Z72+Z51+Z28,0)</f>
        <v>0</v>
      </c>
    </row>
    <row r="156" spans="2:26" ht="18.5">
      <c r="B156" s="99" t="s">
        <v>606</v>
      </c>
      <c r="C156" s="99"/>
      <c r="D156" s="99"/>
      <c r="E156" s="99"/>
      <c r="F156" s="76">
        <f>+IF(YEAR(F$140)=YEAR(Assumptions!$H$26),('S&amp;U'!$J$23-'S&amp;U'!$T$25),0)</f>
        <v>0</v>
      </c>
      <c r="G156" s="76">
        <f>+IF(YEAR(G$140)=YEAR(Assumptions!$H$26),('S&amp;U'!$J$23-'S&amp;U'!$T$25),0)</f>
        <v>0</v>
      </c>
      <c r="H156" s="76">
        <f>+IF(YEAR(H$140)=YEAR(Assumptions!$H$26),('S&amp;U'!$J$23-'S&amp;U'!$T$25),0)</f>
        <v>0</v>
      </c>
      <c r="I156" s="612">
        <f ca="1">I142-SUM(F197:H197)</f>
        <v>30067350.980219007</v>
      </c>
      <c r="J156" s="76">
        <f>+IF(YEAR(J$140)=YEAR(Assumptions!$H$26),('S&amp;U'!$J$23-'S&amp;U'!$T$25),0)</f>
        <v>0</v>
      </c>
      <c r="K156" s="76">
        <f>+IF(YEAR(K$140)=YEAR(Assumptions!$H$26),('S&amp;U'!$J$23-'S&amp;U'!$T$25),0)</f>
        <v>0</v>
      </c>
      <c r="L156" s="76">
        <f>+IF(YEAR(L$140)=YEAR(Assumptions!$H$26),('S&amp;U'!$J$23-'S&amp;U'!$T$25),0)</f>
        <v>0</v>
      </c>
      <c r="M156" s="76">
        <f>+IF(YEAR(M$140)=YEAR(Assumptions!$H$26),('S&amp;U'!$J$23-'S&amp;U'!$T$25),0)</f>
        <v>0</v>
      </c>
      <c r="N156" s="76">
        <f>+IF(YEAR(N$140)=YEAR(Assumptions!$H$26),('S&amp;U'!$J$23-'S&amp;U'!$T$25),0)</f>
        <v>0</v>
      </c>
      <c r="O156" s="76">
        <f>+IF(YEAR(O$140)=YEAR(Assumptions!$H$26),('S&amp;U'!$J$23-'S&amp;U'!$T$25),0)</f>
        <v>0</v>
      </c>
      <c r="P156" s="76">
        <f>+IF(YEAR(P$140)=YEAR(Assumptions!$H$26),('S&amp;U'!$J$23-'S&amp;U'!$T$25),0)</f>
        <v>0</v>
      </c>
      <c r="Q156" s="76">
        <f>+IF(YEAR(Q$140)=YEAR(Assumptions!$H$26),('S&amp;U'!$J$23-'S&amp;U'!$T$25),0)</f>
        <v>0</v>
      </c>
      <c r="R156" s="76">
        <f>+IF(YEAR(R$140)=YEAR(Assumptions!$H$26),('S&amp;U'!$J$23-'S&amp;U'!$T$25),0)</f>
        <v>0</v>
      </c>
      <c r="S156" s="76">
        <f>+IF(YEAR(S$140)=YEAR(Assumptions!$H$26),('S&amp;U'!$J$23-'S&amp;U'!$T$25),0)</f>
        <v>0</v>
      </c>
      <c r="T156" s="76">
        <f>+IF(YEAR(T$140)=YEAR(Assumptions!$H$26),('S&amp;U'!$J$23-'S&amp;U'!$T$25),0)</f>
        <v>0</v>
      </c>
      <c r="U156" s="76">
        <f>+IF(YEAR(U$140)=YEAR(Assumptions!$H$26),('S&amp;U'!$J$23-'S&amp;U'!$T$25),0)</f>
        <v>0</v>
      </c>
      <c r="V156" s="76">
        <f>+IF(YEAR(V$140)=YEAR(Assumptions!$H$26),('S&amp;U'!$J$23-'S&amp;U'!$T$25),0)</f>
        <v>0</v>
      </c>
      <c r="W156" s="76">
        <f>+IF(YEAR(W$140)=YEAR(Assumptions!$H$26),('S&amp;U'!$J$23-'S&amp;U'!$T$25),0)</f>
        <v>0</v>
      </c>
      <c r="X156" s="76">
        <f>+IF(YEAR(X$140)=YEAR(Assumptions!$H$26),('S&amp;U'!$J$23-'S&amp;U'!$T$25),0)</f>
        <v>0</v>
      </c>
      <c r="Y156" s="76">
        <f>+IF(YEAR(Y$140)=YEAR(Assumptions!$H$26),('S&amp;U'!$J$23-'S&amp;U'!$T$25),0)</f>
        <v>0</v>
      </c>
      <c r="Z156" s="76">
        <f>+IF(YEAR(Z$140)=YEAR(Assumptions!$H$26),('S&amp;U'!$J$23-'S&amp;U'!$T$25),0)</f>
        <v>0</v>
      </c>
    </row>
    <row r="157" spans="2:26">
      <c r="B157" s="15" t="s">
        <v>607</v>
      </c>
      <c r="F157" s="76">
        <f>-F155*Assumptions!$P$136</f>
        <v>0</v>
      </c>
      <c r="G157" s="76">
        <f>-G155*Assumptions!$P$136</f>
        <v>0</v>
      </c>
      <c r="H157" s="76">
        <f>-H155*Assumptions!$P$136</f>
        <v>0</v>
      </c>
      <c r="I157" s="612">
        <f>-I155*Assumptions!$P$136</f>
        <v>0</v>
      </c>
      <c r="J157" s="76">
        <f>-J155*Assumptions!$P$136</f>
        <v>0</v>
      </c>
      <c r="K157" s="76">
        <f>-K155*Assumptions!$P$136</f>
        <v>0</v>
      </c>
      <c r="L157" s="76">
        <f>-L155*Assumptions!$P$136</f>
        <v>0</v>
      </c>
      <c r="M157" s="76">
        <f>-M155*Assumptions!$P$136</f>
        <v>-8001732.2807674278</v>
      </c>
      <c r="N157" s="76">
        <f>-N155*Assumptions!$P$136</f>
        <v>0</v>
      </c>
      <c r="O157" s="76">
        <f>-O155*Assumptions!$P$136</f>
        <v>0</v>
      </c>
      <c r="P157" s="76">
        <f>-P155*Assumptions!$P$136</f>
        <v>0</v>
      </c>
      <c r="Q157" s="76">
        <f>-Q155*Assumptions!$P$136</f>
        <v>0</v>
      </c>
      <c r="R157" s="76">
        <f>-R155*Assumptions!$P$136</f>
        <v>0</v>
      </c>
      <c r="S157" s="76">
        <f>-S155*Assumptions!$P$136</f>
        <v>0</v>
      </c>
      <c r="T157" s="76">
        <f>-T155*Assumptions!$P$136</f>
        <v>0</v>
      </c>
      <c r="U157" s="76">
        <f>-U155*Assumptions!$P$136</f>
        <v>0</v>
      </c>
      <c r="V157" s="76">
        <f>-V155*Assumptions!$P$136</f>
        <v>0</v>
      </c>
      <c r="W157" s="76">
        <f>-W155*Assumptions!$P$136</f>
        <v>0</v>
      </c>
      <c r="X157" s="76">
        <f>-X155*Assumptions!$P$136</f>
        <v>0</v>
      </c>
      <c r="Y157" s="76">
        <f>-Y155*Assumptions!$P$136</f>
        <v>0</v>
      </c>
      <c r="Z157" s="76">
        <f>-Z155*Assumptions!$P$136</f>
        <v>0</v>
      </c>
    </row>
    <row r="158" spans="2:26">
      <c r="B158" s="15" t="s">
        <v>608</v>
      </c>
      <c r="F158" s="76">
        <f>+IF(YEAR(F$140)=YEAR(Assumptions!$H$30),-F144,0)</f>
        <v>0</v>
      </c>
      <c r="G158" s="76">
        <f>+IF(YEAR(G$140)=YEAR(Assumptions!$H$30),-G144,0)</f>
        <v>0</v>
      </c>
      <c r="H158" s="76">
        <f>+IF(YEAR(H$140)=YEAR(Assumptions!$H$30),-H144,0)</f>
        <v>0</v>
      </c>
      <c r="I158" s="612">
        <f>+IF(YEAR(I$140)=YEAR(Assumptions!$H$30),-I144,0)</f>
        <v>0</v>
      </c>
      <c r="J158" s="76">
        <f>+IF(YEAR(J$140)=YEAR(Assumptions!$H$30),-J144,0)</f>
        <v>0</v>
      </c>
      <c r="K158" s="76">
        <f>+IF(YEAR(K$140)=YEAR(Assumptions!$H$30),-K144,0)</f>
        <v>0</v>
      </c>
      <c r="L158" s="76">
        <f>+IF(YEAR(L$140)=YEAR(Assumptions!$H$30),-L144,0)</f>
        <v>0</v>
      </c>
      <c r="M158" s="76">
        <f>+IF(YEAR(M$140)=YEAR(Assumptions!$H$30),-M144,0)</f>
        <v>-217531127.72425687</v>
      </c>
      <c r="N158" s="76">
        <f>+IF(YEAR(N$140)=YEAR(Assumptions!$H$30),-N144,0)</f>
        <v>0</v>
      </c>
      <c r="O158" s="76">
        <f>+IF(YEAR(O$140)=YEAR(Assumptions!$H$30),-O144,0)</f>
        <v>0</v>
      </c>
      <c r="P158" s="76">
        <f>+IF(YEAR(P$140)=YEAR(Assumptions!$H$30),-P144,0)</f>
        <v>0</v>
      </c>
      <c r="Q158" s="76">
        <f>+IF(YEAR(Q$140)=YEAR(Assumptions!$H$30),-Q144,0)</f>
        <v>0</v>
      </c>
      <c r="R158" s="76">
        <f>+IF(YEAR(R$140)=YEAR(Assumptions!$H$30),-R144,0)</f>
        <v>0</v>
      </c>
      <c r="S158" s="76">
        <f>+IF(YEAR(S$140)=YEAR(Assumptions!$H$30),-S144,0)</f>
        <v>0</v>
      </c>
      <c r="T158" s="76">
        <f>+IF(YEAR(T$140)=YEAR(Assumptions!$H$30),-T144,0)</f>
        <v>0</v>
      </c>
      <c r="U158" s="76">
        <f>+IF(YEAR(U$140)=YEAR(Assumptions!$H$30),-U144,0)</f>
        <v>0</v>
      </c>
      <c r="V158" s="76">
        <f>+IF(YEAR(V$140)=YEAR(Assumptions!$H$30),-V144,0)</f>
        <v>0</v>
      </c>
      <c r="W158" s="76">
        <f>+IF(YEAR(W$140)=YEAR(Assumptions!$H$30),-W144,0)</f>
        <v>0</v>
      </c>
      <c r="X158" s="76">
        <f>+IF(YEAR(X$140)=YEAR(Assumptions!$H$30),-X144,0)</f>
        <v>0</v>
      </c>
      <c r="Y158" s="76">
        <f>+IF(YEAR(Y$140)=YEAR(Assumptions!$H$30),-Y144,0)</f>
        <v>0</v>
      </c>
      <c r="Z158" s="76">
        <f>+IF(YEAR(Z$140)=YEAR(Assumptions!$H$30),-Z144,0)</f>
        <v>0</v>
      </c>
    </row>
    <row r="159" spans="2:26">
      <c r="B159" s="62" t="s">
        <v>609</v>
      </c>
      <c r="C159" s="62"/>
      <c r="D159" s="62"/>
      <c r="E159" s="62"/>
      <c r="F159" s="58">
        <f>+SUM(F155:F158)</f>
        <v>0</v>
      </c>
      <c r="G159" s="58">
        <f t="shared" ref="G159:Z159" si="68">+SUM(G155:G158)</f>
        <v>0</v>
      </c>
      <c r="H159" s="58">
        <f t="shared" si="68"/>
        <v>0</v>
      </c>
      <c r="I159" s="58">
        <f ca="1">+SUM(I155:I158)</f>
        <v>30067350.980219007</v>
      </c>
      <c r="J159" s="58">
        <f t="shared" ref="J159:V159" si="69">+SUM(J155:J158)</f>
        <v>0</v>
      </c>
      <c r="K159" s="58">
        <f t="shared" si="69"/>
        <v>0</v>
      </c>
      <c r="L159" s="58">
        <f t="shared" si="69"/>
        <v>0</v>
      </c>
      <c r="M159" s="58">
        <f t="shared" si="69"/>
        <v>174553754.03334707</v>
      </c>
      <c r="N159" s="58">
        <f t="shared" si="69"/>
        <v>0</v>
      </c>
      <c r="O159" s="58">
        <f t="shared" si="69"/>
        <v>0</v>
      </c>
      <c r="P159" s="58">
        <f t="shared" si="69"/>
        <v>0</v>
      </c>
      <c r="Q159" s="58">
        <f t="shared" si="69"/>
        <v>0</v>
      </c>
      <c r="R159" s="58">
        <f t="shared" si="69"/>
        <v>0</v>
      </c>
      <c r="S159" s="58">
        <f t="shared" si="69"/>
        <v>0</v>
      </c>
      <c r="T159" s="58">
        <f t="shared" si="69"/>
        <v>0</v>
      </c>
      <c r="U159" s="58">
        <f t="shared" si="69"/>
        <v>0</v>
      </c>
      <c r="V159" s="58">
        <f t="shared" si="69"/>
        <v>0</v>
      </c>
      <c r="W159" s="58">
        <f t="shared" si="68"/>
        <v>0</v>
      </c>
      <c r="X159" s="58">
        <f t="shared" si="68"/>
        <v>0</v>
      </c>
      <c r="Y159" s="58">
        <f t="shared" si="68"/>
        <v>0</v>
      </c>
      <c r="Z159" s="58">
        <f t="shared" si="68"/>
        <v>0</v>
      </c>
    </row>
    <row r="160" spans="2:26">
      <c r="B160" s="100" t="s">
        <v>610</v>
      </c>
    </row>
    <row r="162" spans="2:26">
      <c r="B162" s="653" t="s">
        <v>611</v>
      </c>
      <c r="C162" s="653"/>
      <c r="D162" s="653"/>
      <c r="E162" s="653"/>
      <c r="F162" s="544">
        <f>+IF(YEAR(F$140)&lt;=YEAR(Assumptions!$H$30),'Phase III Pro Forma'!F159+'Phase III Pro Forma'!F152,0)</f>
        <v>0</v>
      </c>
      <c r="G162" s="544">
        <f>+IF(YEAR(G$140)&lt;=YEAR(Assumptions!$H$30),'Phase III Pro Forma'!G159+'Phase III Pro Forma'!G152,0)</f>
        <v>0</v>
      </c>
      <c r="H162" s="544">
        <f>+IF(YEAR(H$140)&lt;=YEAR(Assumptions!$H$30),'Phase III Pro Forma'!H159+'Phase III Pro Forma'!H152,0)</f>
        <v>0</v>
      </c>
      <c r="I162" s="544">
        <f ca="1">I159</f>
        <v>30067350.980219007</v>
      </c>
      <c r="J162" s="544">
        <f>+IF(YEAR(J$140)&lt;=YEAR(Assumptions!$H$30),'Phase III Pro Forma'!J159+'Phase III Pro Forma'!J152,0)</f>
        <v>6896434.9239489827</v>
      </c>
      <c r="K162" s="544">
        <f>+IF(YEAR(K$140)&lt;=YEAR(Assumptions!$H$30),'Phase III Pro Forma'!K159+'Phase III Pro Forma'!K152,0)</f>
        <v>7583175.0578151103</v>
      </c>
      <c r="L162" s="544">
        <f>+IF(YEAR(L$140)&lt;=YEAR(Assumptions!$H$30),'Phase III Pro Forma'!L159+'Phase III Pro Forma'!L152,0)</f>
        <v>8706143.3109712992</v>
      </c>
      <c r="M162" s="544">
        <f>+IF(YEAR(M$140)&lt;=YEAR(Assumptions!$H$30),'Phase III Pro Forma'!M159+'Phase III Pro Forma'!M152,0)</f>
        <v>184000695.01726359</v>
      </c>
      <c r="N162" s="544">
        <f>+IF(YEAR(N$140)&lt;=YEAR(Assumptions!$H$30),'Phase III Pro Forma'!N159+'Phase III Pro Forma'!N152,0)</f>
        <v>0</v>
      </c>
      <c r="O162" s="544">
        <f>+IF(YEAR(O$140)&lt;=YEAR(Assumptions!$H$30),'Phase III Pro Forma'!O159+'Phase III Pro Forma'!O152,0)</f>
        <v>0</v>
      </c>
      <c r="P162" s="544">
        <f>+IF(YEAR(P$140)&lt;=YEAR(Assumptions!$H$30),'Phase III Pro Forma'!P159+'Phase III Pro Forma'!P152,0)</f>
        <v>0</v>
      </c>
      <c r="Q162" s="544">
        <f>+IF(YEAR(Q$140)&lt;=YEAR(Assumptions!$H$30),'Phase III Pro Forma'!Q159+'Phase III Pro Forma'!Q152,0)</f>
        <v>0</v>
      </c>
      <c r="R162" s="544">
        <f>+IF(YEAR(R$140)&lt;=YEAR(Assumptions!$H$30),'Phase III Pro Forma'!R159+'Phase III Pro Forma'!R152,0)</f>
        <v>0</v>
      </c>
      <c r="S162" s="544">
        <f>+IF(YEAR(S$140)&lt;=YEAR(Assumptions!$H$30),'Phase III Pro Forma'!S159+'Phase III Pro Forma'!S152,0)</f>
        <v>0</v>
      </c>
      <c r="T162" s="544">
        <f>+IF(YEAR(T$140)&lt;=YEAR(Assumptions!$H$30),'Phase III Pro Forma'!T159+'Phase III Pro Forma'!T152,0)</f>
        <v>0</v>
      </c>
      <c r="U162" s="544">
        <f>+IF(YEAR(U$140)&lt;=YEAR(Assumptions!$H$30),'Phase III Pro Forma'!U159+'Phase III Pro Forma'!U152,0)</f>
        <v>0</v>
      </c>
      <c r="V162" s="544">
        <f>+IF(YEAR(V$140)&lt;=YEAR(Assumptions!$H$30),'Phase III Pro Forma'!V159+'Phase III Pro Forma'!V152,0)</f>
        <v>0</v>
      </c>
      <c r="W162" s="544">
        <f>+IF(YEAR(W$140)&lt;=YEAR(Assumptions!$H$30),'Phase III Pro Forma'!W159+'Phase III Pro Forma'!W152,0)</f>
        <v>0</v>
      </c>
      <c r="X162" s="544">
        <f>+IF(YEAR(X$140)&lt;=YEAR(Assumptions!$H$30),'Phase III Pro Forma'!X159+'Phase III Pro Forma'!X152,0)</f>
        <v>0</v>
      </c>
      <c r="Y162" s="544">
        <f>+IF(YEAR(Y$140)&lt;=YEAR(Assumptions!$H$30),'Phase III Pro Forma'!Y159+'Phase III Pro Forma'!Y152,0)</f>
        <v>0</v>
      </c>
      <c r="Z162" s="544">
        <f>+IF(YEAR(Z$140)&lt;=YEAR(Assumptions!$H$30),'Phase III Pro Forma'!Z159+'Phase III Pro Forma'!Z152,0)</f>
        <v>0</v>
      </c>
    </row>
    <row r="163" spans="2:26" s="538" customFormat="1">
      <c r="B163" s="677"/>
      <c r="C163" s="677"/>
      <c r="D163" s="677"/>
      <c r="E163" s="677"/>
      <c r="F163" s="678"/>
      <c r="G163" s="678"/>
      <c r="H163" s="678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  <c r="S163" s="678"/>
      <c r="T163" s="678"/>
      <c r="U163" s="678"/>
      <c r="V163" s="678"/>
      <c r="W163" s="678"/>
      <c r="X163" s="678"/>
      <c r="Y163" s="678"/>
      <c r="Z163" s="678"/>
    </row>
    <row r="165" spans="2:26">
      <c r="B165" s="73" t="s">
        <v>630</v>
      </c>
    </row>
    <row r="166" spans="2:26">
      <c r="B166" s="15" t="s">
        <v>605</v>
      </c>
      <c r="F166" s="16">
        <f>F155</f>
        <v>0</v>
      </c>
      <c r="G166" s="16">
        <f t="shared" ref="G166:O166" si="70">G155</f>
        <v>0</v>
      </c>
      <c r="H166" s="16">
        <f t="shared" si="70"/>
        <v>0</v>
      </c>
      <c r="I166" s="16">
        <f t="shared" si="70"/>
        <v>0</v>
      </c>
      <c r="J166" s="16">
        <f t="shared" si="70"/>
        <v>0</v>
      </c>
      <c r="K166" s="16">
        <f t="shared" si="70"/>
        <v>0</v>
      </c>
      <c r="L166" s="16">
        <f t="shared" si="70"/>
        <v>0</v>
      </c>
      <c r="M166" s="16">
        <f t="shared" si="70"/>
        <v>400086614.03837138</v>
      </c>
      <c r="N166" s="16">
        <f t="shared" si="70"/>
        <v>0</v>
      </c>
      <c r="O166" s="16">
        <f t="shared" si="70"/>
        <v>0</v>
      </c>
      <c r="P166" s="16">
        <f>+IF(YEAR(P$140)=YEAR(Assumptions!$H$30),#REF!,0)</f>
        <v>0</v>
      </c>
      <c r="Q166" s="16">
        <f>+IF(YEAR(Q$140)=YEAR(Assumptions!$H$30),#REF!,0)</f>
        <v>0</v>
      </c>
      <c r="R166" s="16">
        <f>+IF(YEAR(R$140)=YEAR(Assumptions!$H$30),#REF!,0)</f>
        <v>0</v>
      </c>
      <c r="S166" s="16">
        <f>+IF(YEAR(S$140)=YEAR(Assumptions!$H$30),#REF!,0)</f>
        <v>0</v>
      </c>
      <c r="T166" s="16">
        <f>+IF(YEAR(T$140)=YEAR(Assumptions!$H$30),#REF!,0)</f>
        <v>0</v>
      </c>
      <c r="U166" s="16">
        <f>+IF(YEAR(U$140)=YEAR(Assumptions!$H$30),#REF!,0)</f>
        <v>0</v>
      </c>
      <c r="V166" s="16">
        <f>+IF(YEAR(V$140)=YEAR(Assumptions!$H$30),#REF!,0)</f>
        <v>0</v>
      </c>
      <c r="W166" s="16">
        <f>+IF(YEAR(W$140)=YEAR(Assumptions!$H$30),#REF!,0)</f>
        <v>0</v>
      </c>
      <c r="X166" s="16">
        <f>+IF(YEAR(X$140)=YEAR(Assumptions!$H$30),#REF!,0)</f>
        <v>0</v>
      </c>
      <c r="Y166" s="16">
        <f>+IF(YEAR(Y$140)=YEAR(Assumptions!$H$30),#REF!,0)</f>
        <v>0</v>
      </c>
      <c r="Z166" s="16">
        <f>+IF(YEAR(Z$140)=YEAR(Assumptions!$H$30),#REF!,0)</f>
        <v>0</v>
      </c>
    </row>
    <row r="167" spans="2:26">
      <c r="B167" s="15" t="s">
        <v>607</v>
      </c>
      <c r="F167" s="76">
        <f>F157</f>
        <v>0</v>
      </c>
      <c r="G167" s="76">
        <f t="shared" ref="G167:O167" si="71">G157</f>
        <v>0</v>
      </c>
      <c r="H167" s="76">
        <f t="shared" si="71"/>
        <v>0</v>
      </c>
      <c r="I167" s="76">
        <f t="shared" si="71"/>
        <v>0</v>
      </c>
      <c r="J167" s="76">
        <f t="shared" si="71"/>
        <v>0</v>
      </c>
      <c r="K167" s="76">
        <f t="shared" si="71"/>
        <v>0</v>
      </c>
      <c r="L167" s="76">
        <f t="shared" si="71"/>
        <v>0</v>
      </c>
      <c r="M167" s="76">
        <f t="shared" si="71"/>
        <v>-8001732.2807674278</v>
      </c>
      <c r="N167" s="76">
        <f t="shared" si="71"/>
        <v>0</v>
      </c>
      <c r="O167" s="76">
        <f t="shared" si="71"/>
        <v>0</v>
      </c>
      <c r="P167" s="76">
        <f>-P166*Assumptions!$P$136</f>
        <v>0</v>
      </c>
      <c r="Q167" s="76">
        <f>-Q166*Assumptions!$P$136</f>
        <v>0</v>
      </c>
      <c r="R167" s="76">
        <f>-R166*Assumptions!$P$136</f>
        <v>0</v>
      </c>
      <c r="S167" s="76">
        <f>-S166*Assumptions!$P$136</f>
        <v>0</v>
      </c>
      <c r="T167" s="76">
        <f>-T166*Assumptions!$P$136</f>
        <v>0</v>
      </c>
      <c r="U167" s="76">
        <f>-U166*Assumptions!$P$136</f>
        <v>0</v>
      </c>
      <c r="V167" s="76">
        <f>-V166*Assumptions!$P$136</f>
        <v>0</v>
      </c>
      <c r="W167" s="76">
        <f>-W166*Assumptions!$P$136</f>
        <v>0</v>
      </c>
      <c r="X167" s="76">
        <f>-X166*Assumptions!$P$136</f>
        <v>0</v>
      </c>
      <c r="Y167" s="76">
        <f>-Y166*Assumptions!$P$136</f>
        <v>0</v>
      </c>
      <c r="Z167" s="76">
        <f>-Z166*Assumptions!$P$136</f>
        <v>0</v>
      </c>
    </row>
    <row r="168" spans="2:26">
      <c r="B168" s="15" t="s">
        <v>608</v>
      </c>
      <c r="F168" s="76">
        <f>F158</f>
        <v>0</v>
      </c>
      <c r="G168" s="76">
        <f t="shared" ref="G168:R168" si="72">G158</f>
        <v>0</v>
      </c>
      <c r="H168" s="76">
        <f t="shared" si="72"/>
        <v>0</v>
      </c>
      <c r="I168" s="76">
        <f t="shared" si="72"/>
        <v>0</v>
      </c>
      <c r="J168" s="76">
        <f t="shared" si="72"/>
        <v>0</v>
      </c>
      <c r="K168" s="76">
        <f t="shared" si="72"/>
        <v>0</v>
      </c>
      <c r="L168" s="76">
        <f t="shared" si="72"/>
        <v>0</v>
      </c>
      <c r="M168" s="76">
        <f t="shared" si="72"/>
        <v>-217531127.72425687</v>
      </c>
      <c r="N168" s="76">
        <f t="shared" si="72"/>
        <v>0</v>
      </c>
      <c r="O168" s="76">
        <f t="shared" si="72"/>
        <v>0</v>
      </c>
      <c r="P168" s="76">
        <f t="shared" si="72"/>
        <v>0</v>
      </c>
      <c r="Q168" s="76">
        <f t="shared" si="72"/>
        <v>0</v>
      </c>
      <c r="R168" s="76">
        <f t="shared" si="72"/>
        <v>0</v>
      </c>
      <c r="S168" s="76">
        <f>+IF(YEAR(S$140)=YEAR(Assumptions!$H$30),-#REF!,0)</f>
        <v>0</v>
      </c>
      <c r="T168" s="76">
        <f>+IF(YEAR(T$140)=YEAR(Assumptions!$H$30),-#REF!,0)</f>
        <v>0</v>
      </c>
      <c r="U168" s="76">
        <f>+IF(YEAR(U$140)=YEAR(Assumptions!$H$30),-#REF!,0)</f>
        <v>0</v>
      </c>
      <c r="V168" s="76">
        <f>+IF(YEAR(V$140)=YEAR(Assumptions!$H$30),-#REF!,0)</f>
        <v>0</v>
      </c>
      <c r="W168" s="76">
        <f>+IF(YEAR(W$140)=YEAR(Assumptions!$H$30),-#REF!,0)</f>
        <v>0</v>
      </c>
      <c r="X168" s="76">
        <f>+IF(YEAR(X$140)=YEAR(Assumptions!$H$30),-#REF!,0)</f>
        <v>0</v>
      </c>
      <c r="Y168" s="76">
        <f>+IF(YEAR(Y$140)=YEAR(Assumptions!$H$30),-#REF!,0)</f>
        <v>0</v>
      </c>
      <c r="Z168" s="76">
        <f>+IF(YEAR(Z$140)=YEAR(Assumptions!$H$30),-#REF!,0)</f>
        <v>0</v>
      </c>
    </row>
    <row r="169" spans="2:26">
      <c r="B169" s="62" t="s">
        <v>609</v>
      </c>
      <c r="C169" s="62"/>
      <c r="D169" s="62"/>
      <c r="E169" s="62"/>
      <c r="F169" s="58">
        <f t="shared" ref="F169:Z169" si="73">+SUM(F166:F168)</f>
        <v>0</v>
      </c>
      <c r="G169" s="58">
        <f t="shared" si="73"/>
        <v>0</v>
      </c>
      <c r="H169" s="58">
        <f t="shared" si="73"/>
        <v>0</v>
      </c>
      <c r="I169" s="58">
        <f t="shared" si="73"/>
        <v>0</v>
      </c>
      <c r="J169" s="58">
        <f t="shared" si="73"/>
        <v>0</v>
      </c>
      <c r="K169" s="58">
        <f t="shared" si="73"/>
        <v>0</v>
      </c>
      <c r="L169" s="58">
        <f t="shared" si="73"/>
        <v>0</v>
      </c>
      <c r="M169" s="58">
        <v>0</v>
      </c>
      <c r="N169" s="58">
        <f t="shared" si="73"/>
        <v>0</v>
      </c>
      <c r="O169" s="58">
        <f t="shared" si="73"/>
        <v>0</v>
      </c>
      <c r="P169" s="58">
        <f t="shared" si="73"/>
        <v>0</v>
      </c>
      <c r="Q169" s="58">
        <f t="shared" si="73"/>
        <v>0</v>
      </c>
      <c r="R169" s="58">
        <f t="shared" si="73"/>
        <v>0</v>
      </c>
      <c r="S169" s="58">
        <f t="shared" si="73"/>
        <v>0</v>
      </c>
      <c r="T169" s="58">
        <f t="shared" si="73"/>
        <v>0</v>
      </c>
      <c r="U169" s="58">
        <f t="shared" si="73"/>
        <v>0</v>
      </c>
      <c r="V169" s="58">
        <f t="shared" si="73"/>
        <v>0</v>
      </c>
      <c r="W169" s="58">
        <f t="shared" si="73"/>
        <v>0</v>
      </c>
      <c r="X169" s="58">
        <f t="shared" si="73"/>
        <v>0</v>
      </c>
      <c r="Y169" s="58">
        <f t="shared" si="73"/>
        <v>0</v>
      </c>
      <c r="Z169" s="58">
        <f t="shared" si="73"/>
        <v>0</v>
      </c>
    </row>
    <row r="171" spans="2:26">
      <c r="B171" s="653" t="s">
        <v>611</v>
      </c>
      <c r="C171" s="653"/>
      <c r="D171" s="653"/>
      <c r="E171" s="653"/>
      <c r="F171" s="544">
        <v>0</v>
      </c>
      <c r="G171" s="544">
        <v>0</v>
      </c>
      <c r="H171" s="544">
        <v>0</v>
      </c>
      <c r="I171" s="544">
        <v>0</v>
      </c>
      <c r="J171" s="544">
        <v>0</v>
      </c>
      <c r="K171" s="544">
        <v>0</v>
      </c>
      <c r="L171" s="544">
        <v>0</v>
      </c>
      <c r="M171" s="544">
        <v>0</v>
      </c>
      <c r="N171" s="544">
        <f>+IF(YEAR(N$140)&lt;=YEAR(Assumptions!$H$30),'Phase III Pro Forma'!N169+'Phase III Pro Forma'!#REF!,0)</f>
        <v>0</v>
      </c>
      <c r="O171" s="544">
        <f>+IF(YEAR(O$140)&lt;=YEAR(Assumptions!$H$30),'Phase III Pro Forma'!O169+'Phase III Pro Forma'!#REF!,0)</f>
        <v>0</v>
      </c>
      <c r="P171" s="544">
        <f>+IF(YEAR(P$140)&lt;=YEAR(Assumptions!$H$30),'Phase III Pro Forma'!P169+'Phase III Pro Forma'!#REF!,0)</f>
        <v>0</v>
      </c>
      <c r="Q171" s="544">
        <f>+IF(YEAR(Q$140)&lt;=YEAR(Assumptions!$H$30),'Phase III Pro Forma'!Q169+'Phase III Pro Forma'!#REF!,0)</f>
        <v>0</v>
      </c>
      <c r="R171" s="544">
        <f>+IF(YEAR(R$140)&lt;=YEAR(Assumptions!$H$30),'Phase III Pro Forma'!R169+'Phase III Pro Forma'!#REF!,0)</f>
        <v>0</v>
      </c>
      <c r="S171" s="544">
        <f>+IF(YEAR(S$140)&lt;=YEAR(Assumptions!$H$30),'Phase III Pro Forma'!S169+'Phase III Pro Forma'!#REF!,0)</f>
        <v>0</v>
      </c>
      <c r="T171" s="544">
        <f>+IF(YEAR(T$140)&lt;=YEAR(Assumptions!$H$30),'Phase III Pro Forma'!T169+'Phase III Pro Forma'!#REF!,0)</f>
        <v>0</v>
      </c>
      <c r="U171" s="544">
        <f>+IF(YEAR(U$140)&lt;=YEAR(Assumptions!$H$30),'Phase III Pro Forma'!U169+'Phase III Pro Forma'!#REF!,0)</f>
        <v>0</v>
      </c>
      <c r="V171" s="544">
        <f>+IF(YEAR(V$140)&lt;=YEAR(Assumptions!$H$30),'Phase III Pro Forma'!V169+'Phase III Pro Forma'!#REF!,0)</f>
        <v>0</v>
      </c>
      <c r="W171" s="544">
        <f>+IF(YEAR(W$140)&lt;=YEAR(Assumptions!$H$30),'Phase III Pro Forma'!W169+'Phase III Pro Forma'!#REF!,0)</f>
        <v>0</v>
      </c>
      <c r="X171" s="544">
        <f>+IF(YEAR(X$140)&lt;=YEAR(Assumptions!$H$30),'Phase III Pro Forma'!X169+'Phase III Pro Forma'!#REF!,0)</f>
        <v>0</v>
      </c>
      <c r="Y171" s="544">
        <f>+IF(YEAR(Y$140)&lt;=YEAR(Assumptions!$H$30),'Phase III Pro Forma'!Y169+'Phase III Pro Forma'!#REF!,0)</f>
        <v>0</v>
      </c>
      <c r="Z171" s="544">
        <f>+IF(YEAR(Z$140)&lt;=YEAR(Assumptions!$H$30),'Phase III Pro Forma'!Z169+'Phase III Pro Forma'!#REF!,0)</f>
        <v>0</v>
      </c>
    </row>
    <row r="173" spans="2:26">
      <c r="B173" s="653" t="s">
        <v>631</v>
      </c>
      <c r="C173" s="653"/>
      <c r="D173" s="653"/>
      <c r="E173" s="653"/>
      <c r="F173" s="544">
        <f>+F171+F162</f>
        <v>0</v>
      </c>
      <c r="G173" s="544">
        <f>+G171+G162</f>
        <v>0</v>
      </c>
      <c r="H173" s="544">
        <f t="shared" ref="H173:Z173" si="74">+H171+H162</f>
        <v>0</v>
      </c>
      <c r="I173" s="544">
        <f ca="1">+I171+I162</f>
        <v>30067350.980219007</v>
      </c>
      <c r="J173" s="544">
        <f>+J171+J162</f>
        <v>6896434.9239489827</v>
      </c>
      <c r="K173" s="544">
        <f>+K171+K162</f>
        <v>7583175.0578151103</v>
      </c>
      <c r="L173" s="544">
        <f>+L171+L162</f>
        <v>8706143.3109712992</v>
      </c>
      <c r="M173" s="544">
        <f>+M171+M162</f>
        <v>184000695.01726359</v>
      </c>
      <c r="N173" s="544">
        <f t="shared" si="74"/>
        <v>0</v>
      </c>
      <c r="O173" s="544">
        <f t="shared" si="74"/>
        <v>0</v>
      </c>
      <c r="P173" s="544">
        <f t="shared" si="74"/>
        <v>0</v>
      </c>
      <c r="Q173" s="544">
        <f t="shared" si="74"/>
        <v>0</v>
      </c>
      <c r="R173" s="544">
        <f t="shared" si="74"/>
        <v>0</v>
      </c>
      <c r="S173" s="544">
        <f t="shared" si="74"/>
        <v>0</v>
      </c>
      <c r="T173" s="544">
        <f t="shared" si="74"/>
        <v>0</v>
      </c>
      <c r="U173" s="544">
        <f t="shared" si="74"/>
        <v>0</v>
      </c>
      <c r="V173" s="544">
        <f t="shared" si="74"/>
        <v>0</v>
      </c>
      <c r="W173" s="544">
        <f t="shared" si="74"/>
        <v>0</v>
      </c>
      <c r="X173" s="544">
        <f t="shared" si="74"/>
        <v>0</v>
      </c>
      <c r="Y173" s="544">
        <f t="shared" si="74"/>
        <v>0</v>
      </c>
      <c r="Z173" s="544">
        <f t="shared" si="74"/>
        <v>0</v>
      </c>
    </row>
    <row r="175" spans="2:26">
      <c r="B175" s="21" t="s">
        <v>632</v>
      </c>
      <c r="F175" s="16">
        <f>+F156+F197</f>
        <v>2326215</v>
      </c>
      <c r="G175" s="16">
        <v>0</v>
      </c>
      <c r="H175" s="16">
        <f ca="1">+H156+H197</f>
        <v>98955253.316130489</v>
      </c>
      <c r="I175" s="16">
        <v>0</v>
      </c>
      <c r="J175" s="16">
        <v>0</v>
      </c>
      <c r="K175" s="16">
        <f t="shared" ref="K175:Z175" si="75">+K156+K197</f>
        <v>0</v>
      </c>
      <c r="L175" s="16">
        <f t="shared" si="75"/>
        <v>0</v>
      </c>
      <c r="M175" s="16">
        <f t="shared" si="75"/>
        <v>0</v>
      </c>
      <c r="N175" s="16">
        <f t="shared" si="75"/>
        <v>0</v>
      </c>
      <c r="O175" s="16">
        <f t="shared" si="75"/>
        <v>0</v>
      </c>
      <c r="P175" s="16">
        <f t="shared" si="75"/>
        <v>0</v>
      </c>
      <c r="Q175" s="16">
        <f t="shared" si="75"/>
        <v>0</v>
      </c>
      <c r="R175" s="16">
        <f t="shared" si="75"/>
        <v>0</v>
      </c>
      <c r="S175" s="16">
        <f t="shared" si="75"/>
        <v>0</v>
      </c>
      <c r="T175" s="16">
        <f t="shared" si="75"/>
        <v>0</v>
      </c>
      <c r="U175" s="16">
        <f t="shared" si="75"/>
        <v>0</v>
      </c>
      <c r="V175" s="16">
        <f t="shared" si="75"/>
        <v>0</v>
      </c>
      <c r="W175" s="16">
        <f t="shared" si="75"/>
        <v>0</v>
      </c>
      <c r="X175" s="16">
        <f t="shared" si="75"/>
        <v>0</v>
      </c>
      <c r="Y175" s="16">
        <f t="shared" si="75"/>
        <v>0</v>
      </c>
      <c r="Z175" s="16">
        <f t="shared" si="75"/>
        <v>0</v>
      </c>
    </row>
    <row r="176" spans="2:26">
      <c r="B176" s="21" t="s">
        <v>602</v>
      </c>
      <c r="F176" s="16">
        <f>-F168-F158+F147+F150</f>
        <v>0</v>
      </c>
      <c r="G176" s="16">
        <f t="shared" ref="G176:L176" si="76">-G168-G158+G147+G150</f>
        <v>0</v>
      </c>
      <c r="H176" s="16">
        <f t="shared" si="76"/>
        <v>0</v>
      </c>
      <c r="I176" s="16">
        <f>-I168-I158+I147+I150</f>
        <v>14053958.316951428</v>
      </c>
      <c r="J176" s="16">
        <f>-J168-J158+J147+J150</f>
        <v>13876191.042115493</v>
      </c>
      <c r="K176" s="16">
        <f>-K168-K158+K147+K150</f>
        <v>13687757.730789406</v>
      </c>
      <c r="L176" s="16">
        <f t="shared" si="76"/>
        <v>13488018.420783753</v>
      </c>
      <c r="M176" s="16">
        <f>-M168-M158+M147+M150</f>
        <v>448338550.20069152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</row>
    <row r="178" spans="2:27">
      <c r="B178" s="440" t="s">
        <v>634</v>
      </c>
      <c r="C178" s="441"/>
      <c r="D178" s="441"/>
      <c r="E178" s="441"/>
      <c r="F178" s="611"/>
      <c r="G178" s="611"/>
      <c r="H178" s="611"/>
      <c r="I178" s="611"/>
      <c r="J178" s="611"/>
      <c r="K178" s="611"/>
      <c r="L178" s="611"/>
      <c r="M178" s="611"/>
      <c r="N178" s="611"/>
      <c r="O178" s="611"/>
      <c r="P178" s="611"/>
      <c r="Q178" s="611"/>
      <c r="R178" s="611"/>
      <c r="S178" s="611"/>
      <c r="T178" s="611"/>
      <c r="U178" s="611"/>
      <c r="V178" s="611"/>
      <c r="W178" s="611"/>
      <c r="X178" s="611"/>
      <c r="Y178" s="611"/>
      <c r="Z178" s="611"/>
    </row>
    <row r="180" spans="2:27">
      <c r="B180" s="73" t="s">
        <v>635</v>
      </c>
      <c r="F180" s="75">
        <f>+Assumptions!$H$22</f>
        <v>45657</v>
      </c>
      <c r="G180" s="75">
        <f>+EOMONTH(F180,12)</f>
        <v>46022</v>
      </c>
      <c r="H180" s="75">
        <f t="shared" ref="H180:Z180" si="77">+EOMONTH(G180,12)</f>
        <v>46387</v>
      </c>
      <c r="I180" s="75">
        <f t="shared" si="77"/>
        <v>46752</v>
      </c>
      <c r="J180" s="75">
        <f t="shared" si="77"/>
        <v>47118</v>
      </c>
      <c r="K180" s="75">
        <f t="shared" si="77"/>
        <v>47483</v>
      </c>
      <c r="L180" s="75">
        <f t="shared" si="77"/>
        <v>47848</v>
      </c>
      <c r="M180" s="75">
        <f t="shared" si="77"/>
        <v>48213</v>
      </c>
      <c r="N180" s="75">
        <f t="shared" si="77"/>
        <v>48579</v>
      </c>
      <c r="O180" s="75">
        <f t="shared" si="77"/>
        <v>48944</v>
      </c>
      <c r="P180" s="75">
        <f t="shared" si="77"/>
        <v>49309</v>
      </c>
      <c r="Q180" s="75">
        <f t="shared" si="77"/>
        <v>49674</v>
      </c>
      <c r="R180" s="75">
        <f t="shared" si="77"/>
        <v>50040</v>
      </c>
      <c r="S180" s="75">
        <f t="shared" si="77"/>
        <v>50405</v>
      </c>
      <c r="T180" s="75">
        <f t="shared" si="77"/>
        <v>50770</v>
      </c>
      <c r="U180" s="75">
        <f t="shared" si="77"/>
        <v>51135</v>
      </c>
      <c r="V180" s="75">
        <f t="shared" si="77"/>
        <v>51501</v>
      </c>
      <c r="W180" s="75">
        <f t="shared" si="77"/>
        <v>51866</v>
      </c>
      <c r="X180" s="75">
        <f t="shared" si="77"/>
        <v>52231</v>
      </c>
      <c r="Y180" s="75">
        <f t="shared" si="77"/>
        <v>52596</v>
      </c>
      <c r="Z180" s="75">
        <f t="shared" si="77"/>
        <v>52962</v>
      </c>
    </row>
    <row r="181" spans="2:27">
      <c r="B181" s="15" t="s">
        <v>254</v>
      </c>
      <c r="D181" s="26">
        <f>+SUM(F181:Z181)</f>
        <v>0</v>
      </c>
      <c r="E181" s="26"/>
      <c r="F181" s="16">
        <f>+IF(AND(F$180&gt;=Assumptions!$H$22,F$180&lt;Assumptions!$H$24),'S&amp;U'!$J7/ROUNDUP(Assumptions!$H$23/12,0),IF(AND(F$180&gt;=Assumptions!$H$24,F$180&lt;Assumptions!$H$26),'S&amp;U'!$J39/ROUNDUP(Assumptions!$H$25/12,0),0))</f>
        <v>0</v>
      </c>
      <c r="G181" s="16">
        <f>+IF(AND(G$180&gt;=Assumptions!$H$22,G$180&lt;Assumptions!$H$24),'S&amp;U'!$J7/ROUNDUP(Assumptions!$H$23/12,0),IF(AND(G$180&gt;=Assumptions!$H$24,G$180&lt;Assumptions!$H$26),'S&amp;U'!$J39/ROUNDUP(Assumptions!$H$25/12,0),0))</f>
        <v>0</v>
      </c>
      <c r="H181" s="16">
        <f>+IF(AND(H$180&gt;=Assumptions!$H$22,H$180&lt;Assumptions!$H$24),'S&amp;U'!$J7/ROUNDUP(Assumptions!$H$23/12,0),IF(AND(H$180&gt;=Assumptions!$H$24,H$180&lt;Assumptions!$H$26),'S&amp;U'!$J39/ROUNDUP(Assumptions!$H$25/12,0),0))</f>
        <v>0</v>
      </c>
      <c r="I181" s="16">
        <f>+IF(AND(I$180&gt;=Assumptions!$H$22,I$180&lt;Assumptions!$H$24),'S&amp;U'!$J7/ROUNDUP(Assumptions!$H$23/12,0),IF(AND(I$180&gt;=Assumptions!$H$24,I$180&lt;Assumptions!$H$26),'S&amp;U'!$J39/ROUNDUP(Assumptions!$H$25/12,0),0))</f>
        <v>0</v>
      </c>
      <c r="J181" s="16">
        <f>+IF(AND(J$180&gt;=Assumptions!$H$22,J$180&lt;Assumptions!$H$24),'S&amp;U'!$J7/ROUNDUP(Assumptions!$H$23/12,0),IF(AND(J$180&gt;=Assumptions!$H$24,J$180&lt;Assumptions!$H$26),'S&amp;U'!$J39/ROUNDUP(Assumptions!$H$25/12,0),0))</f>
        <v>0</v>
      </c>
      <c r="K181" s="16">
        <f>+IF(AND(K$180&gt;=Assumptions!$H$22,K$180&lt;Assumptions!$H$24),'S&amp;U'!$J7/ROUNDUP(Assumptions!$H$23/12,0),IF(AND(K$180&gt;=Assumptions!$H$24,K$180&lt;Assumptions!$H$26),'S&amp;U'!$J39/ROUNDUP(Assumptions!$H$25/12,0),0))</f>
        <v>0</v>
      </c>
      <c r="L181" s="16">
        <f>+IF(AND(L$180&gt;=Assumptions!$H$22,L$180&lt;Assumptions!$H$24),'S&amp;U'!$J7/ROUNDUP(Assumptions!$H$23/12,0),IF(AND(L$180&gt;=Assumptions!$H$24,L$180&lt;Assumptions!$H$26),'S&amp;U'!$J39/ROUNDUP(Assumptions!$H$25/12,0),0))</f>
        <v>0</v>
      </c>
      <c r="M181" s="16">
        <f>+IF(AND(M$180&gt;=Assumptions!$H$22,M$180&lt;Assumptions!$H$24),'S&amp;U'!$J7/ROUNDUP(Assumptions!$H$23/12,0),IF(AND(M$180&gt;=Assumptions!$H$24,M$180&lt;Assumptions!$H$26),'S&amp;U'!$J39/ROUNDUP(Assumptions!$H$25/12,0),0))</f>
        <v>0</v>
      </c>
      <c r="N181" s="16">
        <f>+IF(AND(N$180&gt;=Assumptions!$H$22,N$180&lt;Assumptions!$H$24),'S&amp;U'!$J7/ROUNDUP(Assumptions!$H$23/12,0),IF(AND(N$180&gt;=Assumptions!$H$24,N$180&lt;Assumptions!$H$26),'S&amp;U'!$J39/ROUNDUP(Assumptions!$H$25/12,0),0))</f>
        <v>0</v>
      </c>
      <c r="O181" s="16">
        <f>+IF(AND(O$180&gt;=Assumptions!$H$22,O$180&lt;Assumptions!$H$24),'S&amp;U'!$J7/ROUNDUP(Assumptions!$H$23/12,0),IF(AND(O$180&gt;=Assumptions!$H$24,O$180&lt;Assumptions!$H$26),'S&amp;U'!$J39/ROUNDUP(Assumptions!$H$25/12,0),0))</f>
        <v>0</v>
      </c>
      <c r="P181" s="16">
        <f>+IF(AND(P$180&gt;=Assumptions!$H$22,P$180&lt;Assumptions!$H$24),'S&amp;U'!$J7/ROUNDUP(Assumptions!$H$23/12,0),IF(AND(P$180&gt;=Assumptions!$H$24,P$180&lt;Assumptions!$H$26),'S&amp;U'!$J39/ROUNDUP(Assumptions!$H$25/12,0),0))</f>
        <v>0</v>
      </c>
      <c r="Q181" s="16">
        <f>+IF(AND(Q$180&gt;=Assumptions!$H$22,Q$180&lt;Assumptions!$H$24),'S&amp;U'!$J7/ROUNDUP(Assumptions!$H$23/12,0),IF(AND(Q$180&gt;=Assumptions!$H$24,Q$180&lt;Assumptions!$H$26),'S&amp;U'!$J39/ROUNDUP(Assumptions!$H$25/12,0),0))</f>
        <v>0</v>
      </c>
      <c r="R181" s="16">
        <f>+IF(AND(R$180&gt;=Assumptions!$H$22,R$180&lt;Assumptions!$H$24),'S&amp;U'!$J7/ROUNDUP(Assumptions!$H$23/12,0),IF(AND(R$180&gt;=Assumptions!$H$24,R$180&lt;Assumptions!$H$26),'S&amp;U'!$J39/ROUNDUP(Assumptions!$H$25/12,0),0))</f>
        <v>0</v>
      </c>
      <c r="S181" s="16">
        <f>+IF(AND(S$180&gt;=Assumptions!$H$22,S$180&lt;Assumptions!$H$24),'S&amp;U'!$J7/ROUNDUP(Assumptions!$H$23/12,0),IF(AND(S$180&gt;=Assumptions!$H$24,S$180&lt;Assumptions!$H$26),'S&amp;U'!$J39/ROUNDUP(Assumptions!$H$25/12,0),0))</f>
        <v>0</v>
      </c>
      <c r="T181" s="16">
        <f>+IF(AND(T$180&gt;=Assumptions!$H$22,T$180&lt;Assumptions!$H$24),'S&amp;U'!$J7/ROUNDUP(Assumptions!$H$23/12,0),IF(AND(T$180&gt;=Assumptions!$H$24,T$180&lt;Assumptions!$H$26),'S&amp;U'!$J39/ROUNDUP(Assumptions!$H$25/12,0),0))</f>
        <v>0</v>
      </c>
      <c r="U181" s="16">
        <f>+IF(AND(U$180&gt;=Assumptions!$H$22,U$180&lt;Assumptions!$H$24),'S&amp;U'!$J7/ROUNDUP(Assumptions!$H$23/12,0),IF(AND(U$180&gt;=Assumptions!$H$24,U$180&lt;Assumptions!$H$26),'S&amp;U'!$J39/ROUNDUP(Assumptions!$H$25/12,0),0))</f>
        <v>0</v>
      </c>
      <c r="V181" s="16">
        <f>+IF(AND(V$180&gt;=Assumptions!$H$22,V$180&lt;Assumptions!$H$24),'S&amp;U'!$J7/ROUNDUP(Assumptions!$H$23/12,0),IF(AND(V$180&gt;=Assumptions!$H$24,V$180&lt;Assumptions!$H$26),'S&amp;U'!$J39/ROUNDUP(Assumptions!$H$25/12,0),0))</f>
        <v>0</v>
      </c>
      <c r="W181" s="16">
        <f>+IF(AND(W$180&gt;=Assumptions!$H$22,W$180&lt;Assumptions!$H$24),'S&amp;U'!$J7/ROUNDUP(Assumptions!$H$23/12,0),IF(AND(W$180&gt;=Assumptions!$H$24,W$180&lt;Assumptions!$H$26),'S&amp;U'!$J39/ROUNDUP(Assumptions!$H$25/12,0),0))</f>
        <v>0</v>
      </c>
      <c r="X181" s="16">
        <f>+IF(AND(X$180&gt;=Assumptions!$H$22,X$180&lt;Assumptions!$H$24),'S&amp;U'!$J7/ROUNDUP(Assumptions!$H$23/12,0),IF(AND(X$180&gt;=Assumptions!$H$24,X$180&lt;Assumptions!$H$26),'S&amp;U'!$J39/ROUNDUP(Assumptions!$H$25/12,0),0))</f>
        <v>0</v>
      </c>
      <c r="Y181" s="16">
        <f>+IF(AND(Y$180&gt;=Assumptions!$H$22,Y$180&lt;Assumptions!$H$24),'S&amp;U'!$J7/ROUNDUP(Assumptions!$H$23/12,0),IF(AND(Y$180&gt;=Assumptions!$H$24,Y$180&lt;Assumptions!$H$26),'S&amp;U'!$J39/ROUNDUP(Assumptions!$H$25/12,0),0))</f>
        <v>0</v>
      </c>
      <c r="Z181" s="16">
        <f>+IF(AND(Z$180&gt;=Assumptions!$H$22,Z$180&lt;Assumptions!$H$24),'S&amp;U'!$J7/ROUNDUP(Assumptions!$H$23/12,0),IF(AND(Z$180&gt;=Assumptions!$H$24,Z$180&lt;Assumptions!$H$26),'S&amp;U'!$J39/ROUNDUP(Assumptions!$H$25/12,0),0))</f>
        <v>0</v>
      </c>
    </row>
    <row r="182" spans="2:27">
      <c r="B182" s="15" t="s">
        <v>255</v>
      </c>
      <c r="D182" s="703">
        <f t="shared" ref="D182:D187" si="78">+SUM(F182:Z182)</f>
        <v>2326215</v>
      </c>
      <c r="E182" s="26"/>
      <c r="F182" s="76">
        <f>+IF(AND(F$180&gt;=Assumptions!$H$22,F$180&lt;Assumptions!$H$24),'S&amp;U'!$J8/ROUNDUP(Assumptions!$H$23/12,0),IF(AND(F$180&gt;=Assumptions!$H$24,F$180&lt;Assumptions!$H$26),'S&amp;U'!$J40/ROUNDUP(Assumptions!$H$25/12,0),0))</f>
        <v>2326215</v>
      </c>
      <c r="G182" s="76">
        <f>+IF(AND(G$180&gt;=Assumptions!$H$22,G$180&lt;Assumptions!$H$24),'S&amp;U'!$J8/ROUNDUP(Assumptions!$H$23/12,0),IF(AND(G$180&gt;=Assumptions!$H$24,G$180&lt;Assumptions!$H$26),'S&amp;U'!$J40/ROUNDUP(Assumptions!$H$25/12,0),0))</f>
        <v>0</v>
      </c>
      <c r="H182" s="76">
        <f>+IF(AND(H$180&gt;=Assumptions!$H$22,H$180&lt;Assumptions!$H$24),'S&amp;U'!$J8/ROUNDUP(Assumptions!$H$23/12,0),IF(AND(H$180&gt;=Assumptions!$H$24,H$180&lt;Assumptions!$H$26),'S&amp;U'!$J40/ROUNDUP(Assumptions!$H$25/12,0),0))</f>
        <v>0</v>
      </c>
      <c r="I182" s="76">
        <f>+IF(AND(I$180&gt;=Assumptions!$H$22,I$180&lt;Assumptions!$H$24),'S&amp;U'!$J8/ROUNDUP(Assumptions!$H$23/12,0),IF(AND(I$180&gt;=Assumptions!$H$24,I$180&lt;Assumptions!$H$26),'S&amp;U'!$J40/ROUNDUP(Assumptions!$H$25/12,0),0))</f>
        <v>0</v>
      </c>
      <c r="J182" s="76">
        <f>+IF(AND(J$180&gt;=Assumptions!$H$22,J$180&lt;Assumptions!$H$24),'S&amp;U'!$J8/ROUNDUP(Assumptions!$H$23/12,0),IF(AND(J$180&gt;=Assumptions!$H$24,J$180&lt;Assumptions!$H$26),'S&amp;U'!$J40/ROUNDUP(Assumptions!$H$25/12,0),0))</f>
        <v>0</v>
      </c>
      <c r="K182" s="76">
        <f>+IF(AND(K$180&gt;=Assumptions!$H$22,K$180&lt;Assumptions!$H$24),'S&amp;U'!$J8/ROUNDUP(Assumptions!$H$23/12,0),IF(AND(K$180&gt;=Assumptions!$H$24,K$180&lt;Assumptions!$H$26),'S&amp;U'!$J40/ROUNDUP(Assumptions!$H$25/12,0),0))</f>
        <v>0</v>
      </c>
      <c r="L182" s="76">
        <f>+IF(AND(L$180&gt;=Assumptions!$H$22,L$180&lt;Assumptions!$H$24),'S&amp;U'!$J8/ROUNDUP(Assumptions!$H$23/12,0),IF(AND(L$180&gt;=Assumptions!$H$24,L$180&lt;Assumptions!$H$26),'S&amp;U'!$J40/ROUNDUP(Assumptions!$H$25/12,0),0))</f>
        <v>0</v>
      </c>
      <c r="M182" s="76">
        <f>+IF(AND(M$180&gt;=Assumptions!$H$22,M$180&lt;Assumptions!$H$24),'S&amp;U'!$J8/ROUNDUP(Assumptions!$H$23/12,0),IF(AND(M$180&gt;=Assumptions!$H$24,M$180&lt;Assumptions!$H$26),'S&amp;U'!$J40/ROUNDUP(Assumptions!$H$25/12,0),0))</f>
        <v>0</v>
      </c>
      <c r="N182" s="76">
        <f>+IF(AND(N$180&gt;=Assumptions!$H$22,N$180&lt;Assumptions!$H$24),'S&amp;U'!$J8/ROUNDUP(Assumptions!$H$23/12,0),IF(AND(N$180&gt;=Assumptions!$H$24,N$180&lt;Assumptions!$H$26),'S&amp;U'!$J40/ROUNDUP(Assumptions!$H$25/12,0),0))</f>
        <v>0</v>
      </c>
      <c r="O182" s="76">
        <f>+IF(AND(O$180&gt;=Assumptions!$H$22,O$180&lt;Assumptions!$H$24),'S&amp;U'!$J8/ROUNDUP(Assumptions!$H$23/12,0),IF(AND(O$180&gt;=Assumptions!$H$24,O$180&lt;Assumptions!$H$26),'S&amp;U'!$J40/ROUNDUP(Assumptions!$H$25/12,0),0))</f>
        <v>0</v>
      </c>
      <c r="P182" s="76">
        <f>+IF(AND(P$180&gt;=Assumptions!$H$22,P$180&lt;Assumptions!$H$24),'S&amp;U'!$J8/ROUNDUP(Assumptions!$H$23/12,0),IF(AND(P$180&gt;=Assumptions!$H$24,P$180&lt;Assumptions!$H$26),'S&amp;U'!$J40/ROUNDUP(Assumptions!$H$25/12,0),0))</f>
        <v>0</v>
      </c>
      <c r="Q182" s="76">
        <f>+IF(AND(Q$180&gt;=Assumptions!$H$22,Q$180&lt;Assumptions!$H$24),'S&amp;U'!$J8/ROUNDUP(Assumptions!$H$23/12,0),IF(AND(Q$180&gt;=Assumptions!$H$24,Q$180&lt;Assumptions!$H$26),'S&amp;U'!$J40/ROUNDUP(Assumptions!$H$25/12,0),0))</f>
        <v>0</v>
      </c>
      <c r="R182" s="76">
        <f>+IF(AND(R$180&gt;=Assumptions!$H$22,R$180&lt;Assumptions!$H$24),'S&amp;U'!$J8/ROUNDUP(Assumptions!$H$23/12,0),IF(AND(R$180&gt;=Assumptions!$H$24,R$180&lt;Assumptions!$H$26),'S&amp;U'!$J40/ROUNDUP(Assumptions!$H$25/12,0),0))</f>
        <v>0</v>
      </c>
      <c r="S182" s="76">
        <f>+IF(AND(S$180&gt;=Assumptions!$H$22,S$180&lt;Assumptions!$H$24),'S&amp;U'!$J8/ROUNDUP(Assumptions!$H$23/12,0),IF(AND(S$180&gt;=Assumptions!$H$24,S$180&lt;Assumptions!$H$26),'S&amp;U'!$J40/ROUNDUP(Assumptions!$H$25/12,0),0))</f>
        <v>0</v>
      </c>
      <c r="T182" s="76">
        <f>+IF(AND(T$180&gt;=Assumptions!$H$22,T$180&lt;Assumptions!$H$24),'S&amp;U'!$J8/ROUNDUP(Assumptions!$H$23/12,0),IF(AND(T$180&gt;=Assumptions!$H$24,T$180&lt;Assumptions!$H$26),'S&amp;U'!$J40/ROUNDUP(Assumptions!$H$25/12,0),0))</f>
        <v>0</v>
      </c>
      <c r="U182" s="76">
        <f>+IF(AND(U$180&gt;=Assumptions!$H$22,U$180&lt;Assumptions!$H$24),'S&amp;U'!$J8/ROUNDUP(Assumptions!$H$23/12,0),IF(AND(U$180&gt;=Assumptions!$H$24,U$180&lt;Assumptions!$H$26),'S&amp;U'!$J40/ROUNDUP(Assumptions!$H$25/12,0),0))</f>
        <v>0</v>
      </c>
      <c r="V182" s="76">
        <f>+IF(AND(V$180&gt;=Assumptions!$H$22,V$180&lt;Assumptions!$H$24),'S&amp;U'!$J8/ROUNDUP(Assumptions!$H$23/12,0),IF(AND(V$180&gt;=Assumptions!$H$24,V$180&lt;Assumptions!$H$26),'S&amp;U'!$J40/ROUNDUP(Assumptions!$H$25/12,0),0))</f>
        <v>0</v>
      </c>
      <c r="W182" s="76">
        <f>+IF(AND(W$180&gt;=Assumptions!$H$22,W$180&lt;Assumptions!$H$24),'S&amp;U'!$J8/ROUNDUP(Assumptions!$H$23/12,0),IF(AND(W$180&gt;=Assumptions!$H$24,W$180&lt;Assumptions!$H$26),'S&amp;U'!$J40/ROUNDUP(Assumptions!$H$25/12,0),0))</f>
        <v>0</v>
      </c>
      <c r="X182" s="76">
        <f>+IF(AND(X$180&gt;=Assumptions!$H$22,X$180&lt;Assumptions!$H$24),'S&amp;U'!$J8/ROUNDUP(Assumptions!$H$23/12,0),IF(AND(X$180&gt;=Assumptions!$H$24,X$180&lt;Assumptions!$H$26),'S&amp;U'!$J40/ROUNDUP(Assumptions!$H$25/12,0),0))</f>
        <v>0</v>
      </c>
      <c r="Y182" s="76">
        <f>+IF(AND(Y$180&gt;=Assumptions!$H$22,Y$180&lt;Assumptions!$H$24),'S&amp;U'!$J8/ROUNDUP(Assumptions!$H$23/12,0),IF(AND(Y$180&gt;=Assumptions!$H$24,Y$180&lt;Assumptions!$H$26),'S&amp;U'!$J40/ROUNDUP(Assumptions!$H$25/12,0),0))</f>
        <v>0</v>
      </c>
      <c r="Z182" s="76">
        <f>+IF(AND(Z$180&gt;=Assumptions!$H$22,Z$180&lt;Assumptions!$H$24),'S&amp;U'!$J8/ROUNDUP(Assumptions!$H$23/12,0),IF(AND(Z$180&gt;=Assumptions!$H$24,Z$180&lt;Assumptions!$H$26),'S&amp;U'!$J40/ROUNDUP(Assumptions!$H$25/12,0),0))</f>
        <v>0</v>
      </c>
    </row>
    <row r="183" spans="2:27">
      <c r="B183" s="15" t="s">
        <v>276</v>
      </c>
      <c r="D183" s="26">
        <f t="shared" ca="1" si="78"/>
        <v>327020653.88604617</v>
      </c>
      <c r="E183" s="26"/>
      <c r="F183" s="76">
        <f>+IF(AND(F$180&gt;=Assumptions!$H$22,F$180&lt;Assumptions!$H$24),'S&amp;U'!$J9/ROUNDUP(Assumptions!$H$23/12,0),IF(AND(F$180&gt;=Assumptions!$H$24,F$180&lt;Assumptions!$H$26),'S&amp;U'!$J41/ROUNDUP(Assumptions!$H$25/12,0),0))</f>
        <v>0</v>
      </c>
      <c r="G183" s="76">
        <f ca="1">+IF(AND(G$180&gt;=Assumptions!$H$22,G$180&lt;Assumptions!$H$24),'S&amp;U'!$J9/ROUNDUP(Assumptions!$H$23/12,0),IF(AND(G$180&gt;=Assumptions!$H$24,G$180&lt;Assumptions!$H$26),'S&amp;U'!$J41/ROUNDUP(Assumptions!$H$25/12,0),0))</f>
        <v>163510326.94302309</v>
      </c>
      <c r="H183" s="76">
        <f ca="1">+IF(AND(H$180&gt;=Assumptions!$H$22,H$180&lt;Assumptions!$H$24),'S&amp;U'!$J9/ROUNDUP(Assumptions!$H$23/12,0),IF(AND(H$180&gt;=Assumptions!$H$24,H$180&lt;Assumptions!$H$26),'S&amp;U'!$J41/ROUNDUP(Assumptions!$H$25/12,0),0))</f>
        <v>163510326.94302309</v>
      </c>
      <c r="I183" s="76">
        <f>+IF(AND(I$180&gt;=Assumptions!$H$22,I$180&lt;Assumptions!$H$24),'S&amp;U'!$J9/ROUNDUP(Assumptions!$H$23/12,0),IF(AND(I$180&gt;=Assumptions!$H$24,I$180&lt;Assumptions!$H$26),'S&amp;U'!$J41/ROUNDUP(Assumptions!$H$25/12,0),0))</f>
        <v>0</v>
      </c>
      <c r="J183" s="76">
        <f>+IF(AND(J$180&gt;=Assumptions!$H$22,J$180&lt;Assumptions!$H$24),'S&amp;U'!$J9/ROUNDUP(Assumptions!$H$23/12,0),IF(AND(J$180&gt;=Assumptions!$H$24,J$180&lt;Assumptions!$H$26),'S&amp;U'!$J41/ROUNDUP(Assumptions!$H$25/12,0),0))</f>
        <v>0</v>
      </c>
      <c r="K183" s="76">
        <f>+IF(AND(K$180&gt;=Assumptions!$H$22,K$180&lt;Assumptions!$H$24),'S&amp;U'!$J9/ROUNDUP(Assumptions!$H$23/12,0),IF(AND(K$180&gt;=Assumptions!$H$24,K$180&lt;Assumptions!$H$26),'S&amp;U'!$J41/ROUNDUP(Assumptions!$H$25/12,0),0))</f>
        <v>0</v>
      </c>
      <c r="L183" s="76">
        <f>+IF(AND(L$180&gt;=Assumptions!$H$22,L$180&lt;Assumptions!$H$24),'S&amp;U'!$J9/ROUNDUP(Assumptions!$H$23/12,0),IF(AND(L$180&gt;=Assumptions!$H$24,L$180&lt;Assumptions!$H$26),'S&amp;U'!$J41/ROUNDUP(Assumptions!$H$25/12,0),0))</f>
        <v>0</v>
      </c>
      <c r="M183" s="76">
        <f>+IF(AND(M$180&gt;=Assumptions!$H$22,M$180&lt;Assumptions!$H$24),'S&amp;U'!$J9/ROUNDUP(Assumptions!$H$23/12,0),IF(AND(M$180&gt;=Assumptions!$H$24,M$180&lt;Assumptions!$H$26),'S&amp;U'!$J41/ROUNDUP(Assumptions!$H$25/12,0),0))</f>
        <v>0</v>
      </c>
      <c r="N183" s="76">
        <f>+IF(AND(N$180&gt;=Assumptions!$H$22,N$180&lt;Assumptions!$H$24),'S&amp;U'!$J9/ROUNDUP(Assumptions!$H$23/12,0),IF(AND(N$180&gt;=Assumptions!$H$24,N$180&lt;Assumptions!$H$26),'S&amp;U'!$J41/ROUNDUP(Assumptions!$H$25/12,0),0))</f>
        <v>0</v>
      </c>
      <c r="O183" s="76">
        <f>+IF(AND(O$180&gt;=Assumptions!$H$22,O$180&lt;Assumptions!$H$24),'S&amp;U'!$J9/ROUNDUP(Assumptions!$H$23/12,0),IF(AND(O$180&gt;=Assumptions!$H$24,O$180&lt;Assumptions!$H$26),'S&amp;U'!$J41/ROUNDUP(Assumptions!$H$25/12,0),0))</f>
        <v>0</v>
      </c>
      <c r="P183" s="76">
        <f>+IF(AND(P$180&gt;=Assumptions!$H$22,P$180&lt;Assumptions!$H$24),'S&amp;U'!$J9/ROUNDUP(Assumptions!$H$23/12,0),IF(AND(P$180&gt;=Assumptions!$H$24,P$180&lt;Assumptions!$H$26),'S&amp;U'!$J41/ROUNDUP(Assumptions!$H$25/12,0),0))</f>
        <v>0</v>
      </c>
      <c r="Q183" s="76">
        <f>+IF(AND(Q$180&gt;=Assumptions!$H$22,Q$180&lt;Assumptions!$H$24),'S&amp;U'!$J9/ROUNDUP(Assumptions!$H$23/12,0),IF(AND(Q$180&gt;=Assumptions!$H$24,Q$180&lt;Assumptions!$H$26),'S&amp;U'!$J41/ROUNDUP(Assumptions!$H$25/12,0),0))</f>
        <v>0</v>
      </c>
      <c r="R183" s="76">
        <f>+IF(AND(R$180&gt;=Assumptions!$H$22,R$180&lt;Assumptions!$H$24),'S&amp;U'!$J9/ROUNDUP(Assumptions!$H$23/12,0),IF(AND(R$180&gt;=Assumptions!$H$24,R$180&lt;Assumptions!$H$26),'S&amp;U'!$J41/ROUNDUP(Assumptions!$H$25/12,0),0))</f>
        <v>0</v>
      </c>
      <c r="S183" s="76">
        <f>+IF(AND(S$180&gt;=Assumptions!$H$22,S$180&lt;Assumptions!$H$24),'S&amp;U'!$J9/ROUNDUP(Assumptions!$H$23/12,0),IF(AND(S$180&gt;=Assumptions!$H$24,S$180&lt;Assumptions!$H$26),'S&amp;U'!$J41/ROUNDUP(Assumptions!$H$25/12,0),0))</f>
        <v>0</v>
      </c>
      <c r="T183" s="76">
        <f>+IF(AND(T$180&gt;=Assumptions!$H$22,T$180&lt;Assumptions!$H$24),'S&amp;U'!$J9/ROUNDUP(Assumptions!$H$23/12,0),IF(AND(T$180&gt;=Assumptions!$H$24,T$180&lt;Assumptions!$H$26),'S&amp;U'!$J41/ROUNDUP(Assumptions!$H$25/12,0),0))</f>
        <v>0</v>
      </c>
      <c r="U183" s="76">
        <f>+IF(AND(U$180&gt;=Assumptions!$H$22,U$180&lt;Assumptions!$H$24),'S&amp;U'!$J9/ROUNDUP(Assumptions!$H$23/12,0),IF(AND(U$180&gt;=Assumptions!$H$24,U$180&lt;Assumptions!$H$26),'S&amp;U'!$J41/ROUNDUP(Assumptions!$H$25/12,0),0))</f>
        <v>0</v>
      </c>
      <c r="V183" s="76">
        <f>+IF(AND(V$180&gt;=Assumptions!$H$22,V$180&lt;Assumptions!$H$24),'S&amp;U'!$J9/ROUNDUP(Assumptions!$H$23/12,0),IF(AND(V$180&gt;=Assumptions!$H$24,V$180&lt;Assumptions!$H$26),'S&amp;U'!$J41/ROUNDUP(Assumptions!$H$25/12,0),0))</f>
        <v>0</v>
      </c>
      <c r="W183" s="76">
        <f>+IF(AND(W$180&gt;=Assumptions!$H$22,W$180&lt;Assumptions!$H$24),'S&amp;U'!$J9/ROUNDUP(Assumptions!$H$23/12,0),IF(AND(W$180&gt;=Assumptions!$H$24,W$180&lt;Assumptions!$H$26),'S&amp;U'!$J41/ROUNDUP(Assumptions!$H$25/12,0),0))</f>
        <v>0</v>
      </c>
      <c r="X183" s="76">
        <f>+IF(AND(X$180&gt;=Assumptions!$H$22,X$180&lt;Assumptions!$H$24),'S&amp;U'!$J9/ROUNDUP(Assumptions!$H$23/12,0),IF(AND(X$180&gt;=Assumptions!$H$24,X$180&lt;Assumptions!$H$26),'S&amp;U'!$J41/ROUNDUP(Assumptions!$H$25/12,0),0))</f>
        <v>0</v>
      </c>
      <c r="Y183" s="76">
        <f>+IF(AND(Y$180&gt;=Assumptions!$H$22,Y$180&lt;Assumptions!$H$24),'S&amp;U'!$J9/ROUNDUP(Assumptions!$H$23/12,0),IF(AND(Y$180&gt;=Assumptions!$H$24,Y$180&lt;Assumptions!$H$26),'S&amp;U'!$J41/ROUNDUP(Assumptions!$H$25/12,0),0))</f>
        <v>0</v>
      </c>
      <c r="Z183" s="76">
        <f>+IF(AND(Z$180&gt;=Assumptions!$H$22,Z$180&lt;Assumptions!$H$24),'S&amp;U'!$J9/ROUNDUP(Assumptions!$H$23/12,0),IF(AND(Z$180&gt;=Assumptions!$H$24,Z$180&lt;Assumptions!$H$26),'S&amp;U'!$J41/ROUNDUP(Assumptions!$H$25/12,0),0))</f>
        <v>0</v>
      </c>
    </row>
    <row r="184" spans="2:27">
      <c r="B184" s="15" t="s">
        <v>262</v>
      </c>
      <c r="D184" s="703">
        <f ca="1">+SUM(F184:Z184)</f>
        <v>21250012.259555332</v>
      </c>
      <c r="E184" s="26"/>
      <c r="F184" s="76">
        <f ca="1">+IF(AND(F$180&gt;=Assumptions!$H$22,F$180&lt;Assumptions!$H$24),'S&amp;U'!$J10/ROUNDUP(Assumptions!$H$23/12,0),IF(AND(F$180&gt;=Assumptions!$H$24,F$180&lt;Assumptions!$H$26),'S&amp;U'!$J42/ROUNDUP(Assumptions!$H$25/12,0),0))</f>
        <v>11237511.257709347</v>
      </c>
      <c r="G184" s="76">
        <f ca="1">+IF(AND(G$180&gt;=Assumptions!$H$22,G$180&lt;Assumptions!$H$24),'S&amp;U'!$J10/ROUNDUP(Assumptions!$H$23/12,0),IF(AND(G$180&gt;=Assumptions!$H$24,G$180&lt;Assumptions!$H$26),'S&amp;U'!$J42/ROUNDUP(Assumptions!$H$25/12,0),0))</f>
        <v>5006250.5009229928</v>
      </c>
      <c r="H184" s="76">
        <f ca="1">+IF(AND(H$180&gt;=Assumptions!$H$22,H$180&lt;Assumptions!$H$24),'S&amp;U'!$J10/ROUNDUP(Assumptions!$H$23/12,0),IF(AND(H$180&gt;=Assumptions!$H$24,H$180&lt;Assumptions!$H$26),'S&amp;U'!$J42/ROUNDUP(Assumptions!$H$25/12,0),0))</f>
        <v>5006250.5009229928</v>
      </c>
      <c r="I184" s="76">
        <f>+IF(AND(I$180&gt;=Assumptions!$H$22,I$180&lt;Assumptions!$H$24),'S&amp;U'!$J10/ROUNDUP(Assumptions!$H$23/12,0),IF(AND(I$180&gt;=Assumptions!$H$24,I$180&lt;Assumptions!$H$26),'S&amp;U'!$J42/ROUNDUP(Assumptions!$H$25/12,0),0))</f>
        <v>0</v>
      </c>
      <c r="J184" s="76">
        <f>+IF(AND(J$180&gt;=Assumptions!$H$22,J$180&lt;Assumptions!$H$24),'S&amp;U'!$J10/ROUNDUP(Assumptions!$H$23/12,0),IF(AND(J$180&gt;=Assumptions!$H$24,J$180&lt;Assumptions!$H$26),'S&amp;U'!$J42/ROUNDUP(Assumptions!$H$25/12,0),0))</f>
        <v>0</v>
      </c>
      <c r="K184" s="76">
        <f>+IF(AND(K$180&gt;=Assumptions!$H$22,K$180&lt;Assumptions!$H$24),'S&amp;U'!$J10/ROUNDUP(Assumptions!$H$23/12,0),IF(AND(K$180&gt;=Assumptions!$H$24,K$180&lt;Assumptions!$H$26),'S&amp;U'!$J42/ROUNDUP(Assumptions!$H$25/12,0),0))</f>
        <v>0</v>
      </c>
      <c r="L184" s="76">
        <f>+IF(AND(L$180&gt;=Assumptions!$H$22,L$180&lt;Assumptions!$H$24),'S&amp;U'!$J10/ROUNDUP(Assumptions!$H$23/12,0),IF(AND(L$180&gt;=Assumptions!$H$24,L$180&lt;Assumptions!$H$26),'S&amp;U'!$J42/ROUNDUP(Assumptions!$H$25/12,0),0))</f>
        <v>0</v>
      </c>
      <c r="M184" s="76">
        <f>+IF(AND(M$180&gt;=Assumptions!$H$22,M$180&lt;Assumptions!$H$24),'S&amp;U'!$J10/ROUNDUP(Assumptions!$H$23/12,0),IF(AND(M$180&gt;=Assumptions!$H$24,M$180&lt;Assumptions!$H$26),'S&amp;U'!$J42/ROUNDUP(Assumptions!$H$25/12,0),0))</f>
        <v>0</v>
      </c>
      <c r="N184" s="76">
        <f>+IF(AND(N$180&gt;=Assumptions!$H$22,N$180&lt;Assumptions!$H$24),'S&amp;U'!$J10/ROUNDUP(Assumptions!$H$23/12,0),IF(AND(N$180&gt;=Assumptions!$H$24,N$180&lt;Assumptions!$H$26),'S&amp;U'!$J42/ROUNDUP(Assumptions!$H$25/12,0),0))</f>
        <v>0</v>
      </c>
      <c r="O184" s="76">
        <f>+IF(AND(O$180&gt;=Assumptions!$H$22,O$180&lt;Assumptions!$H$24),'S&amp;U'!$J10/ROUNDUP(Assumptions!$H$23/12,0),IF(AND(O$180&gt;=Assumptions!$H$24,O$180&lt;Assumptions!$H$26),'S&amp;U'!$J42/ROUNDUP(Assumptions!$H$25/12,0),0))</f>
        <v>0</v>
      </c>
      <c r="P184" s="76">
        <f>+IF(AND(P$180&gt;=Assumptions!$H$22,P$180&lt;Assumptions!$H$24),'S&amp;U'!$J10/ROUNDUP(Assumptions!$H$23/12,0),IF(AND(P$180&gt;=Assumptions!$H$24,P$180&lt;Assumptions!$H$26),'S&amp;U'!$J42/ROUNDUP(Assumptions!$H$25/12,0),0))</f>
        <v>0</v>
      </c>
      <c r="Q184" s="76">
        <f>+IF(AND(Q$180&gt;=Assumptions!$H$22,Q$180&lt;Assumptions!$H$24),'S&amp;U'!$J10/ROUNDUP(Assumptions!$H$23/12,0),IF(AND(Q$180&gt;=Assumptions!$H$24,Q$180&lt;Assumptions!$H$26),'S&amp;U'!$J42/ROUNDUP(Assumptions!$H$25/12,0),0))</f>
        <v>0</v>
      </c>
      <c r="R184" s="76">
        <f>+IF(AND(R$180&gt;=Assumptions!$H$22,R$180&lt;Assumptions!$H$24),'S&amp;U'!$J10/ROUNDUP(Assumptions!$H$23/12,0),IF(AND(R$180&gt;=Assumptions!$H$24,R$180&lt;Assumptions!$H$26),'S&amp;U'!$J42/ROUNDUP(Assumptions!$H$25/12,0),0))</f>
        <v>0</v>
      </c>
      <c r="S184" s="76">
        <f>+IF(AND(S$180&gt;=Assumptions!$H$22,S$180&lt;Assumptions!$H$24),'S&amp;U'!$J10/ROUNDUP(Assumptions!$H$23/12,0),IF(AND(S$180&gt;=Assumptions!$H$24,S$180&lt;Assumptions!$H$26),'S&amp;U'!$J42/ROUNDUP(Assumptions!$H$25/12,0),0))</f>
        <v>0</v>
      </c>
      <c r="T184" s="76">
        <f>+IF(AND(T$180&gt;=Assumptions!$H$22,T$180&lt;Assumptions!$H$24),'S&amp;U'!$J10/ROUNDUP(Assumptions!$H$23/12,0),IF(AND(T$180&gt;=Assumptions!$H$24,T$180&lt;Assumptions!$H$26),'S&amp;U'!$J42/ROUNDUP(Assumptions!$H$25/12,0),0))</f>
        <v>0</v>
      </c>
      <c r="U184" s="76">
        <f>+IF(AND(U$180&gt;=Assumptions!$H$22,U$180&lt;Assumptions!$H$24),'S&amp;U'!$J10/ROUNDUP(Assumptions!$H$23/12,0),IF(AND(U$180&gt;=Assumptions!$H$24,U$180&lt;Assumptions!$H$26),'S&amp;U'!$J42/ROUNDUP(Assumptions!$H$25/12,0),0))</f>
        <v>0</v>
      </c>
      <c r="V184" s="76">
        <f>+IF(AND(V$180&gt;=Assumptions!$H$22,V$180&lt;Assumptions!$H$24),'S&amp;U'!$J10/ROUNDUP(Assumptions!$H$23/12,0),IF(AND(V$180&gt;=Assumptions!$H$24,V$180&lt;Assumptions!$H$26),'S&amp;U'!$J42/ROUNDUP(Assumptions!$H$25/12,0),0))</f>
        <v>0</v>
      </c>
      <c r="W184" s="76">
        <f>+IF(AND(W$180&gt;=Assumptions!$H$22,W$180&lt;Assumptions!$H$24),'S&amp;U'!$J10/ROUNDUP(Assumptions!$H$23/12,0),IF(AND(W$180&gt;=Assumptions!$H$24,W$180&lt;Assumptions!$H$26),'S&amp;U'!$J42/ROUNDUP(Assumptions!$H$25/12,0),0))</f>
        <v>0</v>
      </c>
      <c r="X184" s="76">
        <f>+IF(AND(X$180&gt;=Assumptions!$H$22,X$180&lt;Assumptions!$H$24),'S&amp;U'!$J10/ROUNDUP(Assumptions!$H$23/12,0),IF(AND(X$180&gt;=Assumptions!$H$24,X$180&lt;Assumptions!$H$26),'S&amp;U'!$J42/ROUNDUP(Assumptions!$H$25/12,0),0))</f>
        <v>0</v>
      </c>
      <c r="Y184" s="76">
        <f>+IF(AND(Y$180&gt;=Assumptions!$H$22,Y$180&lt;Assumptions!$H$24),'S&amp;U'!$J10/ROUNDUP(Assumptions!$H$23/12,0),IF(AND(Y$180&gt;=Assumptions!$H$24,Y$180&lt;Assumptions!$H$26),'S&amp;U'!$J42/ROUNDUP(Assumptions!$H$25/12,0),0))</f>
        <v>0</v>
      </c>
      <c r="Z184" s="76">
        <f>+IF(AND(Z$180&gt;=Assumptions!$H$22,Z$180&lt;Assumptions!$H$24),'S&amp;U'!$J10/ROUNDUP(Assumptions!$H$23/12,0),IF(AND(Z$180&gt;=Assumptions!$H$24,Z$180&lt;Assumptions!$H$26),'S&amp;U'!$J42/ROUNDUP(Assumptions!$H$25/12,0),0))</f>
        <v>0</v>
      </c>
    </row>
    <row r="185" spans="2:27">
      <c r="B185" s="15" t="s">
        <v>263</v>
      </c>
      <c r="D185" s="26">
        <f t="shared" ca="1" si="78"/>
        <v>69786.45</v>
      </c>
      <c r="E185" s="26"/>
      <c r="F185" s="76">
        <f>+IF(AND(F$180&gt;=Assumptions!$H$22,F$180&lt;Assumptions!$H$24),'S&amp;U'!$J11/ROUNDUP(Assumptions!$H$23/12,0),IF(AND(F$180&gt;=Assumptions!$H$24,F$180&lt;Assumptions!$H$26),'S&amp;U'!$J43/ROUNDUP(Assumptions!$H$25/12,0),0))</f>
        <v>0</v>
      </c>
      <c r="G185" s="76">
        <v>0</v>
      </c>
      <c r="H185" s="76">
        <f ca="1">+IF(AND(H$180&gt;=Assumptions!$H$22,H$180&lt;Assumptions!$H$24),'S&amp;U'!$J11/ROUNDUP(Assumptions!$H$23/12,0),IF(AND(H$180&gt;=Assumptions!$H$24,H$180&lt;Assumptions!$H$26),'S&amp;U'!$J43/ROUNDUP(Assumptions!$H$25/12,0),0))</f>
        <v>69786.45</v>
      </c>
      <c r="I185" s="76">
        <f>+IF(AND(I$180&gt;=Assumptions!$H$22,I$180&lt;Assumptions!$H$24),'S&amp;U'!$J11/ROUNDUP(Assumptions!$H$23/12,0),IF(AND(I$180&gt;=Assumptions!$H$24,I$180&lt;Assumptions!$H$26),'S&amp;U'!$J43/ROUNDUP(Assumptions!$H$25/12,0),0))</f>
        <v>0</v>
      </c>
      <c r="J185" s="76">
        <f>+IF(AND(J$180&gt;=Assumptions!$H$22,J$180&lt;Assumptions!$H$24),'S&amp;U'!$J11/ROUNDUP(Assumptions!$H$23/12,0),IF(AND(J$180&gt;=Assumptions!$H$24,J$180&lt;Assumptions!$H$26),'S&amp;U'!$J43/ROUNDUP(Assumptions!$H$25/12,0),0))</f>
        <v>0</v>
      </c>
      <c r="K185" s="76">
        <f>+IF(AND(K$180&gt;=Assumptions!$H$22,K$180&lt;Assumptions!$H$24),'S&amp;U'!$J11/ROUNDUP(Assumptions!$H$23/12,0),IF(AND(K$180&gt;=Assumptions!$H$24,K$180&lt;Assumptions!$H$26),'S&amp;U'!$J43/ROUNDUP(Assumptions!$H$25/12,0),0))</f>
        <v>0</v>
      </c>
      <c r="L185" s="76">
        <f>+IF(AND(L$180&gt;=Assumptions!$H$22,L$180&lt;Assumptions!$H$24),'S&amp;U'!$J11/ROUNDUP(Assumptions!$H$23/12,0),IF(AND(L$180&gt;=Assumptions!$H$24,L$180&lt;Assumptions!$H$26),'S&amp;U'!$J43/ROUNDUP(Assumptions!$H$25/12,0),0))</f>
        <v>0</v>
      </c>
      <c r="M185" s="76">
        <f>+IF(AND(M$180&gt;=Assumptions!$H$22,M$180&lt;Assumptions!$H$24),'S&amp;U'!$J11/ROUNDUP(Assumptions!$H$23/12,0),IF(AND(M$180&gt;=Assumptions!$H$24,M$180&lt;Assumptions!$H$26),'S&amp;U'!$J43/ROUNDUP(Assumptions!$H$25/12,0),0))</f>
        <v>0</v>
      </c>
      <c r="N185" s="76">
        <f>+IF(AND(N$180&gt;=Assumptions!$H$22,N$180&lt;Assumptions!$H$24),'S&amp;U'!$J11/ROUNDUP(Assumptions!$H$23/12,0),IF(AND(N$180&gt;=Assumptions!$H$24,N$180&lt;Assumptions!$H$26),'S&amp;U'!$J43/ROUNDUP(Assumptions!$H$25/12,0),0))</f>
        <v>0</v>
      </c>
      <c r="O185" s="76">
        <f>+IF(AND(O$180&gt;=Assumptions!$H$22,O$180&lt;Assumptions!$H$24),'S&amp;U'!$J11/ROUNDUP(Assumptions!$H$23/12,0),IF(AND(O$180&gt;=Assumptions!$H$24,O$180&lt;Assumptions!$H$26),'S&amp;U'!$J43/ROUNDUP(Assumptions!$H$25/12,0),0))</f>
        <v>0</v>
      </c>
      <c r="P185" s="76">
        <f>+IF(AND(P$180&gt;=Assumptions!$H$22,P$180&lt;Assumptions!$H$24),'S&amp;U'!$J11/ROUNDUP(Assumptions!$H$23/12,0),IF(AND(P$180&gt;=Assumptions!$H$24,P$180&lt;Assumptions!$H$26),'S&amp;U'!$J43/ROUNDUP(Assumptions!$H$25/12,0),0))</f>
        <v>0</v>
      </c>
      <c r="Q185" s="76">
        <f>+IF(AND(Q$180&gt;=Assumptions!$H$22,Q$180&lt;Assumptions!$H$24),'S&amp;U'!$J11/ROUNDUP(Assumptions!$H$23/12,0),IF(AND(Q$180&gt;=Assumptions!$H$24,Q$180&lt;Assumptions!$H$26),'S&amp;U'!$J43/ROUNDUP(Assumptions!$H$25/12,0),0))</f>
        <v>0</v>
      </c>
      <c r="R185" s="76">
        <f>+IF(AND(R$180&gt;=Assumptions!$H$22,R$180&lt;Assumptions!$H$24),'S&amp;U'!$J11/ROUNDUP(Assumptions!$H$23/12,0),IF(AND(R$180&gt;=Assumptions!$H$24,R$180&lt;Assumptions!$H$26),'S&amp;U'!$J43/ROUNDUP(Assumptions!$H$25/12,0),0))</f>
        <v>0</v>
      </c>
      <c r="S185" s="76">
        <f>+IF(AND(S$180&gt;=Assumptions!$H$22,S$180&lt;Assumptions!$H$24),'S&amp;U'!$J11/ROUNDUP(Assumptions!$H$23/12,0),IF(AND(S$180&gt;=Assumptions!$H$24,S$180&lt;Assumptions!$H$26),'S&amp;U'!$J43/ROUNDUP(Assumptions!$H$25/12,0),0))</f>
        <v>0</v>
      </c>
      <c r="T185" s="76">
        <f>+IF(AND(T$180&gt;=Assumptions!$H$22,T$180&lt;Assumptions!$H$24),'S&amp;U'!$J11/ROUNDUP(Assumptions!$H$23/12,0),IF(AND(T$180&gt;=Assumptions!$H$24,T$180&lt;Assumptions!$H$26),'S&amp;U'!$J43/ROUNDUP(Assumptions!$H$25/12,0),0))</f>
        <v>0</v>
      </c>
      <c r="U185" s="76">
        <f>+IF(AND(U$180&gt;=Assumptions!$H$22,U$180&lt;Assumptions!$H$24),'S&amp;U'!$J11/ROUNDUP(Assumptions!$H$23/12,0),IF(AND(U$180&gt;=Assumptions!$H$24,U$180&lt;Assumptions!$H$26),'S&amp;U'!$J43/ROUNDUP(Assumptions!$H$25/12,0),0))</f>
        <v>0</v>
      </c>
      <c r="V185" s="76">
        <f>+IF(AND(V$180&gt;=Assumptions!$H$22,V$180&lt;Assumptions!$H$24),'S&amp;U'!$J11/ROUNDUP(Assumptions!$H$23/12,0),IF(AND(V$180&gt;=Assumptions!$H$24,V$180&lt;Assumptions!$H$26),'S&amp;U'!$J43/ROUNDUP(Assumptions!$H$25/12,0),0))</f>
        <v>0</v>
      </c>
      <c r="W185" s="76">
        <f>+IF(AND(W$180&gt;=Assumptions!$H$22,W$180&lt;Assumptions!$H$24),'S&amp;U'!$J11/ROUNDUP(Assumptions!$H$23/12,0),IF(AND(W$180&gt;=Assumptions!$H$24,W$180&lt;Assumptions!$H$26),'S&amp;U'!$J43/ROUNDUP(Assumptions!$H$25/12,0),0))</f>
        <v>0</v>
      </c>
      <c r="X185" s="76">
        <f>+IF(AND(X$180&gt;=Assumptions!$H$22,X$180&lt;Assumptions!$H$24),'S&amp;U'!$J11/ROUNDUP(Assumptions!$H$23/12,0),IF(AND(X$180&gt;=Assumptions!$H$24,X$180&lt;Assumptions!$H$26),'S&amp;U'!$J43/ROUNDUP(Assumptions!$H$25/12,0),0))</f>
        <v>0</v>
      </c>
      <c r="Y185" s="76">
        <f>+IF(AND(Y$180&gt;=Assumptions!$H$22,Y$180&lt;Assumptions!$H$24),'S&amp;U'!$J11/ROUNDUP(Assumptions!$H$23/12,0),IF(AND(Y$180&gt;=Assumptions!$H$24,Y$180&lt;Assumptions!$H$26),'S&amp;U'!$J43/ROUNDUP(Assumptions!$H$25/12,0),0))</f>
        <v>0</v>
      </c>
      <c r="Z185" s="76">
        <f>+IF(AND(Z$180&gt;=Assumptions!$H$22,Z$180&lt;Assumptions!$H$24),'S&amp;U'!$J11/ROUNDUP(Assumptions!$H$23/12,0),IF(AND(Z$180&gt;=Assumptions!$H$24,Z$180&lt;Assumptions!$H$26),'S&amp;U'!$J43/ROUNDUP(Assumptions!$H$25/12,0),0))</f>
        <v>0</v>
      </c>
    </row>
    <row r="186" spans="2:27">
      <c r="B186" s="15" t="s">
        <v>264</v>
      </c>
      <c r="D186" s="26">
        <f t="shared" ca="1" si="78"/>
        <v>642229.2608695908</v>
      </c>
      <c r="E186" s="26"/>
      <c r="F186" s="76">
        <f>+IF(AND(F$180&gt;=Assumptions!$H$22,F$180&lt;Assumptions!$H$24),'S&amp;U'!$J12/ROUNDUP(Assumptions!$H$23/12,0),IF(AND(F$180&gt;=Assumptions!$H$24,F$180&lt;Assumptions!$H$26),'S&amp;U'!$J44/ROUNDUP(Assumptions!$H$25/12,0),0))</f>
        <v>0</v>
      </c>
      <c r="G186" s="76">
        <f ca="1">+IF(AND(G$180&gt;=Assumptions!$H$22,G$180&lt;Assumptions!$H$24),'S&amp;U'!$J12/ROUNDUP(Assumptions!$H$23/12,0),IF(AND(G$180&gt;=Assumptions!$H$24,G$180&lt;Assumptions!$H$26),'S&amp;U'!$J44/ROUNDUP(Assumptions!$H$25/12,0),0))</f>
        <v>321114.6304347954</v>
      </c>
      <c r="H186" s="76">
        <f ca="1">+IF(AND(H$180&gt;=Assumptions!$H$22,H$180&lt;Assumptions!$H$24),'S&amp;U'!$J12/ROUNDUP(Assumptions!$H$23/12,0),IF(AND(H$180&gt;=Assumptions!$H$24,H$180&lt;Assumptions!$H$26),'S&amp;U'!$J44/ROUNDUP(Assumptions!$H$25/12,0),0))</f>
        <v>321114.6304347954</v>
      </c>
      <c r="I186" s="76">
        <f>+IF(AND(I$180&gt;=Assumptions!$H$22,I$180&lt;Assumptions!$H$24),'S&amp;U'!$J12/ROUNDUP(Assumptions!$H$23/12,0),IF(AND(I$180&gt;=Assumptions!$H$24,I$180&lt;Assumptions!$H$26),'S&amp;U'!$J44/ROUNDUP(Assumptions!$H$25/12,0),0))</f>
        <v>0</v>
      </c>
      <c r="J186" s="76">
        <f>+IF(AND(J$180&gt;=Assumptions!$H$22,J$180&lt;Assumptions!$H$24),'S&amp;U'!$J12/ROUNDUP(Assumptions!$H$23/12,0),IF(AND(J$180&gt;=Assumptions!$H$24,J$180&lt;Assumptions!$H$26),'S&amp;U'!$J44/ROUNDUP(Assumptions!$H$25/12,0),0))</f>
        <v>0</v>
      </c>
      <c r="K186" s="76">
        <f>+IF(AND(K$180&gt;=Assumptions!$H$22,K$180&lt;Assumptions!$H$24),'S&amp;U'!$J12/ROUNDUP(Assumptions!$H$23/12,0),IF(AND(K$180&gt;=Assumptions!$H$24,K$180&lt;Assumptions!$H$26),'S&amp;U'!$J44/ROUNDUP(Assumptions!$H$25/12,0),0))</f>
        <v>0</v>
      </c>
      <c r="L186" s="76">
        <f>+IF(AND(L$180&gt;=Assumptions!$H$22,L$180&lt;Assumptions!$H$24),'S&amp;U'!$J12/ROUNDUP(Assumptions!$H$23/12,0),IF(AND(L$180&gt;=Assumptions!$H$24,L$180&lt;Assumptions!$H$26),'S&amp;U'!$J44/ROUNDUP(Assumptions!$H$25/12,0),0))</f>
        <v>0</v>
      </c>
      <c r="M186" s="76">
        <f>+IF(AND(M$180&gt;=Assumptions!$H$22,M$180&lt;Assumptions!$H$24),'S&amp;U'!$J12/ROUNDUP(Assumptions!$H$23/12,0),IF(AND(M$180&gt;=Assumptions!$H$24,M$180&lt;Assumptions!$H$26),'S&amp;U'!$J44/ROUNDUP(Assumptions!$H$25/12,0),0))</f>
        <v>0</v>
      </c>
      <c r="N186" s="76">
        <f>+IF(AND(N$180&gt;=Assumptions!$H$22,N$180&lt;Assumptions!$H$24),'S&amp;U'!$J12/ROUNDUP(Assumptions!$H$23/12,0),IF(AND(N$180&gt;=Assumptions!$H$24,N$180&lt;Assumptions!$H$26),'S&amp;U'!$J44/ROUNDUP(Assumptions!$H$25/12,0),0))</f>
        <v>0</v>
      </c>
      <c r="O186" s="76">
        <f>+IF(AND(O$180&gt;=Assumptions!$H$22,O$180&lt;Assumptions!$H$24),'S&amp;U'!$J12/ROUNDUP(Assumptions!$H$23/12,0),IF(AND(O$180&gt;=Assumptions!$H$24,O$180&lt;Assumptions!$H$26),'S&amp;U'!$J44/ROUNDUP(Assumptions!$H$25/12,0),0))</f>
        <v>0</v>
      </c>
      <c r="P186" s="76">
        <f>+IF(AND(P$180&gt;=Assumptions!$H$22,P$180&lt;Assumptions!$H$24),'S&amp;U'!$J12/ROUNDUP(Assumptions!$H$23/12,0),IF(AND(P$180&gt;=Assumptions!$H$24,P$180&lt;Assumptions!$H$26),'S&amp;U'!$J44/ROUNDUP(Assumptions!$H$25/12,0),0))</f>
        <v>0</v>
      </c>
      <c r="Q186" s="76">
        <f>+IF(AND(Q$180&gt;=Assumptions!$H$22,Q$180&lt;Assumptions!$H$24),'S&amp;U'!$J12/ROUNDUP(Assumptions!$H$23/12,0),IF(AND(Q$180&gt;=Assumptions!$H$24,Q$180&lt;Assumptions!$H$26),'S&amp;U'!$J44/ROUNDUP(Assumptions!$H$25/12,0),0))</f>
        <v>0</v>
      </c>
      <c r="R186" s="76">
        <f>+IF(AND(R$180&gt;=Assumptions!$H$22,R$180&lt;Assumptions!$H$24),'S&amp;U'!$J12/ROUNDUP(Assumptions!$H$23/12,0),IF(AND(R$180&gt;=Assumptions!$H$24,R$180&lt;Assumptions!$H$26),'S&amp;U'!$J44/ROUNDUP(Assumptions!$H$25/12,0),0))</f>
        <v>0</v>
      </c>
      <c r="S186" s="76">
        <f>+IF(AND(S$180&gt;=Assumptions!$H$22,S$180&lt;Assumptions!$H$24),'S&amp;U'!$J12/ROUNDUP(Assumptions!$H$23/12,0),IF(AND(S$180&gt;=Assumptions!$H$24,S$180&lt;Assumptions!$H$26),'S&amp;U'!$J44/ROUNDUP(Assumptions!$H$25/12,0),0))</f>
        <v>0</v>
      </c>
      <c r="T186" s="76">
        <f>+IF(AND(T$180&gt;=Assumptions!$H$22,T$180&lt;Assumptions!$H$24),'S&amp;U'!$J12/ROUNDUP(Assumptions!$H$23/12,0),IF(AND(T$180&gt;=Assumptions!$H$24,T$180&lt;Assumptions!$H$26),'S&amp;U'!$J44/ROUNDUP(Assumptions!$H$25/12,0),0))</f>
        <v>0</v>
      </c>
      <c r="U186" s="76">
        <f>+IF(AND(U$180&gt;=Assumptions!$H$22,U$180&lt;Assumptions!$H$24),'S&amp;U'!$J12/ROUNDUP(Assumptions!$H$23/12,0),IF(AND(U$180&gt;=Assumptions!$H$24,U$180&lt;Assumptions!$H$26),'S&amp;U'!$J44/ROUNDUP(Assumptions!$H$25/12,0),0))</f>
        <v>0</v>
      </c>
      <c r="V186" s="76">
        <f>+IF(AND(V$180&gt;=Assumptions!$H$22,V$180&lt;Assumptions!$H$24),'S&amp;U'!$J12/ROUNDUP(Assumptions!$H$23/12,0),IF(AND(V$180&gt;=Assumptions!$H$24,V$180&lt;Assumptions!$H$26),'S&amp;U'!$J44/ROUNDUP(Assumptions!$H$25/12,0),0))</f>
        <v>0</v>
      </c>
      <c r="W186" s="76">
        <f>+IF(AND(W$180&gt;=Assumptions!$H$22,W$180&lt;Assumptions!$H$24),'S&amp;U'!$J12/ROUNDUP(Assumptions!$H$23/12,0),IF(AND(W$180&gt;=Assumptions!$H$24,W$180&lt;Assumptions!$H$26),'S&amp;U'!$J44/ROUNDUP(Assumptions!$H$25/12,0),0))</f>
        <v>0</v>
      </c>
      <c r="X186" s="76">
        <f>+IF(AND(X$180&gt;=Assumptions!$H$22,X$180&lt;Assumptions!$H$24),'S&amp;U'!$J12/ROUNDUP(Assumptions!$H$23/12,0),IF(AND(X$180&gt;=Assumptions!$H$24,X$180&lt;Assumptions!$H$26),'S&amp;U'!$J44/ROUNDUP(Assumptions!$H$25/12,0),0))</f>
        <v>0</v>
      </c>
      <c r="Y186" s="76">
        <f>+IF(AND(Y$180&gt;=Assumptions!$H$22,Y$180&lt;Assumptions!$H$24),'S&amp;U'!$J12/ROUNDUP(Assumptions!$H$23/12,0),IF(AND(Y$180&gt;=Assumptions!$H$24,Y$180&lt;Assumptions!$H$26),'S&amp;U'!$J44/ROUNDUP(Assumptions!$H$25/12,0),0))</f>
        <v>0</v>
      </c>
      <c r="Z186" s="76">
        <f>+IF(AND(Z$180&gt;=Assumptions!$H$22,Z$180&lt;Assumptions!$H$24),'S&amp;U'!$J12/ROUNDUP(Assumptions!$H$23/12,0),IF(AND(Z$180&gt;=Assumptions!$H$24,Z$180&lt;Assumptions!$H$26),'S&amp;U'!$J44/ROUNDUP(Assumptions!$H$25/12,0),0))</f>
        <v>0</v>
      </c>
    </row>
    <row r="187" spans="2:27">
      <c r="B187" s="15" t="s">
        <v>265</v>
      </c>
      <c r="D187" s="26">
        <f t="shared" ca="1" si="78"/>
        <v>10541360.499194132</v>
      </c>
      <c r="E187" s="26"/>
      <c r="F187" s="76">
        <f ca="1">+IF(AND(F$180&gt;=Assumptions!$H$22,F$180&lt;Assumptions!$H$24),'S&amp;U'!$J13/ROUNDUP(Assumptions!$H$23/12,0),IF(AND(F$180&gt;=Assumptions!$H$24,F$180&lt;Assumptions!$H$28),'S&amp;U'!$J45/ROUNDUP((Assumptions!$H$25+Assumptions!$H$27)/12,0),0))</f>
        <v>0</v>
      </c>
      <c r="G187" s="76">
        <f ca="1">+IF(AND(G$180&gt;=Assumptions!$H$22,G$180&lt;Assumptions!$H$24),'S&amp;U'!$J13/ROUNDUP(Assumptions!$H$23/12,0),IF(AND(G$180&gt;=Assumptions!$H$24,G$180&lt;Assumptions!$H$28),'S&amp;U'!$J45/ROUNDUP((Assumptions!$H$25+Assumptions!$H$27)/12,0),0))</f>
        <v>2635340.124798533</v>
      </c>
      <c r="H187" s="76">
        <f ca="1">+IF(AND(H$180&gt;=Assumptions!$H$22,H$180&lt;Assumptions!$H$24),'S&amp;U'!$J13/ROUNDUP(Assumptions!$H$23/12,0),IF(AND(H$180&gt;=Assumptions!$H$24,H$180&lt;Assumptions!$H$28),'S&amp;U'!$J45/ROUNDUP((Assumptions!$H$25+Assumptions!$H$27)/12,0),0))</f>
        <v>2635340.124798533</v>
      </c>
      <c r="I187" s="76">
        <f ca="1">+IF(AND(I$180&gt;=Assumptions!$H$22,I$180&lt;Assumptions!$H$24),'S&amp;U'!$J13/ROUNDUP(Assumptions!$H$23/12,0),IF(AND(I$180&gt;=Assumptions!$H$24,I$180&lt;Assumptions!$H$28),'S&amp;U'!$J45/ROUNDUP((Assumptions!$H$25+Assumptions!$H$27)/12,0),0))</f>
        <v>2635340.124798533</v>
      </c>
      <c r="J187" s="76">
        <f ca="1">+IF(AND(J$180&gt;=Assumptions!$H$22,J$180&lt;Assumptions!$H$24),'S&amp;U'!$J13/ROUNDUP(Assumptions!$H$23/12,0),IF(AND(J$180&gt;=Assumptions!$H$24,J$180&lt;Assumptions!$H$28),'S&amp;U'!$J45/ROUNDUP((Assumptions!$H$25+Assumptions!$H$27)/12,0),0))</f>
        <v>2635340.124798533</v>
      </c>
      <c r="K187" s="76">
        <f>+IF(AND(K$180&gt;=Assumptions!$H$22,K$180&lt;Assumptions!$H$24),'S&amp;U'!$J13/ROUNDUP(Assumptions!$H$23/12,0),IF(AND(K$180&gt;=Assumptions!$H$24,K$180&lt;Assumptions!$H$28),'S&amp;U'!$J45/ROUNDUP((Assumptions!$H$25+Assumptions!$H$27)/12,0),0))</f>
        <v>0</v>
      </c>
      <c r="L187" s="76">
        <f>+IF(AND(L$180&gt;=Assumptions!$H$22,L$180&lt;Assumptions!$H$24),'S&amp;U'!$J13/ROUNDUP(Assumptions!$H$23/12,0),IF(AND(L$180&gt;=Assumptions!$H$24,L$180&lt;Assumptions!$H$28),'S&amp;U'!$J45/ROUNDUP((Assumptions!$H$25+Assumptions!$H$27)/12,0),0))</f>
        <v>0</v>
      </c>
      <c r="M187" s="76">
        <f>+IF(AND(M$180&gt;=Assumptions!$H$22,M$180&lt;Assumptions!$H$24),'S&amp;U'!$J13/ROUNDUP(Assumptions!$H$23/12,0),IF(AND(M$180&gt;=Assumptions!$H$24,M$180&lt;Assumptions!$H$28),'S&amp;U'!$J45/ROUNDUP((Assumptions!$H$25+Assumptions!$H$27)/12,0),0))</f>
        <v>0</v>
      </c>
      <c r="N187" s="76">
        <f>+IF(AND(N$180&gt;=Assumptions!$H$22,N$180&lt;Assumptions!$H$24),'S&amp;U'!$J13/ROUNDUP(Assumptions!$H$23/12,0),IF(AND(N$180&gt;=Assumptions!$H$24,N$180&lt;Assumptions!$H$28),'S&amp;U'!$J45/ROUNDUP((Assumptions!$H$25+Assumptions!$H$27)/12,0),0))</f>
        <v>0</v>
      </c>
      <c r="O187" s="76">
        <f>+IF(AND(O$180&gt;=Assumptions!$H$22,O$180&lt;Assumptions!$H$24),'S&amp;U'!$J13/ROUNDUP(Assumptions!$H$23/12,0),IF(AND(O$180&gt;=Assumptions!$H$24,O$180&lt;Assumptions!$H$28),'S&amp;U'!$J45/ROUNDUP((Assumptions!$H$25+Assumptions!$H$27)/12,0),0))</f>
        <v>0</v>
      </c>
      <c r="P187" s="76">
        <f>+IF(AND(P$180&gt;=Assumptions!$H$22,P$180&lt;Assumptions!$H$24),'S&amp;U'!$J13/ROUNDUP(Assumptions!$H$23/12,0),IF(AND(P$180&gt;=Assumptions!$H$24,P$180&lt;Assumptions!$H$28),'S&amp;U'!$J45/ROUNDUP((Assumptions!$H$25+Assumptions!$H$27)/12,0),0))</f>
        <v>0</v>
      </c>
      <c r="Q187" s="76">
        <f>+IF(AND(Q$180&gt;=Assumptions!$H$22,Q$180&lt;Assumptions!$H$24),'S&amp;U'!$J13/ROUNDUP(Assumptions!$H$23/12,0),IF(AND(Q$180&gt;=Assumptions!$H$24,Q$180&lt;Assumptions!$H$28),'S&amp;U'!$J45/ROUNDUP((Assumptions!$H$25+Assumptions!$H$27)/12,0),0))</f>
        <v>0</v>
      </c>
      <c r="R187" s="76">
        <f>+IF(AND(R$180&gt;=Assumptions!$H$22,R$180&lt;Assumptions!$H$24),'S&amp;U'!$J13/ROUNDUP(Assumptions!$H$23/12,0),IF(AND(R$180&gt;=Assumptions!$H$24,R$180&lt;Assumptions!$H$28),'S&amp;U'!$J45/ROUNDUP((Assumptions!$H$25+Assumptions!$H$27)/12,0),0))</f>
        <v>0</v>
      </c>
      <c r="S187" s="76">
        <f>+IF(AND(S$180&gt;=Assumptions!$H$22,S$180&lt;Assumptions!$H$24),'S&amp;U'!$J13/ROUNDUP(Assumptions!$H$23/12,0),IF(AND(S$180&gt;=Assumptions!$H$24,S$180&lt;Assumptions!$H$28),'S&amp;U'!$J45/ROUNDUP((Assumptions!$H$25+Assumptions!$H$27)/12,0),0))</f>
        <v>0</v>
      </c>
      <c r="T187" s="76">
        <f>+IF(AND(T$180&gt;=Assumptions!$H$22,T$180&lt;Assumptions!$H$24),'S&amp;U'!$J13/ROUNDUP(Assumptions!$H$23/12,0),IF(AND(T$180&gt;=Assumptions!$H$24,T$180&lt;Assumptions!$H$28),'S&amp;U'!$J45/ROUNDUP((Assumptions!$H$25+Assumptions!$H$27)/12,0),0))</f>
        <v>0</v>
      </c>
      <c r="U187" s="76">
        <f>+IF(AND(U$180&gt;=Assumptions!$H$22,U$180&lt;Assumptions!$H$24),'S&amp;U'!$J13/ROUNDUP(Assumptions!$H$23/12,0),IF(AND(U$180&gt;=Assumptions!$H$24,U$180&lt;Assumptions!$H$28),'S&amp;U'!$J45/ROUNDUP((Assumptions!$H$25+Assumptions!$H$27)/12,0),0))</f>
        <v>0</v>
      </c>
      <c r="V187" s="76">
        <f>+IF(AND(V$180&gt;=Assumptions!$H$22,V$180&lt;Assumptions!$H$24),'S&amp;U'!$J13/ROUNDUP(Assumptions!$H$23/12,0),IF(AND(V$180&gt;=Assumptions!$H$24,V$180&lt;Assumptions!$H$28),'S&amp;U'!$J45/ROUNDUP((Assumptions!$H$25+Assumptions!$H$27)/12,0),0))</f>
        <v>0</v>
      </c>
      <c r="W187" s="76">
        <f>+IF(AND(W$180&gt;=Assumptions!$H$22,W$180&lt;Assumptions!$H$24),'S&amp;U'!$J13/ROUNDUP(Assumptions!$H$23/12,0),IF(AND(W$180&gt;=Assumptions!$H$24,W$180&lt;Assumptions!$H$28),'S&amp;U'!$J45/ROUNDUP((Assumptions!$H$25+Assumptions!$H$27)/12,0),0))</f>
        <v>0</v>
      </c>
      <c r="X187" s="76">
        <f>+IF(AND(X$180&gt;=Assumptions!$H$22,X$180&lt;Assumptions!$H$24),'S&amp;U'!$J13/ROUNDUP(Assumptions!$H$23/12,0),IF(AND(X$180&gt;=Assumptions!$H$24,X$180&lt;Assumptions!$H$28),'S&amp;U'!$J45/ROUNDUP((Assumptions!$H$25+Assumptions!$H$27)/12,0),0))</f>
        <v>0</v>
      </c>
      <c r="Y187" s="76">
        <f>+IF(AND(Y$180&gt;=Assumptions!$H$22,Y$180&lt;Assumptions!$H$24),'S&amp;U'!$J13/ROUNDUP(Assumptions!$H$23/12,0),IF(AND(Y$180&gt;=Assumptions!$H$24,Y$180&lt;Assumptions!$H$28),'S&amp;U'!$J45/ROUNDUP((Assumptions!$H$25+Assumptions!$H$27)/12,0),0))</f>
        <v>0</v>
      </c>
      <c r="Z187" s="76">
        <f>+IF(AND(Z$180&gt;=Assumptions!$H$22,Z$180&lt;Assumptions!$H$24),'S&amp;U'!$J13/ROUNDUP(Assumptions!$H$23/12,0),IF(AND(Z$180&gt;=Assumptions!$H$24,Z$180&lt;Assumptions!$H$28),'S&amp;U'!$J45/ROUNDUP((Assumptions!$H$25+Assumptions!$H$27)/12,0),0))</f>
        <v>0</v>
      </c>
    </row>
    <row r="188" spans="2:27">
      <c r="B188" s="653" t="s">
        <v>636</v>
      </c>
      <c r="C188" s="653"/>
      <c r="D188" s="544">
        <f ca="1">+SUM(F188:Z188)</f>
        <v>361850257.35566521</v>
      </c>
      <c r="E188" s="544"/>
      <c r="F188" s="544">
        <f t="shared" ref="F188:Z188" ca="1" si="79">+SUM(F181:F187)</f>
        <v>13563726.257709347</v>
      </c>
      <c r="G188" s="544">
        <f t="shared" ca="1" si="79"/>
        <v>171473032.19917938</v>
      </c>
      <c r="H188" s="544">
        <f t="shared" ca="1" si="79"/>
        <v>171542818.64917937</v>
      </c>
      <c r="I188" s="544">
        <f t="shared" ca="1" si="79"/>
        <v>2635340.124798533</v>
      </c>
      <c r="J188" s="544">
        <f t="shared" ca="1" si="79"/>
        <v>2635340.124798533</v>
      </c>
      <c r="K188" s="544">
        <f t="shared" si="79"/>
        <v>0</v>
      </c>
      <c r="L188" s="544">
        <f t="shared" si="79"/>
        <v>0</v>
      </c>
      <c r="M188" s="544">
        <f t="shared" si="79"/>
        <v>0</v>
      </c>
      <c r="N188" s="544">
        <f t="shared" si="79"/>
        <v>0</v>
      </c>
      <c r="O188" s="544">
        <f t="shared" si="79"/>
        <v>0</v>
      </c>
      <c r="P188" s="544">
        <f t="shared" si="79"/>
        <v>0</v>
      </c>
      <c r="Q188" s="544">
        <f t="shared" si="79"/>
        <v>0</v>
      </c>
      <c r="R188" s="544">
        <f t="shared" si="79"/>
        <v>0</v>
      </c>
      <c r="S188" s="544">
        <f t="shared" si="79"/>
        <v>0</v>
      </c>
      <c r="T188" s="544">
        <f t="shared" si="79"/>
        <v>0</v>
      </c>
      <c r="U188" s="544">
        <f t="shared" si="79"/>
        <v>0</v>
      </c>
      <c r="V188" s="544">
        <f t="shared" si="79"/>
        <v>0</v>
      </c>
      <c r="W188" s="544">
        <f t="shared" si="79"/>
        <v>0</v>
      </c>
      <c r="X188" s="544">
        <f t="shared" si="79"/>
        <v>0</v>
      </c>
      <c r="Y188" s="544">
        <f t="shared" si="79"/>
        <v>0</v>
      </c>
      <c r="Z188" s="544">
        <f t="shared" si="79"/>
        <v>0</v>
      </c>
    </row>
    <row r="190" spans="2:27">
      <c r="B190" s="73" t="s">
        <v>637</v>
      </c>
      <c r="F190" s="75">
        <f>+Assumptions!$H$22</f>
        <v>45657</v>
      </c>
      <c r="G190" s="75">
        <f>+EOMONTH(F190,12)</f>
        <v>46022</v>
      </c>
      <c r="H190" s="75">
        <f t="shared" ref="H190:Z190" si="80">+EOMONTH(G190,12)</f>
        <v>46387</v>
      </c>
      <c r="I190" s="75">
        <f t="shared" si="80"/>
        <v>46752</v>
      </c>
      <c r="J190" s="75">
        <f t="shared" si="80"/>
        <v>47118</v>
      </c>
      <c r="K190" s="75">
        <f t="shared" si="80"/>
        <v>47483</v>
      </c>
      <c r="L190" s="75">
        <f t="shared" si="80"/>
        <v>47848</v>
      </c>
      <c r="M190" s="75">
        <f t="shared" si="80"/>
        <v>48213</v>
      </c>
      <c r="N190" s="75">
        <f t="shared" si="80"/>
        <v>48579</v>
      </c>
      <c r="O190" s="75">
        <f t="shared" si="80"/>
        <v>48944</v>
      </c>
      <c r="P190" s="75">
        <f t="shared" si="80"/>
        <v>49309</v>
      </c>
      <c r="Q190" s="75">
        <f t="shared" si="80"/>
        <v>49674</v>
      </c>
      <c r="R190" s="75">
        <f t="shared" si="80"/>
        <v>50040</v>
      </c>
      <c r="S190" s="75">
        <f t="shared" si="80"/>
        <v>50405</v>
      </c>
      <c r="T190" s="75">
        <f t="shared" si="80"/>
        <v>50770</v>
      </c>
      <c r="U190" s="75">
        <f t="shared" si="80"/>
        <v>51135</v>
      </c>
      <c r="V190" s="75">
        <f t="shared" si="80"/>
        <v>51501</v>
      </c>
      <c r="W190" s="75">
        <f t="shared" si="80"/>
        <v>51866</v>
      </c>
      <c r="X190" s="75">
        <f t="shared" si="80"/>
        <v>52231</v>
      </c>
      <c r="Y190" s="75">
        <f t="shared" si="80"/>
        <v>52596</v>
      </c>
      <c r="Z190" s="75">
        <f t="shared" si="80"/>
        <v>52962</v>
      </c>
    </row>
    <row r="191" spans="2:27">
      <c r="B191" s="15" t="s">
        <v>176</v>
      </c>
      <c r="D191" s="703">
        <f>+SUM(F191:Z191)</f>
        <v>0</v>
      </c>
      <c r="E191" s="26"/>
      <c r="F191" s="76"/>
      <c r="G191" s="76">
        <f>'S&amp;U'!J19</f>
        <v>0</v>
      </c>
      <c r="H191" s="76"/>
      <c r="I191" s="76"/>
      <c r="J191" s="850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2:27">
      <c r="B192" s="15" t="s">
        <v>638</v>
      </c>
      <c r="D192" s="703">
        <f>+SUM(F192:Z192)</f>
        <v>0</v>
      </c>
      <c r="E192" s="26"/>
      <c r="F192" s="76">
        <f>'S&amp;U'!T19</f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</row>
    <row r="193" spans="2:26">
      <c r="B193" s="15" t="s">
        <v>312</v>
      </c>
      <c r="D193" s="703">
        <f t="shared" ref="D193:D195" si="81">+SUM(F193:Z193)</f>
        <v>67049565.333048873</v>
      </c>
      <c r="E193" s="26"/>
      <c r="F193" s="76"/>
      <c r="G193" s="76"/>
      <c r="H193" s="76">
        <f>'S&amp;U'!J20</f>
        <v>67049565.333048873</v>
      </c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2:26">
      <c r="B194" s="15" t="s">
        <v>313</v>
      </c>
      <c r="D194" s="703">
        <f t="shared" si="81"/>
        <v>5538000</v>
      </c>
      <c r="E194" s="26"/>
      <c r="F194" s="76"/>
      <c r="G194" s="76"/>
      <c r="H194" s="76">
        <f>'S&amp;U'!J21</f>
        <v>5538000</v>
      </c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2:26">
      <c r="B195" s="15" t="s">
        <v>314</v>
      </c>
      <c r="D195" s="703">
        <f t="shared" si="81"/>
        <v>0</v>
      </c>
      <c r="E195" s="2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2:26">
      <c r="B196" s="15" t="s">
        <v>639</v>
      </c>
      <c r="D196" s="703">
        <f>+SUM(F196:Z196)</f>
        <v>0</v>
      </c>
      <c r="E196" s="2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2:26">
      <c r="B197" s="15" t="s">
        <v>270</v>
      </c>
      <c r="D197" s="703">
        <f ca="1">+SUM(F197:Z197)</f>
        <v>204165287.63563812</v>
      </c>
      <c r="E197" s="26"/>
      <c r="F197" s="76">
        <f>F182</f>
        <v>2326215</v>
      </c>
      <c r="G197" s="76">
        <f ca="1">G188*0.6</f>
        <v>102883819.31950763</v>
      </c>
      <c r="H197" s="76">
        <f ca="1">MIN(H188*0.6,H188-SUM(H191:H195))</f>
        <v>98955253.316130489</v>
      </c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2:26">
      <c r="B198" s="15" t="s">
        <v>640</v>
      </c>
      <c r="D198" s="703">
        <f ca="1">+SUM(F198:Z198)</f>
        <v>85097404.386978179</v>
      </c>
      <c r="E198" s="26"/>
      <c r="F198" s="16">
        <f t="shared" ref="F198:Z198" ca="1" si="82">F188-SUM(F191:F197)</f>
        <v>11237511.257709347</v>
      </c>
      <c r="G198" s="16">
        <f t="shared" ca="1" si="82"/>
        <v>68589212.879671752</v>
      </c>
      <c r="H198" s="16">
        <f t="shared" ca="1" si="82"/>
        <v>0</v>
      </c>
      <c r="I198" s="16">
        <f t="shared" ca="1" si="82"/>
        <v>2635340.124798533</v>
      </c>
      <c r="J198" s="16">
        <f t="shared" ca="1" si="82"/>
        <v>2635340.124798533</v>
      </c>
      <c r="K198" s="16">
        <f t="shared" si="82"/>
        <v>0</v>
      </c>
      <c r="L198" s="16">
        <f t="shared" si="82"/>
        <v>0</v>
      </c>
      <c r="M198" s="16">
        <f t="shared" si="82"/>
        <v>0</v>
      </c>
      <c r="N198" s="16">
        <f t="shared" si="82"/>
        <v>0</v>
      </c>
      <c r="O198" s="16">
        <f t="shared" si="82"/>
        <v>0</v>
      </c>
      <c r="P198" s="16">
        <f t="shared" si="82"/>
        <v>0</v>
      </c>
      <c r="Q198" s="16">
        <f t="shared" si="82"/>
        <v>0</v>
      </c>
      <c r="R198" s="16">
        <f t="shared" si="82"/>
        <v>0</v>
      </c>
      <c r="S198" s="16">
        <f t="shared" si="82"/>
        <v>0</v>
      </c>
      <c r="T198" s="16">
        <f t="shared" si="82"/>
        <v>0</v>
      </c>
      <c r="U198" s="16">
        <f t="shared" si="82"/>
        <v>0</v>
      </c>
      <c r="V198" s="16">
        <f t="shared" si="82"/>
        <v>0</v>
      </c>
      <c r="W198" s="16">
        <f t="shared" si="82"/>
        <v>0</v>
      </c>
      <c r="X198" s="16">
        <f t="shared" si="82"/>
        <v>0</v>
      </c>
      <c r="Y198" s="16">
        <f t="shared" si="82"/>
        <v>0</v>
      </c>
      <c r="Z198" s="16">
        <f t="shared" si="82"/>
        <v>0</v>
      </c>
    </row>
    <row r="199" spans="2:26">
      <c r="B199" s="653" t="s">
        <v>641</v>
      </c>
      <c r="C199" s="653"/>
      <c r="D199" s="544">
        <f ca="1">+SUM(F199:Z199)</f>
        <v>85097404.386978179</v>
      </c>
      <c r="E199" s="544"/>
      <c r="F199" s="544">
        <f ca="1">SUM(F198)</f>
        <v>11237511.257709347</v>
      </c>
      <c r="G199" s="544">
        <f t="shared" ref="G199:Z199" ca="1" si="83">SUM(G198)</f>
        <v>68589212.879671752</v>
      </c>
      <c r="H199" s="544">
        <f t="shared" ca="1" si="83"/>
        <v>0</v>
      </c>
      <c r="I199" s="544">
        <f t="shared" ca="1" si="83"/>
        <v>2635340.124798533</v>
      </c>
      <c r="J199" s="544">
        <f t="shared" ca="1" si="83"/>
        <v>2635340.124798533</v>
      </c>
      <c r="K199" s="544">
        <f t="shared" si="83"/>
        <v>0</v>
      </c>
      <c r="L199" s="544">
        <f t="shared" si="83"/>
        <v>0</v>
      </c>
      <c r="M199" s="544">
        <f t="shared" si="83"/>
        <v>0</v>
      </c>
      <c r="N199" s="544">
        <f t="shared" si="83"/>
        <v>0</v>
      </c>
      <c r="O199" s="544">
        <f t="shared" si="83"/>
        <v>0</v>
      </c>
      <c r="P199" s="544">
        <f t="shared" si="83"/>
        <v>0</v>
      </c>
      <c r="Q199" s="544">
        <f t="shared" si="83"/>
        <v>0</v>
      </c>
      <c r="R199" s="544">
        <f t="shared" si="83"/>
        <v>0</v>
      </c>
      <c r="S199" s="544">
        <f t="shared" si="83"/>
        <v>0</v>
      </c>
      <c r="T199" s="544">
        <f t="shared" si="83"/>
        <v>0</v>
      </c>
      <c r="U199" s="544">
        <f t="shared" si="83"/>
        <v>0</v>
      </c>
      <c r="V199" s="544">
        <f t="shared" si="83"/>
        <v>0</v>
      </c>
      <c r="W199" s="544">
        <f t="shared" si="83"/>
        <v>0</v>
      </c>
      <c r="X199" s="544">
        <f t="shared" si="83"/>
        <v>0</v>
      </c>
      <c r="Y199" s="544">
        <f t="shared" si="83"/>
        <v>0</v>
      </c>
      <c r="Z199" s="544">
        <f t="shared" si="83"/>
        <v>0</v>
      </c>
    </row>
    <row r="200" spans="2:26">
      <c r="P200" s="21">
        <v>0</v>
      </c>
      <c r="V200" s="21">
        <v>0</v>
      </c>
      <c r="W200" s="21">
        <v>0</v>
      </c>
    </row>
    <row r="201" spans="2:26">
      <c r="B201" s="15" t="s">
        <v>642</v>
      </c>
      <c r="D201" s="26">
        <f>+SUM(F201:Z201)</f>
        <v>72587565.33304888</v>
      </c>
      <c r="F201" s="22">
        <f t="shared" ref="F201:L201" si="84">SUM(F191:F195)+F196</f>
        <v>0</v>
      </c>
      <c r="G201" s="22">
        <f t="shared" si="84"/>
        <v>0</v>
      </c>
      <c r="H201" s="22">
        <f t="shared" si="84"/>
        <v>72587565.33304888</v>
      </c>
      <c r="I201" s="22">
        <f t="shared" si="84"/>
        <v>0</v>
      </c>
      <c r="J201" s="22">
        <f t="shared" si="84"/>
        <v>0</v>
      </c>
      <c r="K201" s="22">
        <f t="shared" si="84"/>
        <v>0</v>
      </c>
      <c r="L201" s="22">
        <f t="shared" si="84"/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</row>
    <row r="202" spans="2:26">
      <c r="M202" s="21">
        <v>0</v>
      </c>
    </row>
    <row r="203" spans="2:26">
      <c r="B203" s="73" t="s">
        <v>643</v>
      </c>
      <c r="K203" s="21">
        <v>0</v>
      </c>
    </row>
    <row r="204" spans="2:26">
      <c r="B204" s="15" t="s">
        <v>644</v>
      </c>
      <c r="D204" s="26">
        <f ca="1">+SUM(F204:Z204)</f>
        <v>-85097404.386978179</v>
      </c>
      <c r="E204" s="26"/>
      <c r="F204" s="16">
        <f ca="1">-F198</f>
        <v>-11237511.257709347</v>
      </c>
      <c r="G204" s="16">
        <f t="shared" ref="G204:Z204" ca="1" si="85">-G198</f>
        <v>-68589212.879671752</v>
      </c>
      <c r="H204" s="16">
        <f t="shared" ca="1" si="85"/>
        <v>0</v>
      </c>
      <c r="I204" s="16">
        <f t="shared" ca="1" si="85"/>
        <v>-2635340.124798533</v>
      </c>
      <c r="J204" s="16">
        <f t="shared" ca="1" si="85"/>
        <v>-2635340.124798533</v>
      </c>
      <c r="K204" s="16">
        <f t="shared" si="85"/>
        <v>0</v>
      </c>
      <c r="L204" s="16">
        <f t="shared" si="85"/>
        <v>0</v>
      </c>
      <c r="M204" s="16">
        <f t="shared" si="85"/>
        <v>0</v>
      </c>
      <c r="N204" s="16">
        <f t="shared" si="85"/>
        <v>0</v>
      </c>
      <c r="O204" s="16">
        <f t="shared" si="85"/>
        <v>0</v>
      </c>
      <c r="P204" s="16">
        <f t="shared" si="85"/>
        <v>0</v>
      </c>
      <c r="Q204" s="16">
        <f t="shared" si="85"/>
        <v>0</v>
      </c>
      <c r="R204" s="16">
        <f t="shared" si="85"/>
        <v>0</v>
      </c>
      <c r="S204" s="16">
        <f t="shared" si="85"/>
        <v>0</v>
      </c>
      <c r="T204" s="16">
        <f t="shared" si="85"/>
        <v>0</v>
      </c>
      <c r="U204" s="16">
        <f t="shared" si="85"/>
        <v>0</v>
      </c>
      <c r="V204" s="16">
        <f t="shared" si="85"/>
        <v>0</v>
      </c>
      <c r="W204" s="16">
        <f t="shared" si="85"/>
        <v>0</v>
      </c>
      <c r="X204" s="16">
        <f t="shared" si="85"/>
        <v>0</v>
      </c>
      <c r="Y204" s="16">
        <f t="shared" si="85"/>
        <v>0</v>
      </c>
      <c r="Z204" s="16">
        <f t="shared" si="85"/>
        <v>0</v>
      </c>
    </row>
    <row r="205" spans="2:26">
      <c r="B205" s="15" t="s">
        <v>645</v>
      </c>
      <c r="D205" s="26">
        <f ca="1">+SUM(F205:Z205)</f>
        <v>237253799.290218</v>
      </c>
      <c r="E205" s="26"/>
      <c r="F205" s="76">
        <f t="shared" ref="F205:N205" si="86">+F173</f>
        <v>0</v>
      </c>
      <c r="G205" s="76">
        <f t="shared" si="86"/>
        <v>0</v>
      </c>
      <c r="H205" s="76">
        <f t="shared" si="86"/>
        <v>0</v>
      </c>
      <c r="I205" s="76">
        <f t="shared" ca="1" si="86"/>
        <v>30067350.980219007</v>
      </c>
      <c r="J205" s="76">
        <f t="shared" si="86"/>
        <v>6896434.9239489827</v>
      </c>
      <c r="K205" s="76">
        <f t="shared" si="86"/>
        <v>7583175.0578151103</v>
      </c>
      <c r="L205" s="76">
        <f t="shared" si="86"/>
        <v>8706143.3109712992</v>
      </c>
      <c r="M205" s="76">
        <f t="shared" si="86"/>
        <v>184000695.01726359</v>
      </c>
      <c r="N205" s="76">
        <f t="shared" si="86"/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</row>
    <row r="206" spans="2:26">
      <c r="B206" s="653" t="s">
        <v>646</v>
      </c>
      <c r="C206" s="653"/>
      <c r="D206" s="544">
        <f ca="1">+SUM(F206:Z206)</f>
        <v>152156394.90323982</v>
      </c>
      <c r="E206" s="544"/>
      <c r="F206" s="544">
        <f ca="1">+SUM(F204:F205)</f>
        <v>-11237511.257709347</v>
      </c>
      <c r="G206" s="544">
        <f ca="1">+SUM(G204:G205)</f>
        <v>-68589212.879671752</v>
      </c>
      <c r="H206" s="544">
        <f t="shared" ref="H206:Z206" ca="1" si="87">+SUM(H204:H205)</f>
        <v>0</v>
      </c>
      <c r="I206" s="544">
        <f t="shared" ca="1" si="87"/>
        <v>27432010.855420474</v>
      </c>
      <c r="J206" s="544">
        <f t="shared" ca="1" si="87"/>
        <v>4261094.7991504502</v>
      </c>
      <c r="K206" s="544">
        <f t="shared" si="87"/>
        <v>7583175.0578151103</v>
      </c>
      <c r="L206" s="544">
        <f t="shared" si="87"/>
        <v>8706143.3109712992</v>
      </c>
      <c r="M206" s="544">
        <f t="shared" si="87"/>
        <v>184000695.01726359</v>
      </c>
      <c r="N206" s="544">
        <f t="shared" si="87"/>
        <v>0</v>
      </c>
      <c r="O206" s="544">
        <f t="shared" si="87"/>
        <v>0</v>
      </c>
      <c r="P206" s="544">
        <f t="shared" si="87"/>
        <v>0</v>
      </c>
      <c r="Q206" s="544">
        <f t="shared" si="87"/>
        <v>0</v>
      </c>
      <c r="R206" s="544">
        <f t="shared" si="87"/>
        <v>0</v>
      </c>
      <c r="S206" s="544">
        <f t="shared" si="87"/>
        <v>0</v>
      </c>
      <c r="T206" s="544">
        <f t="shared" si="87"/>
        <v>0</v>
      </c>
      <c r="U206" s="544">
        <f t="shared" si="87"/>
        <v>0</v>
      </c>
      <c r="V206" s="544">
        <f t="shared" si="87"/>
        <v>0</v>
      </c>
      <c r="W206" s="544">
        <f t="shared" si="87"/>
        <v>0</v>
      </c>
      <c r="X206" s="544">
        <f t="shared" si="87"/>
        <v>0</v>
      </c>
      <c r="Y206" s="544">
        <f t="shared" si="87"/>
        <v>0</v>
      </c>
      <c r="Z206" s="544">
        <f t="shared" si="87"/>
        <v>0</v>
      </c>
    </row>
    <row r="208" spans="2:26">
      <c r="B208" s="672" t="s">
        <v>1</v>
      </c>
      <c r="C208" s="672"/>
      <c r="D208" s="673">
        <f ca="1">IRR(F206:Z206)</f>
        <v>0.22269373279225091</v>
      </c>
    </row>
    <row r="209" spans="2:26">
      <c r="B209" s="655" t="s">
        <v>647</v>
      </c>
      <c r="C209" s="528"/>
      <c r="D209" s="658">
        <f ca="1">+SUM(F206:Z206)</f>
        <v>152156394.90323982</v>
      </c>
    </row>
    <row r="210" spans="2:26">
      <c r="B210" s="674" t="s">
        <v>14</v>
      </c>
      <c r="C210" s="531"/>
      <c r="D210" s="675">
        <f ca="1">+D205/-D204</f>
        <v>2.7880262741189221</v>
      </c>
    </row>
    <row r="212" spans="2:26">
      <c r="B212" s="440" t="s">
        <v>648</v>
      </c>
      <c r="C212" s="441"/>
      <c r="D212" s="441"/>
      <c r="E212" s="441"/>
      <c r="F212" s="611"/>
      <c r="G212" s="611"/>
      <c r="H212" s="611"/>
      <c r="I212" s="611"/>
      <c r="J212" s="611"/>
      <c r="K212" s="611"/>
      <c r="L212" s="611"/>
      <c r="M212" s="611"/>
      <c r="N212" s="611"/>
      <c r="O212" s="611"/>
      <c r="P212" s="611"/>
      <c r="Q212" s="611"/>
      <c r="R212" s="611"/>
      <c r="S212" s="611"/>
      <c r="T212" s="611"/>
      <c r="U212" s="611"/>
      <c r="V212" s="611"/>
      <c r="W212" s="611"/>
      <c r="X212" s="611"/>
      <c r="Y212" s="611"/>
      <c r="Z212" s="611"/>
    </row>
    <row r="214" spans="2:26">
      <c r="B214" s="73" t="s">
        <v>587</v>
      </c>
      <c r="F214" s="75">
        <f>+F$190</f>
        <v>45657</v>
      </c>
      <c r="G214" s="75">
        <f t="shared" ref="G214:Z214" si="88">+G$190</f>
        <v>46022</v>
      </c>
      <c r="H214" s="75">
        <f t="shared" si="88"/>
        <v>46387</v>
      </c>
      <c r="I214" s="75">
        <f t="shared" si="88"/>
        <v>46752</v>
      </c>
      <c r="J214" s="75">
        <f t="shared" si="88"/>
        <v>47118</v>
      </c>
      <c r="K214" s="75">
        <f t="shared" si="88"/>
        <v>47483</v>
      </c>
      <c r="L214" s="75">
        <f t="shared" si="88"/>
        <v>47848</v>
      </c>
      <c r="M214" s="75">
        <f t="shared" si="88"/>
        <v>48213</v>
      </c>
      <c r="N214" s="75">
        <f t="shared" si="88"/>
        <v>48579</v>
      </c>
      <c r="O214" s="75">
        <f t="shared" si="88"/>
        <v>48944</v>
      </c>
      <c r="P214" s="75">
        <f t="shared" si="88"/>
        <v>49309</v>
      </c>
      <c r="Q214" s="75">
        <f t="shared" si="88"/>
        <v>49674</v>
      </c>
      <c r="R214" s="75">
        <f t="shared" si="88"/>
        <v>50040</v>
      </c>
      <c r="S214" s="75">
        <f t="shared" si="88"/>
        <v>50405</v>
      </c>
      <c r="T214" s="75">
        <f t="shared" si="88"/>
        <v>50770</v>
      </c>
      <c r="U214" s="75">
        <f t="shared" si="88"/>
        <v>51135</v>
      </c>
      <c r="V214" s="75">
        <f t="shared" si="88"/>
        <v>51501</v>
      </c>
      <c r="W214" s="75">
        <f t="shared" si="88"/>
        <v>51866</v>
      </c>
      <c r="X214" s="75">
        <f t="shared" si="88"/>
        <v>52231</v>
      </c>
      <c r="Y214" s="75">
        <f t="shared" si="88"/>
        <v>52596</v>
      </c>
      <c r="Z214" s="75">
        <f t="shared" si="88"/>
        <v>52962</v>
      </c>
    </row>
    <row r="215" spans="2:26">
      <c r="B215" s="15" t="s">
        <v>574</v>
      </c>
      <c r="C215"/>
      <c r="D215"/>
      <c r="E215"/>
      <c r="F215" s="16">
        <v>0</v>
      </c>
      <c r="G215" s="16">
        <v>0</v>
      </c>
      <c r="H215" s="16">
        <f t="shared" ref="H215:Z215" si="89">+H$138</f>
        <v>0</v>
      </c>
      <c r="I215" s="16">
        <f t="shared" si="89"/>
        <v>10024255.565184468</v>
      </c>
      <c r="J215" s="16">
        <f t="shared" si="89"/>
        <v>20772625.966064475</v>
      </c>
      <c r="K215" s="16">
        <f t="shared" si="89"/>
        <v>21270932.788604517</v>
      </c>
      <c r="L215" s="16">
        <f t="shared" si="89"/>
        <v>22194161.731755052</v>
      </c>
      <c r="M215" s="16">
        <f t="shared" si="89"/>
        <v>22723235.736094281</v>
      </c>
      <c r="N215" s="16">
        <f t="shared" si="89"/>
        <v>23268395.266064797</v>
      </c>
      <c r="O215" s="16">
        <f t="shared" si="89"/>
        <v>23830127.153545558</v>
      </c>
      <c r="P215" s="16">
        <f t="shared" si="89"/>
        <v>24408932.920694094</v>
      </c>
      <c r="Q215" s="16">
        <f t="shared" si="89"/>
        <v>25456073.90504165</v>
      </c>
      <c r="R215" s="16">
        <f t="shared" si="89"/>
        <v>26070592.984493189</v>
      </c>
      <c r="S215" s="16">
        <f t="shared" si="89"/>
        <v>26703783.142837271</v>
      </c>
      <c r="T215" s="16">
        <f t="shared" si="89"/>
        <v>27356209.222570855</v>
      </c>
      <c r="U215" s="16">
        <f t="shared" si="89"/>
        <v>28028453.105668396</v>
      </c>
      <c r="V215" s="16">
        <f t="shared" si="89"/>
        <v>29216933.377598625</v>
      </c>
      <c r="W215" s="16">
        <f t="shared" si="89"/>
        <v>29930629.252029166</v>
      </c>
      <c r="X215" s="16">
        <f t="shared" si="89"/>
        <v>30665996.020908237</v>
      </c>
      <c r="Y215" s="16">
        <f t="shared" si="89"/>
        <v>31423689.011433598</v>
      </c>
      <c r="Z215" s="16">
        <f t="shared" si="89"/>
        <v>32204383.314626236</v>
      </c>
    </row>
    <row r="216" spans="2:26">
      <c r="B216" s="15" t="s">
        <v>612</v>
      </c>
      <c r="C216"/>
      <c r="D216"/>
      <c r="E216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</row>
    <row r="217" spans="2:26">
      <c r="B217" s="15" t="s">
        <v>649</v>
      </c>
      <c r="C217"/>
      <c r="D217"/>
      <c r="E217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0</v>
      </c>
      <c r="X217" s="76">
        <v>0</v>
      </c>
      <c r="Y217" s="76">
        <v>0</v>
      </c>
      <c r="Z217" s="76">
        <v>0</v>
      </c>
    </row>
    <row r="218" spans="2:26">
      <c r="B218" s="653" t="s">
        <v>587</v>
      </c>
      <c r="C218" s="653"/>
      <c r="D218" s="544"/>
      <c r="E218" s="544"/>
      <c r="F218" s="544">
        <f t="shared" ref="F218:Z218" si="90">+SUM(F215:F217)</f>
        <v>0</v>
      </c>
      <c r="G218" s="544">
        <f t="shared" si="90"/>
        <v>0</v>
      </c>
      <c r="H218" s="544">
        <f t="shared" si="90"/>
        <v>0</v>
      </c>
      <c r="I218" s="544">
        <f t="shared" si="90"/>
        <v>10024255.565184468</v>
      </c>
      <c r="J218" s="544">
        <f t="shared" si="90"/>
        <v>20772625.966064475</v>
      </c>
      <c r="K218" s="544">
        <f t="shared" si="90"/>
        <v>21270932.788604517</v>
      </c>
      <c r="L218" s="544">
        <f t="shared" si="90"/>
        <v>22194161.731755052</v>
      </c>
      <c r="M218" s="544">
        <f t="shared" si="90"/>
        <v>22723235.736094281</v>
      </c>
      <c r="N218" s="544">
        <f t="shared" si="90"/>
        <v>23268395.266064797</v>
      </c>
      <c r="O218" s="544">
        <f t="shared" si="90"/>
        <v>23830127.153545558</v>
      </c>
      <c r="P218" s="544">
        <f t="shared" si="90"/>
        <v>24408932.920694094</v>
      </c>
      <c r="Q218" s="544">
        <f t="shared" si="90"/>
        <v>25456073.90504165</v>
      </c>
      <c r="R218" s="544">
        <f t="shared" si="90"/>
        <v>26070592.984493189</v>
      </c>
      <c r="S218" s="544">
        <f t="shared" si="90"/>
        <v>26703783.142837271</v>
      </c>
      <c r="T218" s="544">
        <f t="shared" si="90"/>
        <v>27356209.222570855</v>
      </c>
      <c r="U218" s="544">
        <f t="shared" si="90"/>
        <v>28028453.105668396</v>
      </c>
      <c r="V218" s="544">
        <f t="shared" si="90"/>
        <v>29216933.377598625</v>
      </c>
      <c r="W218" s="544">
        <f t="shared" si="90"/>
        <v>29930629.252029166</v>
      </c>
      <c r="X218" s="544">
        <f t="shared" si="90"/>
        <v>30665996.020908237</v>
      </c>
      <c r="Y218" s="544">
        <f t="shared" si="90"/>
        <v>31423689.011433598</v>
      </c>
      <c r="Z218" s="544">
        <f t="shared" si="90"/>
        <v>32204383.314626236</v>
      </c>
    </row>
    <row r="220" spans="2:26">
      <c r="B220" s="73" t="s">
        <v>152</v>
      </c>
      <c r="F220" s="75">
        <f>+F$190</f>
        <v>45657</v>
      </c>
      <c r="G220" s="75">
        <f t="shared" ref="G220:Z220" si="91">+G$190</f>
        <v>46022</v>
      </c>
      <c r="H220" s="75">
        <f t="shared" si="91"/>
        <v>46387</v>
      </c>
      <c r="I220" s="75">
        <f t="shared" si="91"/>
        <v>46752</v>
      </c>
      <c r="J220" s="75">
        <f t="shared" si="91"/>
        <v>47118</v>
      </c>
      <c r="K220" s="75">
        <f t="shared" si="91"/>
        <v>47483</v>
      </c>
      <c r="L220" s="75">
        <f t="shared" si="91"/>
        <v>47848</v>
      </c>
      <c r="M220" s="75">
        <f t="shared" si="91"/>
        <v>48213</v>
      </c>
      <c r="N220" s="75">
        <f t="shared" si="91"/>
        <v>48579</v>
      </c>
      <c r="O220" s="75">
        <f t="shared" si="91"/>
        <v>48944</v>
      </c>
      <c r="P220" s="75">
        <f t="shared" si="91"/>
        <v>49309</v>
      </c>
      <c r="Q220" s="75">
        <f t="shared" si="91"/>
        <v>49674</v>
      </c>
      <c r="R220" s="75">
        <f t="shared" si="91"/>
        <v>50040</v>
      </c>
      <c r="S220" s="75">
        <f t="shared" si="91"/>
        <v>50405</v>
      </c>
      <c r="T220" s="75">
        <f t="shared" si="91"/>
        <v>50770</v>
      </c>
      <c r="U220" s="75">
        <f t="shared" si="91"/>
        <v>51135</v>
      </c>
      <c r="V220" s="75">
        <f t="shared" si="91"/>
        <v>51501</v>
      </c>
      <c r="W220" s="75">
        <f t="shared" si="91"/>
        <v>51866</v>
      </c>
      <c r="X220" s="75">
        <f t="shared" si="91"/>
        <v>52231</v>
      </c>
      <c r="Y220" s="75">
        <f t="shared" si="91"/>
        <v>52596</v>
      </c>
      <c r="Z220" s="75">
        <f t="shared" si="91"/>
        <v>52962</v>
      </c>
    </row>
    <row r="221" spans="2:26">
      <c r="B221" s="15" t="s">
        <v>605</v>
      </c>
      <c r="C221"/>
      <c r="D221"/>
      <c r="E221"/>
      <c r="F221" s="16">
        <f t="shared" ref="F221:Q221" si="92">F166</f>
        <v>0</v>
      </c>
      <c r="G221" s="16">
        <f t="shared" si="92"/>
        <v>0</v>
      </c>
      <c r="H221" s="16">
        <f t="shared" si="92"/>
        <v>0</v>
      </c>
      <c r="I221" s="16">
        <f t="shared" si="92"/>
        <v>0</v>
      </c>
      <c r="J221" s="16">
        <f t="shared" si="92"/>
        <v>0</v>
      </c>
      <c r="K221" s="16">
        <f t="shared" si="92"/>
        <v>0</v>
      </c>
      <c r="L221" s="16">
        <f t="shared" si="92"/>
        <v>0</v>
      </c>
      <c r="M221" s="16">
        <f t="shared" si="92"/>
        <v>400086614.03837138</v>
      </c>
      <c r="N221" s="16">
        <f t="shared" si="92"/>
        <v>0</v>
      </c>
      <c r="O221" s="16">
        <f t="shared" si="92"/>
        <v>0</v>
      </c>
      <c r="P221" s="16">
        <f t="shared" si="92"/>
        <v>0</v>
      </c>
      <c r="Q221" s="16">
        <f t="shared" si="92"/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</row>
    <row r="222" spans="2:26">
      <c r="B222" s="15" t="s">
        <v>607</v>
      </c>
      <c r="E222" s="21" t="s">
        <v>246</v>
      </c>
      <c r="F222" s="16">
        <f t="shared" ref="F222:Q222" si="93">F167</f>
        <v>0</v>
      </c>
      <c r="G222" s="16">
        <f t="shared" si="93"/>
        <v>0</v>
      </c>
      <c r="H222" s="16">
        <f t="shared" si="93"/>
        <v>0</v>
      </c>
      <c r="I222" s="16">
        <f t="shared" si="93"/>
        <v>0</v>
      </c>
      <c r="J222" s="16">
        <f t="shared" si="93"/>
        <v>0</v>
      </c>
      <c r="K222" s="16">
        <f t="shared" si="93"/>
        <v>0</v>
      </c>
      <c r="L222" s="16">
        <f t="shared" si="93"/>
        <v>0</v>
      </c>
      <c r="M222" s="16">
        <f t="shared" si="93"/>
        <v>-8001732.2807674278</v>
      </c>
      <c r="N222" s="16">
        <f t="shared" si="93"/>
        <v>0</v>
      </c>
      <c r="O222" s="16">
        <f t="shared" si="93"/>
        <v>0</v>
      </c>
      <c r="P222" s="16">
        <f t="shared" si="93"/>
        <v>0</v>
      </c>
      <c r="Q222" s="16">
        <f t="shared" si="93"/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0</v>
      </c>
      <c r="Y222" s="76">
        <v>0</v>
      </c>
      <c r="Z222" s="76">
        <v>0</v>
      </c>
    </row>
    <row r="223" spans="2:26">
      <c r="B223" s="653" t="s">
        <v>609</v>
      </c>
      <c r="C223" s="653"/>
      <c r="D223" s="544"/>
      <c r="E223" s="544"/>
      <c r="F223" s="544">
        <f t="shared" ref="F223:Z223" si="94">+SUM(F221:F222)</f>
        <v>0</v>
      </c>
      <c r="G223" s="544">
        <f t="shared" si="94"/>
        <v>0</v>
      </c>
      <c r="H223" s="544">
        <f t="shared" si="94"/>
        <v>0</v>
      </c>
      <c r="I223" s="544">
        <f t="shared" si="94"/>
        <v>0</v>
      </c>
      <c r="J223" s="544">
        <f t="shared" si="94"/>
        <v>0</v>
      </c>
      <c r="K223" s="544">
        <f t="shared" si="94"/>
        <v>0</v>
      </c>
      <c r="L223" s="544">
        <f t="shared" si="94"/>
        <v>0</v>
      </c>
      <c r="M223" s="544">
        <f t="shared" si="94"/>
        <v>392084881.75760394</v>
      </c>
      <c r="N223" s="544">
        <f t="shared" si="94"/>
        <v>0</v>
      </c>
      <c r="O223" s="544">
        <f t="shared" si="94"/>
        <v>0</v>
      </c>
      <c r="P223" s="544">
        <f t="shared" si="94"/>
        <v>0</v>
      </c>
      <c r="Q223" s="544">
        <f t="shared" si="94"/>
        <v>0</v>
      </c>
      <c r="R223" s="544">
        <f t="shared" si="94"/>
        <v>0</v>
      </c>
      <c r="S223" s="544">
        <f t="shared" si="94"/>
        <v>0</v>
      </c>
      <c r="T223" s="544">
        <f t="shared" si="94"/>
        <v>0</v>
      </c>
      <c r="U223" s="544">
        <f t="shared" si="94"/>
        <v>0</v>
      </c>
      <c r="V223" s="544">
        <f t="shared" si="94"/>
        <v>0</v>
      </c>
      <c r="W223" s="544">
        <f t="shared" si="94"/>
        <v>0</v>
      </c>
      <c r="X223" s="544">
        <f t="shared" si="94"/>
        <v>0</v>
      </c>
      <c r="Y223" s="544">
        <f t="shared" si="94"/>
        <v>0</v>
      </c>
      <c r="Z223" s="544">
        <f t="shared" si="94"/>
        <v>0</v>
      </c>
    </row>
    <row r="225" spans="2:26">
      <c r="B225" s="73" t="s">
        <v>650</v>
      </c>
      <c r="F225" s="75">
        <f t="shared" ref="F225:Z225" si="95">+F$190</f>
        <v>45657</v>
      </c>
      <c r="G225" s="75">
        <f t="shared" si="95"/>
        <v>46022</v>
      </c>
      <c r="H225" s="75">
        <f t="shared" si="95"/>
        <v>46387</v>
      </c>
      <c r="I225" s="75">
        <f t="shared" si="95"/>
        <v>46752</v>
      </c>
      <c r="J225" s="75">
        <f t="shared" si="95"/>
        <v>47118</v>
      </c>
      <c r="K225" s="75">
        <f t="shared" si="95"/>
        <v>47483</v>
      </c>
      <c r="L225" s="75">
        <f t="shared" si="95"/>
        <v>47848</v>
      </c>
      <c r="M225" s="75">
        <f t="shared" si="95"/>
        <v>48213</v>
      </c>
      <c r="N225" s="75">
        <f t="shared" si="95"/>
        <v>48579</v>
      </c>
      <c r="O225" s="75">
        <f t="shared" si="95"/>
        <v>48944</v>
      </c>
      <c r="P225" s="75">
        <f t="shared" si="95"/>
        <v>49309</v>
      </c>
      <c r="Q225" s="75">
        <f t="shared" si="95"/>
        <v>49674</v>
      </c>
      <c r="R225" s="75">
        <f t="shared" si="95"/>
        <v>50040</v>
      </c>
      <c r="S225" s="75">
        <f t="shared" si="95"/>
        <v>50405</v>
      </c>
      <c r="T225" s="75">
        <f t="shared" si="95"/>
        <v>50770</v>
      </c>
      <c r="U225" s="75">
        <f t="shared" si="95"/>
        <v>51135</v>
      </c>
      <c r="V225" s="75">
        <f t="shared" si="95"/>
        <v>51501</v>
      </c>
      <c r="W225" s="75">
        <f t="shared" si="95"/>
        <v>51866</v>
      </c>
      <c r="X225" s="75">
        <f t="shared" si="95"/>
        <v>52231</v>
      </c>
      <c r="Y225" s="75">
        <f t="shared" si="95"/>
        <v>52596</v>
      </c>
      <c r="Z225" s="75">
        <f t="shared" si="95"/>
        <v>52962</v>
      </c>
    </row>
    <row r="226" spans="2:26">
      <c r="B226" s="15" t="s">
        <v>254</v>
      </c>
      <c r="D226" s="26">
        <f>+SUM(F226:Z226)</f>
        <v>0</v>
      </c>
      <c r="E226" s="26"/>
      <c r="F226" s="16">
        <f t="shared" ref="F226:O226" si="96">F181</f>
        <v>0</v>
      </c>
      <c r="G226" s="16">
        <f t="shared" si="96"/>
        <v>0</v>
      </c>
      <c r="H226" s="16">
        <f t="shared" si="96"/>
        <v>0</v>
      </c>
      <c r="I226" s="16">
        <f t="shared" si="96"/>
        <v>0</v>
      </c>
      <c r="J226" s="16">
        <f t="shared" si="96"/>
        <v>0</v>
      </c>
      <c r="K226" s="16">
        <f t="shared" si="96"/>
        <v>0</v>
      </c>
      <c r="L226" s="16">
        <f t="shared" si="96"/>
        <v>0</v>
      </c>
      <c r="M226" s="16">
        <f t="shared" si="96"/>
        <v>0</v>
      </c>
      <c r="N226" s="16">
        <f t="shared" si="96"/>
        <v>0</v>
      </c>
      <c r="O226" s="16">
        <f t="shared" si="96"/>
        <v>0</v>
      </c>
      <c r="P226" s="16">
        <f t="shared" ref="P226:Z226" si="97">+P181</f>
        <v>0</v>
      </c>
      <c r="Q226" s="16">
        <f t="shared" si="97"/>
        <v>0</v>
      </c>
      <c r="R226" s="16">
        <f t="shared" si="97"/>
        <v>0</v>
      </c>
      <c r="S226" s="16">
        <f t="shared" si="97"/>
        <v>0</v>
      </c>
      <c r="T226" s="16">
        <f t="shared" si="97"/>
        <v>0</v>
      </c>
      <c r="U226" s="16">
        <f t="shared" si="97"/>
        <v>0</v>
      </c>
      <c r="V226" s="16">
        <f t="shared" si="97"/>
        <v>0</v>
      </c>
      <c r="W226" s="16">
        <f t="shared" si="97"/>
        <v>0</v>
      </c>
      <c r="X226" s="16">
        <f t="shared" si="97"/>
        <v>0</v>
      </c>
      <c r="Y226" s="16">
        <f t="shared" si="97"/>
        <v>0</v>
      </c>
      <c r="Z226" s="16">
        <f t="shared" si="97"/>
        <v>0</v>
      </c>
    </row>
    <row r="227" spans="2:26">
      <c r="B227" s="15" t="s">
        <v>255</v>
      </c>
      <c r="D227" s="26">
        <f t="shared" ref="D227:D232" si="98">+SUM(F227:Z227)</f>
        <v>2326215</v>
      </c>
      <c r="E227" s="26"/>
      <c r="F227" s="16">
        <f t="shared" ref="F227:O227" si="99">F182</f>
        <v>2326215</v>
      </c>
      <c r="G227" s="16">
        <f t="shared" si="99"/>
        <v>0</v>
      </c>
      <c r="H227" s="16">
        <f t="shared" si="99"/>
        <v>0</v>
      </c>
      <c r="I227" s="16">
        <f t="shared" si="99"/>
        <v>0</v>
      </c>
      <c r="J227" s="16">
        <f t="shared" si="99"/>
        <v>0</v>
      </c>
      <c r="K227" s="16">
        <f t="shared" si="99"/>
        <v>0</v>
      </c>
      <c r="L227" s="16">
        <f t="shared" si="99"/>
        <v>0</v>
      </c>
      <c r="M227" s="16">
        <f t="shared" si="99"/>
        <v>0</v>
      </c>
      <c r="N227" s="16">
        <f t="shared" si="99"/>
        <v>0</v>
      </c>
      <c r="O227" s="16">
        <f t="shared" si="99"/>
        <v>0</v>
      </c>
      <c r="P227" s="16">
        <f t="shared" ref="P227:Z227" si="100">+P182</f>
        <v>0</v>
      </c>
      <c r="Q227" s="16">
        <f t="shared" si="100"/>
        <v>0</v>
      </c>
      <c r="R227" s="16">
        <f t="shared" si="100"/>
        <v>0</v>
      </c>
      <c r="S227" s="16">
        <f t="shared" si="100"/>
        <v>0</v>
      </c>
      <c r="T227" s="16">
        <f t="shared" si="100"/>
        <v>0</v>
      </c>
      <c r="U227" s="16">
        <f t="shared" si="100"/>
        <v>0</v>
      </c>
      <c r="V227" s="16">
        <f t="shared" si="100"/>
        <v>0</v>
      </c>
      <c r="W227" s="16">
        <f t="shared" si="100"/>
        <v>0</v>
      </c>
      <c r="X227" s="16">
        <f t="shared" si="100"/>
        <v>0</v>
      </c>
      <c r="Y227" s="16">
        <f t="shared" si="100"/>
        <v>0</v>
      </c>
      <c r="Z227" s="16">
        <f t="shared" si="100"/>
        <v>0</v>
      </c>
    </row>
    <row r="228" spans="2:26">
      <c r="B228" s="15" t="s">
        <v>276</v>
      </c>
      <c r="D228" s="26">
        <f t="shared" ca="1" si="98"/>
        <v>327020653.88604617</v>
      </c>
      <c r="E228" s="26"/>
      <c r="F228" s="16">
        <f t="shared" ref="F228:O228" si="101">F183</f>
        <v>0</v>
      </c>
      <c r="G228" s="16">
        <f t="shared" ca="1" si="101"/>
        <v>163510326.94302309</v>
      </c>
      <c r="H228" s="16">
        <f t="shared" ca="1" si="101"/>
        <v>163510326.94302309</v>
      </c>
      <c r="I228" s="16">
        <f t="shared" si="101"/>
        <v>0</v>
      </c>
      <c r="J228" s="16">
        <f t="shared" si="101"/>
        <v>0</v>
      </c>
      <c r="K228" s="16">
        <f t="shared" si="101"/>
        <v>0</v>
      </c>
      <c r="L228" s="16">
        <f t="shared" si="101"/>
        <v>0</v>
      </c>
      <c r="M228" s="16">
        <f t="shared" si="101"/>
        <v>0</v>
      </c>
      <c r="N228" s="16">
        <f t="shared" si="101"/>
        <v>0</v>
      </c>
      <c r="O228" s="16">
        <f t="shared" si="101"/>
        <v>0</v>
      </c>
      <c r="P228" s="16">
        <f t="shared" ref="P228:Z228" si="102">+P183</f>
        <v>0</v>
      </c>
      <c r="Q228" s="16">
        <f t="shared" si="102"/>
        <v>0</v>
      </c>
      <c r="R228" s="16">
        <f t="shared" si="102"/>
        <v>0</v>
      </c>
      <c r="S228" s="16">
        <f t="shared" si="102"/>
        <v>0</v>
      </c>
      <c r="T228" s="16">
        <f t="shared" si="102"/>
        <v>0</v>
      </c>
      <c r="U228" s="16">
        <f t="shared" si="102"/>
        <v>0</v>
      </c>
      <c r="V228" s="16">
        <f t="shared" si="102"/>
        <v>0</v>
      </c>
      <c r="W228" s="16">
        <f t="shared" si="102"/>
        <v>0</v>
      </c>
      <c r="X228" s="16">
        <f t="shared" si="102"/>
        <v>0</v>
      </c>
      <c r="Y228" s="16">
        <f t="shared" si="102"/>
        <v>0</v>
      </c>
      <c r="Z228" s="16">
        <f t="shared" si="102"/>
        <v>0</v>
      </c>
    </row>
    <row r="229" spans="2:26">
      <c r="B229" s="15" t="s">
        <v>262</v>
      </c>
      <c r="D229" s="26">
        <f t="shared" ca="1" si="98"/>
        <v>21250012.259555332</v>
      </c>
      <c r="E229" s="26"/>
      <c r="F229" s="16">
        <f t="shared" ref="F229:O229" ca="1" si="103">F184</f>
        <v>11237511.257709347</v>
      </c>
      <c r="G229" s="16">
        <f t="shared" ca="1" si="103"/>
        <v>5006250.5009229928</v>
      </c>
      <c r="H229" s="16">
        <f t="shared" ca="1" si="103"/>
        <v>5006250.5009229928</v>
      </c>
      <c r="I229" s="16">
        <f t="shared" si="103"/>
        <v>0</v>
      </c>
      <c r="J229" s="16">
        <f t="shared" si="103"/>
        <v>0</v>
      </c>
      <c r="K229" s="16">
        <f t="shared" si="103"/>
        <v>0</v>
      </c>
      <c r="L229" s="16">
        <f t="shared" si="103"/>
        <v>0</v>
      </c>
      <c r="M229" s="16">
        <f t="shared" si="103"/>
        <v>0</v>
      </c>
      <c r="N229" s="16">
        <f t="shared" si="103"/>
        <v>0</v>
      </c>
      <c r="O229" s="16">
        <f t="shared" si="103"/>
        <v>0</v>
      </c>
      <c r="P229" s="16">
        <f t="shared" ref="P229:Z229" si="104">+P184</f>
        <v>0</v>
      </c>
      <c r="Q229" s="16">
        <f t="shared" si="104"/>
        <v>0</v>
      </c>
      <c r="R229" s="16">
        <f t="shared" si="104"/>
        <v>0</v>
      </c>
      <c r="S229" s="16">
        <f t="shared" si="104"/>
        <v>0</v>
      </c>
      <c r="T229" s="16">
        <f t="shared" si="104"/>
        <v>0</v>
      </c>
      <c r="U229" s="16">
        <f t="shared" si="104"/>
        <v>0</v>
      </c>
      <c r="V229" s="16">
        <f t="shared" si="104"/>
        <v>0</v>
      </c>
      <c r="W229" s="16">
        <f t="shared" si="104"/>
        <v>0</v>
      </c>
      <c r="X229" s="16">
        <f t="shared" si="104"/>
        <v>0</v>
      </c>
      <c r="Y229" s="16">
        <f t="shared" si="104"/>
        <v>0</v>
      </c>
      <c r="Z229" s="16">
        <f t="shared" si="104"/>
        <v>0</v>
      </c>
    </row>
    <row r="230" spans="2:26">
      <c r="B230" s="15" t="s">
        <v>263</v>
      </c>
      <c r="D230" s="26">
        <f t="shared" ca="1" si="98"/>
        <v>69786.45</v>
      </c>
      <c r="E230" s="26"/>
      <c r="F230" s="16">
        <f t="shared" ref="F230:O230" si="105">F185</f>
        <v>0</v>
      </c>
      <c r="G230" s="16">
        <f t="shared" si="105"/>
        <v>0</v>
      </c>
      <c r="H230" s="16">
        <f t="shared" ca="1" si="105"/>
        <v>69786.45</v>
      </c>
      <c r="I230" s="16">
        <f t="shared" si="105"/>
        <v>0</v>
      </c>
      <c r="J230" s="16">
        <f t="shared" si="105"/>
        <v>0</v>
      </c>
      <c r="K230" s="16">
        <f t="shared" si="105"/>
        <v>0</v>
      </c>
      <c r="L230" s="16">
        <f t="shared" si="105"/>
        <v>0</v>
      </c>
      <c r="M230" s="16">
        <f t="shared" si="105"/>
        <v>0</v>
      </c>
      <c r="N230" s="16">
        <f t="shared" si="105"/>
        <v>0</v>
      </c>
      <c r="O230" s="16">
        <f t="shared" si="105"/>
        <v>0</v>
      </c>
      <c r="P230" s="16">
        <f t="shared" ref="P230:Z230" si="106">+P185</f>
        <v>0</v>
      </c>
      <c r="Q230" s="16">
        <f t="shared" si="106"/>
        <v>0</v>
      </c>
      <c r="R230" s="16">
        <f t="shared" si="106"/>
        <v>0</v>
      </c>
      <c r="S230" s="16">
        <f t="shared" si="106"/>
        <v>0</v>
      </c>
      <c r="T230" s="16">
        <f t="shared" si="106"/>
        <v>0</v>
      </c>
      <c r="U230" s="16">
        <f t="shared" si="106"/>
        <v>0</v>
      </c>
      <c r="V230" s="16">
        <f t="shared" si="106"/>
        <v>0</v>
      </c>
      <c r="W230" s="16">
        <f t="shared" si="106"/>
        <v>0</v>
      </c>
      <c r="X230" s="16">
        <f t="shared" si="106"/>
        <v>0</v>
      </c>
      <c r="Y230" s="16">
        <f t="shared" si="106"/>
        <v>0</v>
      </c>
      <c r="Z230" s="16">
        <f t="shared" si="106"/>
        <v>0</v>
      </c>
    </row>
    <row r="231" spans="2:26">
      <c r="B231" s="15" t="s">
        <v>264</v>
      </c>
      <c r="D231" s="26">
        <f t="shared" ca="1" si="98"/>
        <v>642229.2608695908</v>
      </c>
      <c r="E231" s="26"/>
      <c r="F231" s="16">
        <f t="shared" ref="F231:O231" si="107">F186</f>
        <v>0</v>
      </c>
      <c r="G231" s="16">
        <f t="shared" ca="1" si="107"/>
        <v>321114.6304347954</v>
      </c>
      <c r="H231" s="16">
        <f t="shared" ca="1" si="107"/>
        <v>321114.6304347954</v>
      </c>
      <c r="I231" s="16">
        <f t="shared" si="107"/>
        <v>0</v>
      </c>
      <c r="J231" s="16">
        <f t="shared" si="107"/>
        <v>0</v>
      </c>
      <c r="K231" s="16">
        <f t="shared" si="107"/>
        <v>0</v>
      </c>
      <c r="L231" s="16">
        <f t="shared" si="107"/>
        <v>0</v>
      </c>
      <c r="M231" s="16">
        <f t="shared" si="107"/>
        <v>0</v>
      </c>
      <c r="N231" s="16">
        <f t="shared" si="107"/>
        <v>0</v>
      </c>
      <c r="O231" s="16">
        <f t="shared" si="107"/>
        <v>0</v>
      </c>
      <c r="P231" s="16">
        <f t="shared" ref="P231:Z231" si="108">+P186</f>
        <v>0</v>
      </c>
      <c r="Q231" s="16">
        <f t="shared" si="108"/>
        <v>0</v>
      </c>
      <c r="R231" s="16">
        <f t="shared" si="108"/>
        <v>0</v>
      </c>
      <c r="S231" s="16">
        <f t="shared" si="108"/>
        <v>0</v>
      </c>
      <c r="T231" s="16">
        <f t="shared" si="108"/>
        <v>0</v>
      </c>
      <c r="U231" s="16">
        <f t="shared" si="108"/>
        <v>0</v>
      </c>
      <c r="V231" s="16">
        <f t="shared" si="108"/>
        <v>0</v>
      </c>
      <c r="W231" s="16">
        <f t="shared" si="108"/>
        <v>0</v>
      </c>
      <c r="X231" s="16">
        <f t="shared" si="108"/>
        <v>0</v>
      </c>
      <c r="Y231" s="16">
        <f t="shared" si="108"/>
        <v>0</v>
      </c>
      <c r="Z231" s="16">
        <f t="shared" si="108"/>
        <v>0</v>
      </c>
    </row>
    <row r="232" spans="2:26">
      <c r="B232" s="15" t="s">
        <v>265</v>
      </c>
      <c r="D232" s="26">
        <f t="shared" ca="1" si="98"/>
        <v>10541360.499194132</v>
      </c>
      <c r="E232" s="26"/>
      <c r="F232" s="16">
        <f t="shared" ref="F232:O232" ca="1" si="109">F187</f>
        <v>0</v>
      </c>
      <c r="G232" s="16">
        <f t="shared" ca="1" si="109"/>
        <v>2635340.124798533</v>
      </c>
      <c r="H232" s="16">
        <f t="shared" ca="1" si="109"/>
        <v>2635340.124798533</v>
      </c>
      <c r="I232" s="16">
        <f t="shared" ca="1" si="109"/>
        <v>2635340.124798533</v>
      </c>
      <c r="J232" s="16">
        <f t="shared" ca="1" si="109"/>
        <v>2635340.124798533</v>
      </c>
      <c r="K232" s="16">
        <f t="shared" si="109"/>
        <v>0</v>
      </c>
      <c r="L232" s="16">
        <f t="shared" si="109"/>
        <v>0</v>
      </c>
      <c r="M232" s="16">
        <f t="shared" si="109"/>
        <v>0</v>
      </c>
      <c r="N232" s="16">
        <f t="shared" si="109"/>
        <v>0</v>
      </c>
      <c r="O232" s="16">
        <f t="shared" si="109"/>
        <v>0</v>
      </c>
      <c r="P232" s="16">
        <f t="shared" ref="P232:Z232" si="110">+P187</f>
        <v>0</v>
      </c>
      <c r="Q232" s="16">
        <f t="shared" si="110"/>
        <v>0</v>
      </c>
      <c r="R232" s="16">
        <f t="shared" si="110"/>
        <v>0</v>
      </c>
      <c r="S232" s="16">
        <f t="shared" si="110"/>
        <v>0</v>
      </c>
      <c r="T232" s="16">
        <f t="shared" si="110"/>
        <v>0</v>
      </c>
      <c r="U232" s="16">
        <f t="shared" si="110"/>
        <v>0</v>
      </c>
      <c r="V232" s="16">
        <f t="shared" si="110"/>
        <v>0</v>
      </c>
      <c r="W232" s="16">
        <f t="shared" si="110"/>
        <v>0</v>
      </c>
      <c r="X232" s="16">
        <f t="shared" si="110"/>
        <v>0</v>
      </c>
      <c r="Y232" s="16">
        <f t="shared" si="110"/>
        <v>0</v>
      </c>
      <c r="Z232" s="16">
        <f t="shared" si="110"/>
        <v>0</v>
      </c>
    </row>
    <row r="233" spans="2:26">
      <c r="B233" s="653" t="s">
        <v>636</v>
      </c>
      <c r="C233" s="653"/>
      <c r="D233" s="544">
        <f ca="1">+SUM(F233:Z233)</f>
        <v>361850257.35566521</v>
      </c>
      <c r="E233" s="544"/>
      <c r="F233" s="544">
        <f t="shared" ref="F233:Z233" ca="1" si="111">+SUM(F226:F232)</f>
        <v>13563726.257709347</v>
      </c>
      <c r="G233" s="544">
        <f t="shared" ca="1" si="111"/>
        <v>171473032.19917938</v>
      </c>
      <c r="H233" s="544">
        <f t="shared" ca="1" si="111"/>
        <v>171542818.64917937</v>
      </c>
      <c r="I233" s="544">
        <f t="shared" ca="1" si="111"/>
        <v>2635340.124798533</v>
      </c>
      <c r="J233" s="544">
        <f t="shared" ca="1" si="111"/>
        <v>2635340.124798533</v>
      </c>
      <c r="K233" s="544">
        <f t="shared" si="111"/>
        <v>0</v>
      </c>
      <c r="L233" s="544">
        <f t="shared" si="111"/>
        <v>0</v>
      </c>
      <c r="M233" s="544">
        <f t="shared" si="111"/>
        <v>0</v>
      </c>
      <c r="N233" s="544">
        <f t="shared" si="111"/>
        <v>0</v>
      </c>
      <c r="O233" s="544">
        <f t="shared" si="111"/>
        <v>0</v>
      </c>
      <c r="P233" s="544">
        <f t="shared" si="111"/>
        <v>0</v>
      </c>
      <c r="Q233" s="544">
        <f t="shared" si="111"/>
        <v>0</v>
      </c>
      <c r="R233" s="544">
        <f t="shared" si="111"/>
        <v>0</v>
      </c>
      <c r="S233" s="544">
        <f t="shared" si="111"/>
        <v>0</v>
      </c>
      <c r="T233" s="544">
        <f t="shared" si="111"/>
        <v>0</v>
      </c>
      <c r="U233" s="544">
        <f t="shared" si="111"/>
        <v>0</v>
      </c>
      <c r="V233" s="544">
        <f t="shared" si="111"/>
        <v>0</v>
      </c>
      <c r="W233" s="544">
        <f t="shared" si="111"/>
        <v>0</v>
      </c>
      <c r="X233" s="544">
        <f t="shared" si="111"/>
        <v>0</v>
      </c>
      <c r="Y233" s="544">
        <f t="shared" si="111"/>
        <v>0</v>
      </c>
      <c r="Z233" s="544">
        <f t="shared" si="111"/>
        <v>0</v>
      </c>
    </row>
    <row r="235" spans="2:26">
      <c r="B235" s="73" t="s">
        <v>637</v>
      </c>
      <c r="F235" s="75">
        <f t="shared" ref="F235" si="112">+F$190</f>
        <v>45657</v>
      </c>
      <c r="G235" s="75">
        <f>+EOMONTH(F235,12)</f>
        <v>46022</v>
      </c>
      <c r="H235" s="75">
        <f t="shared" ref="H235:Z235" si="113">+EOMONTH(G235,12)</f>
        <v>46387</v>
      </c>
      <c r="I235" s="75">
        <f t="shared" si="113"/>
        <v>46752</v>
      </c>
      <c r="J235" s="75">
        <f t="shared" si="113"/>
        <v>47118</v>
      </c>
      <c r="K235" s="75">
        <f t="shared" si="113"/>
        <v>47483</v>
      </c>
      <c r="L235" s="75">
        <f t="shared" si="113"/>
        <v>47848</v>
      </c>
      <c r="M235" s="75">
        <f t="shared" si="113"/>
        <v>48213</v>
      </c>
      <c r="N235" s="75">
        <f t="shared" si="113"/>
        <v>48579</v>
      </c>
      <c r="O235" s="75">
        <f t="shared" si="113"/>
        <v>48944</v>
      </c>
      <c r="P235" s="75">
        <f t="shared" si="113"/>
        <v>49309</v>
      </c>
      <c r="Q235" s="75">
        <f t="shared" si="113"/>
        <v>49674</v>
      </c>
      <c r="R235" s="75">
        <f t="shared" si="113"/>
        <v>50040</v>
      </c>
      <c r="S235" s="75">
        <f t="shared" si="113"/>
        <v>50405</v>
      </c>
      <c r="T235" s="75">
        <f t="shared" si="113"/>
        <v>50770</v>
      </c>
      <c r="U235" s="75">
        <f t="shared" si="113"/>
        <v>51135</v>
      </c>
      <c r="V235" s="75">
        <f t="shared" si="113"/>
        <v>51501</v>
      </c>
      <c r="W235" s="75">
        <f t="shared" si="113"/>
        <v>51866</v>
      </c>
      <c r="X235" s="75">
        <f t="shared" si="113"/>
        <v>52231</v>
      </c>
      <c r="Y235" s="75">
        <f t="shared" si="113"/>
        <v>52596</v>
      </c>
      <c r="Z235" s="75">
        <f t="shared" si="113"/>
        <v>52962</v>
      </c>
    </row>
    <row r="236" spans="2:26">
      <c r="B236" s="15" t="s">
        <v>176</v>
      </c>
      <c r="D236" s="26">
        <f t="shared" ref="D236" si="114">SUM(F236:Z236)</f>
        <v>0</v>
      </c>
      <c r="E236" s="26"/>
      <c r="F236" s="76">
        <f t="shared" ref="F236:Z236" si="115">F191</f>
        <v>0</v>
      </c>
      <c r="G236" s="76">
        <f t="shared" si="115"/>
        <v>0</v>
      </c>
      <c r="H236" s="76">
        <f t="shared" si="115"/>
        <v>0</v>
      </c>
      <c r="I236" s="76">
        <f t="shared" si="115"/>
        <v>0</v>
      </c>
      <c r="J236" s="76">
        <f t="shared" si="115"/>
        <v>0</v>
      </c>
      <c r="K236" s="76">
        <f t="shared" si="115"/>
        <v>0</v>
      </c>
      <c r="L236" s="76">
        <f t="shared" si="115"/>
        <v>0</v>
      </c>
      <c r="M236" s="76">
        <f t="shared" si="115"/>
        <v>0</v>
      </c>
      <c r="N236" s="76">
        <f t="shared" si="115"/>
        <v>0</v>
      </c>
      <c r="O236" s="76">
        <f t="shared" si="115"/>
        <v>0</v>
      </c>
      <c r="P236" s="76">
        <f t="shared" si="115"/>
        <v>0</v>
      </c>
      <c r="Q236" s="76">
        <f t="shared" si="115"/>
        <v>0</v>
      </c>
      <c r="R236" s="76">
        <f t="shared" si="115"/>
        <v>0</v>
      </c>
      <c r="S236" s="76">
        <f t="shared" si="115"/>
        <v>0</v>
      </c>
      <c r="T236" s="76">
        <f t="shared" si="115"/>
        <v>0</v>
      </c>
      <c r="U236" s="76">
        <f t="shared" si="115"/>
        <v>0</v>
      </c>
      <c r="V236" s="76">
        <f t="shared" si="115"/>
        <v>0</v>
      </c>
      <c r="W236" s="76">
        <f t="shared" si="115"/>
        <v>0</v>
      </c>
      <c r="X236" s="76">
        <f t="shared" si="115"/>
        <v>0</v>
      </c>
      <c r="Y236" s="76">
        <f t="shared" si="115"/>
        <v>0</v>
      </c>
      <c r="Z236" s="76">
        <f t="shared" si="115"/>
        <v>0</v>
      </c>
    </row>
    <row r="237" spans="2:26">
      <c r="B237" s="15" t="s">
        <v>651</v>
      </c>
      <c r="D237" s="26">
        <f t="shared" ref="D237:D243" si="116">SUM(F237:Z237)</f>
        <v>0</v>
      </c>
      <c r="E237" s="26"/>
      <c r="F237" s="76">
        <f t="shared" ref="F237:Z237" si="117">F192</f>
        <v>0</v>
      </c>
      <c r="G237" s="76">
        <f t="shared" si="117"/>
        <v>0</v>
      </c>
      <c r="H237" s="76">
        <f t="shared" si="117"/>
        <v>0</v>
      </c>
      <c r="I237" s="76">
        <f t="shared" si="117"/>
        <v>0</v>
      </c>
      <c r="J237" s="76">
        <f t="shared" si="117"/>
        <v>0</v>
      </c>
      <c r="K237" s="76">
        <f t="shared" si="117"/>
        <v>0</v>
      </c>
      <c r="L237" s="76">
        <f t="shared" si="117"/>
        <v>0</v>
      </c>
      <c r="M237" s="76">
        <f t="shared" si="117"/>
        <v>0</v>
      </c>
      <c r="N237" s="76">
        <f t="shared" si="117"/>
        <v>0</v>
      </c>
      <c r="O237" s="76">
        <f t="shared" si="117"/>
        <v>0</v>
      </c>
      <c r="P237" s="76">
        <f t="shared" si="117"/>
        <v>0</v>
      </c>
      <c r="Q237" s="76">
        <f t="shared" si="117"/>
        <v>0</v>
      </c>
      <c r="R237" s="76">
        <f t="shared" si="117"/>
        <v>0</v>
      </c>
      <c r="S237" s="76">
        <f t="shared" si="117"/>
        <v>0</v>
      </c>
      <c r="T237" s="76">
        <f t="shared" si="117"/>
        <v>0</v>
      </c>
      <c r="U237" s="76">
        <f t="shared" si="117"/>
        <v>0</v>
      </c>
      <c r="V237" s="76">
        <f t="shared" si="117"/>
        <v>0</v>
      </c>
      <c r="W237" s="76">
        <f t="shared" si="117"/>
        <v>0</v>
      </c>
      <c r="X237" s="76">
        <f t="shared" si="117"/>
        <v>0</v>
      </c>
      <c r="Y237" s="76">
        <f t="shared" si="117"/>
        <v>0</v>
      </c>
      <c r="Z237" s="76">
        <f t="shared" si="117"/>
        <v>0</v>
      </c>
    </row>
    <row r="238" spans="2:26">
      <c r="B238" s="15" t="s">
        <v>312</v>
      </c>
      <c r="D238" s="26">
        <f t="shared" si="116"/>
        <v>67049565.333048873</v>
      </c>
      <c r="E238" s="26"/>
      <c r="F238" s="76">
        <f t="shared" ref="F238:Z238" si="118">F193</f>
        <v>0</v>
      </c>
      <c r="G238" s="76">
        <f t="shared" si="118"/>
        <v>0</v>
      </c>
      <c r="H238" s="76">
        <f t="shared" si="118"/>
        <v>67049565.333048873</v>
      </c>
      <c r="I238" s="76">
        <f t="shared" si="118"/>
        <v>0</v>
      </c>
      <c r="J238" s="76">
        <f t="shared" si="118"/>
        <v>0</v>
      </c>
      <c r="K238" s="76">
        <f t="shared" si="118"/>
        <v>0</v>
      </c>
      <c r="L238" s="76">
        <f t="shared" si="118"/>
        <v>0</v>
      </c>
      <c r="M238" s="76">
        <f t="shared" si="118"/>
        <v>0</v>
      </c>
      <c r="N238" s="76">
        <f t="shared" si="118"/>
        <v>0</v>
      </c>
      <c r="O238" s="76">
        <f t="shared" si="118"/>
        <v>0</v>
      </c>
      <c r="P238" s="76">
        <f t="shared" si="118"/>
        <v>0</v>
      </c>
      <c r="Q238" s="76">
        <f t="shared" si="118"/>
        <v>0</v>
      </c>
      <c r="R238" s="76">
        <f t="shared" si="118"/>
        <v>0</v>
      </c>
      <c r="S238" s="76">
        <f t="shared" si="118"/>
        <v>0</v>
      </c>
      <c r="T238" s="76">
        <f t="shared" si="118"/>
        <v>0</v>
      </c>
      <c r="U238" s="76">
        <f t="shared" si="118"/>
        <v>0</v>
      </c>
      <c r="V238" s="76">
        <f t="shared" si="118"/>
        <v>0</v>
      </c>
      <c r="W238" s="76">
        <f t="shared" si="118"/>
        <v>0</v>
      </c>
      <c r="X238" s="76">
        <f t="shared" si="118"/>
        <v>0</v>
      </c>
      <c r="Y238" s="76">
        <f t="shared" si="118"/>
        <v>0</v>
      </c>
      <c r="Z238" s="76">
        <f t="shared" si="118"/>
        <v>0</v>
      </c>
    </row>
    <row r="239" spans="2:26">
      <c r="B239" s="15" t="s">
        <v>313</v>
      </c>
      <c r="D239" s="26">
        <f t="shared" si="116"/>
        <v>5538000</v>
      </c>
      <c r="E239" s="26"/>
      <c r="F239" s="76">
        <f t="shared" ref="F239:Z239" si="119">F194</f>
        <v>0</v>
      </c>
      <c r="G239" s="76">
        <f t="shared" si="119"/>
        <v>0</v>
      </c>
      <c r="H239" s="76">
        <f t="shared" si="119"/>
        <v>5538000</v>
      </c>
      <c r="I239" s="76">
        <f t="shared" si="119"/>
        <v>0</v>
      </c>
      <c r="J239" s="76">
        <f t="shared" si="119"/>
        <v>0</v>
      </c>
      <c r="K239" s="76">
        <f t="shared" si="119"/>
        <v>0</v>
      </c>
      <c r="L239" s="76">
        <f t="shared" si="119"/>
        <v>0</v>
      </c>
      <c r="M239" s="76">
        <f t="shared" si="119"/>
        <v>0</v>
      </c>
      <c r="N239" s="76">
        <f t="shared" si="119"/>
        <v>0</v>
      </c>
      <c r="O239" s="76">
        <f t="shared" si="119"/>
        <v>0</v>
      </c>
      <c r="P239" s="76">
        <f t="shared" si="119"/>
        <v>0</v>
      </c>
      <c r="Q239" s="76">
        <f t="shared" si="119"/>
        <v>0</v>
      </c>
      <c r="R239" s="76">
        <f t="shared" si="119"/>
        <v>0</v>
      </c>
      <c r="S239" s="76">
        <f t="shared" si="119"/>
        <v>0</v>
      </c>
      <c r="T239" s="76">
        <f t="shared" si="119"/>
        <v>0</v>
      </c>
      <c r="U239" s="76">
        <f t="shared" si="119"/>
        <v>0</v>
      </c>
      <c r="V239" s="76">
        <f t="shared" si="119"/>
        <v>0</v>
      </c>
      <c r="W239" s="76">
        <f t="shared" si="119"/>
        <v>0</v>
      </c>
      <c r="X239" s="76">
        <f t="shared" si="119"/>
        <v>0</v>
      </c>
      <c r="Y239" s="76">
        <f t="shared" si="119"/>
        <v>0</v>
      </c>
      <c r="Z239" s="76">
        <f t="shared" si="119"/>
        <v>0</v>
      </c>
    </row>
    <row r="240" spans="2:26">
      <c r="B240" s="15" t="s">
        <v>314</v>
      </c>
      <c r="D240" s="26">
        <f t="shared" si="116"/>
        <v>0</v>
      </c>
      <c r="E240" s="26"/>
      <c r="F240" s="76">
        <f t="shared" ref="F240:Z240" si="120">F195</f>
        <v>0</v>
      </c>
      <c r="G240" s="76">
        <f t="shared" si="120"/>
        <v>0</v>
      </c>
      <c r="H240" s="76">
        <f t="shared" si="120"/>
        <v>0</v>
      </c>
      <c r="I240" s="76">
        <f t="shared" si="120"/>
        <v>0</v>
      </c>
      <c r="J240" s="76">
        <f t="shared" si="120"/>
        <v>0</v>
      </c>
      <c r="K240" s="76">
        <f t="shared" si="120"/>
        <v>0</v>
      </c>
      <c r="L240" s="76">
        <f t="shared" si="120"/>
        <v>0</v>
      </c>
      <c r="M240" s="76">
        <f t="shared" si="120"/>
        <v>0</v>
      </c>
      <c r="N240" s="76">
        <f t="shared" si="120"/>
        <v>0</v>
      </c>
      <c r="O240" s="76">
        <f t="shared" si="120"/>
        <v>0</v>
      </c>
      <c r="P240" s="76">
        <f t="shared" si="120"/>
        <v>0</v>
      </c>
      <c r="Q240" s="76">
        <f t="shared" si="120"/>
        <v>0</v>
      </c>
      <c r="R240" s="76">
        <f t="shared" si="120"/>
        <v>0</v>
      </c>
      <c r="S240" s="76">
        <f t="shared" si="120"/>
        <v>0</v>
      </c>
      <c r="T240" s="76">
        <f t="shared" si="120"/>
        <v>0</v>
      </c>
      <c r="U240" s="76">
        <f t="shared" si="120"/>
        <v>0</v>
      </c>
      <c r="V240" s="76">
        <f t="shared" si="120"/>
        <v>0</v>
      </c>
      <c r="W240" s="76">
        <f t="shared" si="120"/>
        <v>0</v>
      </c>
      <c r="X240" s="76">
        <f t="shared" si="120"/>
        <v>0</v>
      </c>
      <c r="Y240" s="76">
        <f t="shared" si="120"/>
        <v>0</v>
      </c>
      <c r="Z240" s="76">
        <f t="shared" si="120"/>
        <v>0</v>
      </c>
    </row>
    <row r="241" spans="2:27">
      <c r="B241" s="15" t="s">
        <v>639</v>
      </c>
      <c r="D241" s="26">
        <f t="shared" si="116"/>
        <v>0</v>
      </c>
      <c r="E241" s="26"/>
      <c r="F241" s="76">
        <f t="shared" ref="F241:Z241" si="121">F196</f>
        <v>0</v>
      </c>
      <c r="G241" s="76">
        <f t="shared" si="121"/>
        <v>0</v>
      </c>
      <c r="H241" s="76">
        <f t="shared" si="121"/>
        <v>0</v>
      </c>
      <c r="I241" s="76">
        <f t="shared" si="121"/>
        <v>0</v>
      </c>
      <c r="J241" s="76">
        <f t="shared" si="121"/>
        <v>0</v>
      </c>
      <c r="K241" s="76">
        <f t="shared" si="121"/>
        <v>0</v>
      </c>
      <c r="L241" s="76">
        <f t="shared" si="121"/>
        <v>0</v>
      </c>
      <c r="M241" s="76">
        <f t="shared" si="121"/>
        <v>0</v>
      </c>
      <c r="N241" s="76">
        <f t="shared" si="121"/>
        <v>0</v>
      </c>
      <c r="O241" s="76">
        <f t="shared" si="121"/>
        <v>0</v>
      </c>
      <c r="P241" s="76">
        <f t="shared" si="121"/>
        <v>0</v>
      </c>
      <c r="Q241" s="76">
        <f t="shared" si="121"/>
        <v>0</v>
      </c>
      <c r="R241" s="76">
        <f t="shared" si="121"/>
        <v>0</v>
      </c>
      <c r="S241" s="76">
        <f t="shared" si="121"/>
        <v>0</v>
      </c>
      <c r="T241" s="76">
        <f t="shared" si="121"/>
        <v>0</v>
      </c>
      <c r="U241" s="76">
        <f t="shared" si="121"/>
        <v>0</v>
      </c>
      <c r="V241" s="76">
        <f t="shared" si="121"/>
        <v>0</v>
      </c>
      <c r="W241" s="76">
        <f t="shared" si="121"/>
        <v>0</v>
      </c>
      <c r="X241" s="76">
        <f t="shared" si="121"/>
        <v>0</v>
      </c>
      <c r="Y241" s="76">
        <f t="shared" si="121"/>
        <v>0</v>
      </c>
      <c r="Z241" s="76">
        <f t="shared" si="121"/>
        <v>0</v>
      </c>
    </row>
    <row r="242" spans="2:27">
      <c r="B242" s="15" t="s">
        <v>270</v>
      </c>
      <c r="D242" s="26">
        <f t="shared" si="116"/>
        <v>0</v>
      </c>
      <c r="E242" s="26"/>
      <c r="F242" s="76">
        <v>0</v>
      </c>
      <c r="G242" s="76">
        <v>0</v>
      </c>
      <c r="H242" s="76">
        <v>0</v>
      </c>
      <c r="I242" s="76">
        <f t="shared" ref="I242:Z242" si="122">I197</f>
        <v>0</v>
      </c>
      <c r="J242" s="76">
        <f t="shared" si="122"/>
        <v>0</v>
      </c>
      <c r="K242" s="76">
        <f t="shared" si="122"/>
        <v>0</v>
      </c>
      <c r="L242" s="76">
        <f t="shared" si="122"/>
        <v>0</v>
      </c>
      <c r="M242" s="76">
        <f t="shared" si="122"/>
        <v>0</v>
      </c>
      <c r="N242" s="76">
        <f t="shared" si="122"/>
        <v>0</v>
      </c>
      <c r="O242" s="76">
        <f t="shared" si="122"/>
        <v>0</v>
      </c>
      <c r="P242" s="76">
        <f t="shared" si="122"/>
        <v>0</v>
      </c>
      <c r="Q242" s="76">
        <f t="shared" si="122"/>
        <v>0</v>
      </c>
      <c r="R242" s="76">
        <f t="shared" si="122"/>
        <v>0</v>
      </c>
      <c r="S242" s="76">
        <f t="shared" si="122"/>
        <v>0</v>
      </c>
      <c r="T242" s="76">
        <f t="shared" si="122"/>
        <v>0</v>
      </c>
      <c r="U242" s="76">
        <f t="shared" si="122"/>
        <v>0</v>
      </c>
      <c r="V242" s="76">
        <f t="shared" si="122"/>
        <v>0</v>
      </c>
      <c r="W242" s="76">
        <f t="shared" si="122"/>
        <v>0</v>
      </c>
      <c r="X242" s="76">
        <f t="shared" si="122"/>
        <v>0</v>
      </c>
      <c r="Y242" s="76">
        <f t="shared" si="122"/>
        <v>0</v>
      </c>
      <c r="Z242" s="76">
        <f t="shared" si="122"/>
        <v>0</v>
      </c>
    </row>
    <row r="243" spans="2:27">
      <c r="B243" s="15" t="s">
        <v>640</v>
      </c>
      <c r="D243" s="26">
        <f t="shared" ca="1" si="116"/>
        <v>289262692.02261627</v>
      </c>
      <c r="E243" s="26"/>
      <c r="F243" s="76">
        <f ca="1">F233-SUM(F236:F242)</f>
        <v>13563726.257709347</v>
      </c>
      <c r="G243" s="76">
        <f t="shared" ref="G243:K243" ca="1" si="123">G233-SUM(G236:G242)</f>
        <v>171473032.19917938</v>
      </c>
      <c r="H243" s="76">
        <f t="shared" ca="1" si="123"/>
        <v>98955253.316130489</v>
      </c>
      <c r="I243" s="76">
        <f t="shared" ca="1" si="123"/>
        <v>2635340.124798533</v>
      </c>
      <c r="J243" s="76">
        <f t="shared" ca="1" si="123"/>
        <v>2635340.124798533</v>
      </c>
      <c r="K243" s="76">
        <f t="shared" si="123"/>
        <v>0</v>
      </c>
      <c r="L243" s="76">
        <f t="shared" ref="L243:Z243" si="124">L198</f>
        <v>0</v>
      </c>
      <c r="M243" s="76">
        <f t="shared" si="124"/>
        <v>0</v>
      </c>
      <c r="N243" s="76">
        <f t="shared" si="124"/>
        <v>0</v>
      </c>
      <c r="O243" s="76">
        <f t="shared" si="124"/>
        <v>0</v>
      </c>
      <c r="P243" s="76">
        <f t="shared" si="124"/>
        <v>0</v>
      </c>
      <c r="Q243" s="76">
        <f t="shared" si="124"/>
        <v>0</v>
      </c>
      <c r="R243" s="76">
        <f t="shared" si="124"/>
        <v>0</v>
      </c>
      <c r="S243" s="76">
        <f t="shared" si="124"/>
        <v>0</v>
      </c>
      <c r="T243" s="76">
        <f t="shared" si="124"/>
        <v>0</v>
      </c>
      <c r="U243" s="76">
        <f t="shared" si="124"/>
        <v>0</v>
      </c>
      <c r="V243" s="76">
        <f t="shared" si="124"/>
        <v>0</v>
      </c>
      <c r="W243" s="76">
        <f t="shared" si="124"/>
        <v>0</v>
      </c>
      <c r="X243" s="76">
        <f t="shared" si="124"/>
        <v>0</v>
      </c>
      <c r="Y243" s="76">
        <f t="shared" si="124"/>
        <v>0</v>
      </c>
      <c r="Z243" s="76">
        <f t="shared" si="124"/>
        <v>0</v>
      </c>
    </row>
    <row r="244" spans="2:27">
      <c r="B244" s="653" t="s">
        <v>641</v>
      </c>
      <c r="C244" s="653"/>
      <c r="D244" s="544">
        <f ca="1">+SUM(F244:Z244)</f>
        <v>361850257.35566521</v>
      </c>
      <c r="E244" s="544"/>
      <c r="F244" s="544">
        <f t="shared" ref="F244:Z244" ca="1" si="125">+SUM(F236:F243)</f>
        <v>13563726.257709347</v>
      </c>
      <c r="G244" s="544">
        <f t="shared" ca="1" si="125"/>
        <v>171473032.19917938</v>
      </c>
      <c r="H244" s="544">
        <f t="shared" ca="1" si="125"/>
        <v>171542818.64917937</v>
      </c>
      <c r="I244" s="544">
        <f t="shared" ca="1" si="125"/>
        <v>2635340.124798533</v>
      </c>
      <c r="J244" s="544">
        <f t="shared" ca="1" si="125"/>
        <v>2635340.124798533</v>
      </c>
      <c r="K244" s="544">
        <f t="shared" si="125"/>
        <v>0</v>
      </c>
      <c r="L244" s="544">
        <f t="shared" si="125"/>
        <v>0</v>
      </c>
      <c r="M244" s="544">
        <f t="shared" si="125"/>
        <v>0</v>
      </c>
      <c r="N244" s="544">
        <f t="shared" si="125"/>
        <v>0</v>
      </c>
      <c r="O244" s="544">
        <f t="shared" si="125"/>
        <v>0</v>
      </c>
      <c r="P244" s="544">
        <f t="shared" si="125"/>
        <v>0</v>
      </c>
      <c r="Q244" s="544">
        <f t="shared" si="125"/>
        <v>0</v>
      </c>
      <c r="R244" s="544">
        <f t="shared" si="125"/>
        <v>0</v>
      </c>
      <c r="S244" s="544">
        <f t="shared" si="125"/>
        <v>0</v>
      </c>
      <c r="T244" s="544">
        <f t="shared" si="125"/>
        <v>0</v>
      </c>
      <c r="U244" s="544">
        <f t="shared" si="125"/>
        <v>0</v>
      </c>
      <c r="V244" s="544">
        <f t="shared" si="125"/>
        <v>0</v>
      </c>
      <c r="W244" s="544">
        <f t="shared" si="125"/>
        <v>0</v>
      </c>
      <c r="X244" s="544">
        <f t="shared" si="125"/>
        <v>0</v>
      </c>
      <c r="Y244" s="544">
        <f t="shared" si="125"/>
        <v>0</v>
      </c>
      <c r="Z244" s="544">
        <f t="shared" si="125"/>
        <v>0</v>
      </c>
    </row>
    <row r="246" spans="2:27">
      <c r="B246" s="73" t="s">
        <v>643</v>
      </c>
    </row>
    <row r="247" spans="2:27">
      <c r="B247" s="15" t="s">
        <v>644</v>
      </c>
      <c r="D247" s="26">
        <f ca="1">+SUM(F247:Z247)</f>
        <v>-289262692.02261627</v>
      </c>
      <c r="E247" s="26"/>
      <c r="F247" s="16">
        <f ca="1">-F243</f>
        <v>-13563726.257709347</v>
      </c>
      <c r="G247" s="16">
        <f t="shared" ref="G247:AA247" ca="1" si="126">-G243</f>
        <v>-171473032.19917938</v>
      </c>
      <c r="H247" s="16">
        <f t="shared" ca="1" si="126"/>
        <v>-98955253.316130489</v>
      </c>
      <c r="I247" s="16">
        <f t="shared" ca="1" si="126"/>
        <v>-2635340.124798533</v>
      </c>
      <c r="J247" s="16">
        <f t="shared" ca="1" si="126"/>
        <v>-2635340.124798533</v>
      </c>
      <c r="K247" s="16">
        <f t="shared" si="126"/>
        <v>0</v>
      </c>
      <c r="L247" s="16">
        <f t="shared" si="126"/>
        <v>0</v>
      </c>
      <c r="M247" s="16">
        <f t="shared" si="126"/>
        <v>0</v>
      </c>
      <c r="N247" s="16">
        <f t="shared" si="126"/>
        <v>0</v>
      </c>
      <c r="O247" s="16">
        <f t="shared" si="126"/>
        <v>0</v>
      </c>
      <c r="P247" s="16">
        <f t="shared" si="126"/>
        <v>0</v>
      </c>
      <c r="Q247" s="16">
        <f t="shared" si="126"/>
        <v>0</v>
      </c>
      <c r="R247" s="16">
        <f t="shared" si="126"/>
        <v>0</v>
      </c>
      <c r="S247" s="16">
        <f t="shared" si="126"/>
        <v>0</v>
      </c>
      <c r="T247" s="16">
        <f t="shared" si="126"/>
        <v>0</v>
      </c>
      <c r="U247" s="16">
        <f t="shared" si="126"/>
        <v>0</v>
      </c>
      <c r="V247" s="16">
        <f t="shared" si="126"/>
        <v>0</v>
      </c>
      <c r="W247" s="16">
        <f t="shared" si="126"/>
        <v>0</v>
      </c>
      <c r="X247" s="16">
        <f t="shared" si="126"/>
        <v>0</v>
      </c>
      <c r="Y247" s="16">
        <f t="shared" si="126"/>
        <v>0</v>
      </c>
      <c r="Z247" s="16">
        <f t="shared" si="126"/>
        <v>0</v>
      </c>
      <c r="AA247" s="16">
        <f t="shared" si="126"/>
        <v>0</v>
      </c>
    </row>
    <row r="248" spans="2:27">
      <c r="B248" s="15" t="s">
        <v>645</v>
      </c>
      <c r="D248" s="26">
        <f t="shared" ref="D248" si="127">+SUM(F248:Z248)</f>
        <v>489070093.54530674</v>
      </c>
      <c r="E248" s="26"/>
      <c r="F248" s="76">
        <f t="shared" ref="F248:M248" si="128">F218+F223</f>
        <v>0</v>
      </c>
      <c r="G248" s="76">
        <f t="shared" si="128"/>
        <v>0</v>
      </c>
      <c r="H248" s="76">
        <f t="shared" si="128"/>
        <v>0</v>
      </c>
      <c r="I248" s="76">
        <f t="shared" si="128"/>
        <v>10024255.565184468</v>
      </c>
      <c r="J248" s="76">
        <f t="shared" si="128"/>
        <v>20772625.966064475</v>
      </c>
      <c r="K248" s="76">
        <f t="shared" si="128"/>
        <v>21270932.788604517</v>
      </c>
      <c r="L248" s="76">
        <f t="shared" si="128"/>
        <v>22194161.731755052</v>
      </c>
      <c r="M248" s="76">
        <f t="shared" si="128"/>
        <v>414808117.49369824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f>+IF(YEAR(X$140)&lt;=YEAR([1]Assumptions!$H$30),X218+X223,0)</f>
        <v>0</v>
      </c>
      <c r="Y248" s="76">
        <f>+IF(YEAR(Y$140)&lt;=YEAR([1]Assumptions!$H$30),Y218+Y223,0)</f>
        <v>0</v>
      </c>
      <c r="Z248" s="76">
        <f>+IF(YEAR(Z$140)&lt;=YEAR([1]Assumptions!$H$30),Z218+Z223,0)</f>
        <v>0</v>
      </c>
    </row>
    <row r="249" spans="2:27">
      <c r="B249" s="653" t="s">
        <v>646</v>
      </c>
      <c r="C249" s="653"/>
      <c r="D249" s="544">
        <f ca="1">+SUM(F249:Z249)</f>
        <v>199807401.5226905</v>
      </c>
      <c r="E249" s="544"/>
      <c r="F249" s="544">
        <f ca="1">+SUM(F247:F248)</f>
        <v>-13563726.257709347</v>
      </c>
      <c r="G249" s="544">
        <f t="shared" ref="G249:W249" ca="1" si="129">+SUM(G247:G248)</f>
        <v>-171473032.19917938</v>
      </c>
      <c r="H249" s="544">
        <f t="shared" ca="1" si="129"/>
        <v>-98955253.316130489</v>
      </c>
      <c r="I249" s="544">
        <f t="shared" ca="1" si="129"/>
        <v>7388915.4403859358</v>
      </c>
      <c r="J249" s="544">
        <f t="shared" ca="1" si="129"/>
        <v>18137285.841265943</v>
      </c>
      <c r="K249" s="544">
        <f t="shared" si="129"/>
        <v>21270932.788604517</v>
      </c>
      <c r="L249" s="544">
        <f t="shared" si="129"/>
        <v>22194161.731755052</v>
      </c>
      <c r="M249" s="544">
        <f t="shared" si="129"/>
        <v>414808117.49369824</v>
      </c>
      <c r="N249" s="544">
        <f t="shared" si="129"/>
        <v>0</v>
      </c>
      <c r="O249" s="544">
        <f t="shared" si="129"/>
        <v>0</v>
      </c>
      <c r="P249" s="544">
        <f t="shared" si="129"/>
        <v>0</v>
      </c>
      <c r="Q249" s="544">
        <f t="shared" si="129"/>
        <v>0</v>
      </c>
      <c r="R249" s="544">
        <f t="shared" si="129"/>
        <v>0</v>
      </c>
      <c r="S249" s="544">
        <f t="shared" si="129"/>
        <v>0</v>
      </c>
      <c r="T249" s="544">
        <f t="shared" si="129"/>
        <v>0</v>
      </c>
      <c r="U249" s="544">
        <f t="shared" si="129"/>
        <v>0</v>
      </c>
      <c r="V249" s="544">
        <f t="shared" si="129"/>
        <v>0</v>
      </c>
      <c r="W249" s="544">
        <f t="shared" si="129"/>
        <v>0</v>
      </c>
      <c r="X249" s="544">
        <f t="shared" ref="X249:Z249" si="130">+SUM(X247:X248)</f>
        <v>0</v>
      </c>
      <c r="Y249" s="544">
        <f t="shared" si="130"/>
        <v>0</v>
      </c>
      <c r="Z249" s="544">
        <f t="shared" si="130"/>
        <v>0</v>
      </c>
    </row>
    <row r="251" spans="2:27">
      <c r="B251" s="672" t="s">
        <v>2</v>
      </c>
      <c r="C251" s="672"/>
      <c r="D251" s="673">
        <f ca="1">+IRR(F249:Z249)</f>
        <v>0.10431175222223343</v>
      </c>
    </row>
    <row r="252" spans="2:27">
      <c r="B252" s="883" t="s">
        <v>647</v>
      </c>
      <c r="C252" s="884"/>
      <c r="D252" s="885">
        <f ca="1">+SUM(F249:Z249)</f>
        <v>199807401.5226905</v>
      </c>
    </row>
    <row r="253" spans="2:27">
      <c r="B253" s="674" t="s">
        <v>14</v>
      </c>
      <c r="C253" s="531"/>
      <c r="D253" s="675">
        <f ca="1">+D248/-D247</f>
        <v>1.6907472240044987</v>
      </c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BBF8-A145-45A0-B161-00D9E7EEA2F5}">
  <sheetPr>
    <tabColor rgb="FF00B050"/>
  </sheetPr>
  <dimension ref="A2:Z77"/>
  <sheetViews>
    <sheetView topLeftCell="A26" workbookViewId="0">
      <selection activeCell="G83" sqref="G83"/>
    </sheetView>
  </sheetViews>
  <sheetFormatPr defaultRowHeight="12.5"/>
  <cols>
    <col min="2" max="2" width="50.54296875" bestFit="1" customWidth="1"/>
    <col min="4" max="4" width="18.54296875" customWidth="1"/>
    <col min="6" max="6" width="17.7265625" customWidth="1"/>
    <col min="7" max="7" width="16.453125" customWidth="1"/>
    <col min="8" max="8" width="17" customWidth="1"/>
    <col min="9" max="9" width="15.54296875" customWidth="1"/>
    <col min="10" max="11" width="15.54296875" bestFit="1" customWidth="1"/>
    <col min="12" max="15" width="13.7265625" bestFit="1" customWidth="1"/>
    <col min="16" max="16" width="16.7265625" bestFit="1" customWidth="1"/>
    <col min="17" max="26" width="11.7265625" bestFit="1" customWidth="1"/>
  </cols>
  <sheetData>
    <row r="2" spans="2:26" s="21" customFormat="1" ht="15.5">
      <c r="B2" s="440" t="s">
        <v>634</v>
      </c>
      <c r="C2" s="441"/>
      <c r="D2" s="441"/>
      <c r="E2" s="44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</row>
    <row r="3" spans="2:26" s="21" customFormat="1" ht="15.5"/>
    <row r="4" spans="2:26" s="21" customFormat="1" ht="15.5">
      <c r="B4" s="73" t="s">
        <v>635</v>
      </c>
      <c r="F4" s="75">
        <f>+Assumptions!$F$22</f>
        <v>44561</v>
      </c>
      <c r="G4" s="75">
        <f>+EOMONTH(F4,12)</f>
        <v>44926</v>
      </c>
      <c r="H4" s="75">
        <f t="shared" ref="H4" si="0">+EOMONTH(G4,12)</f>
        <v>45291</v>
      </c>
      <c r="I4" s="75">
        <f>+EOMONTH(H4,12)</f>
        <v>45657</v>
      </c>
      <c r="J4" s="75">
        <f>+EOMONTH(I4,12)</f>
        <v>46022</v>
      </c>
      <c r="K4" s="75">
        <f t="shared" ref="K4:Z4" si="1">+EOMONTH(J4,12)</f>
        <v>46387</v>
      </c>
      <c r="L4" s="75">
        <f t="shared" si="1"/>
        <v>46752</v>
      </c>
      <c r="M4" s="75">
        <f t="shared" si="1"/>
        <v>47118</v>
      </c>
      <c r="N4" s="75">
        <f t="shared" si="1"/>
        <v>47483</v>
      </c>
      <c r="O4" s="75">
        <f t="shared" si="1"/>
        <v>47848</v>
      </c>
      <c r="P4" s="75">
        <f t="shared" si="1"/>
        <v>48213</v>
      </c>
      <c r="Q4" s="75">
        <f t="shared" si="1"/>
        <v>48579</v>
      </c>
      <c r="R4" s="75">
        <f t="shared" si="1"/>
        <v>48944</v>
      </c>
      <c r="S4" s="75">
        <f t="shared" si="1"/>
        <v>49309</v>
      </c>
      <c r="T4" s="75">
        <f t="shared" si="1"/>
        <v>49674</v>
      </c>
      <c r="U4" s="75">
        <f t="shared" si="1"/>
        <v>50040</v>
      </c>
      <c r="V4" s="75">
        <f t="shared" si="1"/>
        <v>50405</v>
      </c>
      <c r="W4" s="75">
        <f t="shared" si="1"/>
        <v>50770</v>
      </c>
      <c r="X4" s="75">
        <f t="shared" si="1"/>
        <v>51135</v>
      </c>
      <c r="Y4" s="75">
        <f t="shared" si="1"/>
        <v>51501</v>
      </c>
      <c r="Z4" s="75">
        <f t="shared" si="1"/>
        <v>51866</v>
      </c>
    </row>
    <row r="5" spans="2:26" s="21" customFormat="1" ht="15.5">
      <c r="B5" s="15" t="s">
        <v>254</v>
      </c>
      <c r="D5" s="26">
        <f>+SUM(F5:Z5)</f>
        <v>166707133</v>
      </c>
      <c r="E5" s="26"/>
      <c r="F5" s="16">
        <f>'Phase I Pro Forma'!F285</f>
        <v>79998202</v>
      </c>
      <c r="G5" s="16">
        <f>'Phase I Pro Forma'!G285+'Phase II Pro Forma'!F217</f>
        <v>86708931</v>
      </c>
      <c r="H5" s="16">
        <f>'Phase I Pro Forma'!H285+'Phase II Pro Forma'!G217</f>
        <v>0</v>
      </c>
      <c r="I5" s="16">
        <f>'Phase I Pro Forma'!I285+'Phase II Pro Forma'!H217+'Phase III Pro Forma'!F181</f>
        <v>0</v>
      </c>
      <c r="J5" s="16">
        <f>'Phase I Pro Forma'!J285+'Phase II Pro Forma'!I217+'Phase III Pro Forma'!G181</f>
        <v>0</v>
      </c>
      <c r="K5" s="16">
        <f>'Phase I Pro Forma'!K285+'Phase II Pro Forma'!J217+'Phase III Pro Forma'!H181</f>
        <v>0</v>
      </c>
      <c r="L5" s="16">
        <f>'Phase I Pro Forma'!L285+'Phase II Pro Forma'!K217+'Phase III Pro Forma'!I181</f>
        <v>0</v>
      </c>
      <c r="M5" s="16">
        <f>'Phase I Pro Forma'!M285+'Phase II Pro Forma'!L217+'Phase III Pro Forma'!J181</f>
        <v>0</v>
      </c>
      <c r="N5" s="16">
        <f>'Phase I Pro Forma'!N285+'Phase II Pro Forma'!M217+'Phase III Pro Forma'!K181</f>
        <v>0</v>
      </c>
      <c r="O5" s="16">
        <f>'Phase I Pro Forma'!O285+'Phase II Pro Forma'!N217+'Phase III Pro Forma'!L181</f>
        <v>0</v>
      </c>
      <c r="P5" s="16">
        <f>'Phase I Pro Forma'!P285+'Phase II Pro Forma'!O217+'Phase III Pro Forma'!M181</f>
        <v>0</v>
      </c>
      <c r="Q5" s="16">
        <f>'Phase I Pro Forma'!Q285+'Phase II Pro Forma'!P217+'Phase III Pro Forma'!N181</f>
        <v>0</v>
      </c>
      <c r="R5" s="16">
        <f>'Phase I Pro Forma'!R285+'Phase II Pro Forma'!Q217+'Phase III Pro Forma'!O181</f>
        <v>0</v>
      </c>
      <c r="S5" s="16">
        <f>'Phase I Pro Forma'!S285+'Phase II Pro Forma'!R217+'Phase III Pro Forma'!P181</f>
        <v>0</v>
      </c>
      <c r="T5" s="16">
        <f>'Phase I Pro Forma'!T285+'Phase II Pro Forma'!S217+'Phase III Pro Forma'!Q181</f>
        <v>0</v>
      </c>
      <c r="U5" s="16">
        <f>'Phase I Pro Forma'!U285+'Phase II Pro Forma'!T217+'Phase III Pro Forma'!R181</f>
        <v>0</v>
      </c>
      <c r="V5" s="16">
        <f>'Phase I Pro Forma'!V285+'Phase II Pro Forma'!U217+'Phase III Pro Forma'!S181</f>
        <v>0</v>
      </c>
      <c r="W5" s="16">
        <f>'Phase I Pro Forma'!W285+'Phase II Pro Forma'!V217+'Phase III Pro Forma'!T181</f>
        <v>0</v>
      </c>
      <c r="X5" s="16">
        <f>'Phase I Pro Forma'!X285+'Phase II Pro Forma'!W217+'Phase III Pro Forma'!U181</f>
        <v>0</v>
      </c>
      <c r="Y5" s="16">
        <f>'Phase I Pro Forma'!Y285+'Phase II Pro Forma'!X217+'Phase III Pro Forma'!V181</f>
        <v>0</v>
      </c>
      <c r="Z5" s="16">
        <f>'Phase I Pro Forma'!Z285+'Phase II Pro Forma'!Y217+'Phase III Pro Forma'!W181</f>
        <v>0</v>
      </c>
    </row>
    <row r="6" spans="2:26" s="21" customFormat="1" ht="15.5">
      <c r="B6" s="15" t="s">
        <v>255</v>
      </c>
      <c r="D6" s="26">
        <f t="shared" ref="D6:D11" si="2">+SUM(F6:Z6)</f>
        <v>77375650</v>
      </c>
      <c r="E6" s="26"/>
      <c r="F6" s="16">
        <f>'Phase I Pro Forma'!F286</f>
        <v>67748080</v>
      </c>
      <c r="G6" s="16">
        <f>'Phase I Pro Forma'!G286+'Phase II Pro Forma'!F218</f>
        <v>7301355</v>
      </c>
      <c r="H6" s="16">
        <f>'Phase I Pro Forma'!H286+'Phase II Pro Forma'!G218</f>
        <v>0</v>
      </c>
      <c r="I6" s="16">
        <f>'Phase I Pro Forma'!I286+'Phase II Pro Forma'!H218+'Phase III Pro Forma'!F182</f>
        <v>2326215</v>
      </c>
      <c r="J6" s="16">
        <f>'Phase I Pro Forma'!J286+'Phase II Pro Forma'!I218+'Phase III Pro Forma'!G182</f>
        <v>0</v>
      </c>
      <c r="K6" s="16">
        <f>'Phase I Pro Forma'!K286+'Phase II Pro Forma'!J218+'Phase III Pro Forma'!H182</f>
        <v>0</v>
      </c>
      <c r="L6" s="16">
        <f>'Phase I Pro Forma'!L286+'Phase II Pro Forma'!K218+'Phase III Pro Forma'!I182</f>
        <v>0</v>
      </c>
      <c r="M6" s="16">
        <f>'Phase I Pro Forma'!M286+'Phase II Pro Forma'!L218+'Phase III Pro Forma'!J182</f>
        <v>0</v>
      </c>
      <c r="N6" s="16">
        <f>'Phase I Pro Forma'!N286+'Phase II Pro Forma'!M218+'Phase III Pro Forma'!K182</f>
        <v>0</v>
      </c>
      <c r="O6" s="16">
        <f>'Phase I Pro Forma'!O286+'Phase II Pro Forma'!N218+'Phase III Pro Forma'!L182</f>
        <v>0</v>
      </c>
      <c r="P6" s="16">
        <f>'Phase I Pro Forma'!P286+'Phase II Pro Forma'!O218+'Phase III Pro Forma'!M182</f>
        <v>0</v>
      </c>
      <c r="Q6" s="16">
        <f>'Phase I Pro Forma'!Q286+'Phase II Pro Forma'!P218+'Phase III Pro Forma'!N182</f>
        <v>0</v>
      </c>
      <c r="R6" s="16">
        <f>'Phase I Pro Forma'!R286+'Phase II Pro Forma'!Q218+'Phase III Pro Forma'!O182</f>
        <v>0</v>
      </c>
      <c r="S6" s="16">
        <f>'Phase I Pro Forma'!S286+'Phase II Pro Forma'!R218+'Phase III Pro Forma'!P182</f>
        <v>0</v>
      </c>
      <c r="T6" s="16">
        <f>'Phase I Pro Forma'!T286+'Phase II Pro Forma'!S218+'Phase III Pro Forma'!Q182</f>
        <v>0</v>
      </c>
      <c r="U6" s="16">
        <f>'Phase I Pro Forma'!U286+'Phase II Pro Forma'!T218+'Phase III Pro Forma'!R182</f>
        <v>0</v>
      </c>
      <c r="V6" s="16">
        <f>'Phase I Pro Forma'!V286+'Phase II Pro Forma'!U218+'Phase III Pro Forma'!S182</f>
        <v>0</v>
      </c>
      <c r="W6" s="16">
        <f>'Phase I Pro Forma'!W286+'Phase II Pro Forma'!V218+'Phase III Pro Forma'!T182</f>
        <v>0</v>
      </c>
      <c r="X6" s="16">
        <f>'Phase I Pro Forma'!X286+'Phase II Pro Forma'!W218+'Phase III Pro Forma'!U182</f>
        <v>0</v>
      </c>
      <c r="Y6" s="16">
        <f>'Phase I Pro Forma'!Y286+'Phase II Pro Forma'!X218+'Phase III Pro Forma'!V182</f>
        <v>0</v>
      </c>
      <c r="Z6" s="16">
        <f>'Phase I Pro Forma'!Z286+'Phase II Pro Forma'!Y218+'Phase III Pro Forma'!W182</f>
        <v>0</v>
      </c>
    </row>
    <row r="7" spans="2:26" s="21" customFormat="1" ht="15.5">
      <c r="B7" s="15" t="s">
        <v>276</v>
      </c>
      <c r="D7" s="26">
        <f t="shared" ca="1" si="2"/>
        <v>780751753.75164616</v>
      </c>
      <c r="E7" s="26"/>
      <c r="F7" s="16">
        <f>'Phase I Pro Forma'!F287</f>
        <v>2687323.32</v>
      </c>
      <c r="G7" s="16">
        <f ca="1">'Phase I Pro Forma'!G287+'Phase II Pro Forma'!F219</f>
        <v>123187481.57625</v>
      </c>
      <c r="H7" s="16">
        <f ca="1">'Phase I Pro Forma'!H287+'Phase II Pro Forma'!G219</f>
        <v>225521888.27280003</v>
      </c>
      <c r="I7" s="16">
        <f ca="1">'Phase I Pro Forma'!I287+'Phase II Pro Forma'!H219+'Phase III Pro Forma'!F183</f>
        <v>102334406.69655001</v>
      </c>
      <c r="J7" s="16">
        <f ca="1">'Phase I Pro Forma'!J287+'Phase II Pro Forma'!I219+'Phase III Pro Forma'!G183</f>
        <v>163510326.94302309</v>
      </c>
      <c r="K7" s="16">
        <f ca="1">'Phase I Pro Forma'!K287+'Phase II Pro Forma'!J219+'Phase III Pro Forma'!H183</f>
        <v>163510326.94302309</v>
      </c>
      <c r="L7" s="16">
        <f>'Phase I Pro Forma'!L287+'Phase II Pro Forma'!K219+'Phase III Pro Forma'!I183</f>
        <v>0</v>
      </c>
      <c r="M7" s="16">
        <f>'Phase I Pro Forma'!M287+'Phase II Pro Forma'!L219+'Phase III Pro Forma'!J183</f>
        <v>0</v>
      </c>
      <c r="N7" s="16">
        <f>'Phase I Pro Forma'!N287+'Phase II Pro Forma'!M219+'Phase III Pro Forma'!K183</f>
        <v>0</v>
      </c>
      <c r="O7" s="16">
        <f>'Phase I Pro Forma'!O287+'Phase II Pro Forma'!N219+'Phase III Pro Forma'!L183</f>
        <v>0</v>
      </c>
      <c r="P7" s="16">
        <f>'Phase I Pro Forma'!P287+'Phase II Pro Forma'!O219+'Phase III Pro Forma'!M183</f>
        <v>0</v>
      </c>
      <c r="Q7" s="16">
        <f>'Phase I Pro Forma'!Q287+'Phase II Pro Forma'!P219+'Phase III Pro Forma'!N183</f>
        <v>0</v>
      </c>
      <c r="R7" s="16">
        <f>'Phase I Pro Forma'!R287+'Phase II Pro Forma'!Q219+'Phase III Pro Forma'!O183</f>
        <v>0</v>
      </c>
      <c r="S7" s="16">
        <f>'Phase I Pro Forma'!S287+'Phase II Pro Forma'!R219+'Phase III Pro Forma'!P183</f>
        <v>0</v>
      </c>
      <c r="T7" s="16">
        <f>'Phase I Pro Forma'!T287+'Phase II Pro Forma'!S219+'Phase III Pro Forma'!Q183</f>
        <v>0</v>
      </c>
      <c r="U7" s="16">
        <f>'Phase I Pro Forma'!U287+'Phase II Pro Forma'!T219+'Phase III Pro Forma'!R183</f>
        <v>0</v>
      </c>
      <c r="V7" s="16">
        <f>'Phase I Pro Forma'!V287+'Phase II Pro Forma'!U219+'Phase III Pro Forma'!S183</f>
        <v>0</v>
      </c>
      <c r="W7" s="16">
        <f>'Phase I Pro Forma'!W287+'Phase II Pro Forma'!V219+'Phase III Pro Forma'!T183</f>
        <v>0</v>
      </c>
      <c r="X7" s="16">
        <f>'Phase I Pro Forma'!X287+'Phase II Pro Forma'!W219+'Phase III Pro Forma'!U183</f>
        <v>0</v>
      </c>
      <c r="Y7" s="16">
        <f>'Phase I Pro Forma'!Y287+'Phase II Pro Forma'!X219+'Phase III Pro Forma'!V183</f>
        <v>0</v>
      </c>
      <c r="Z7" s="16">
        <f>'Phase I Pro Forma'!Z287+'Phase II Pro Forma'!Y219+'Phase III Pro Forma'!W183</f>
        <v>0</v>
      </c>
    </row>
    <row r="8" spans="2:26" s="21" customFormat="1" ht="15.5">
      <c r="B8" s="15" t="s">
        <v>262</v>
      </c>
      <c r="D8" s="26">
        <f t="shared" ca="1" si="2"/>
        <v>57589405.101018637</v>
      </c>
      <c r="E8" s="26"/>
      <c r="F8" s="16">
        <f ca="1">'Phase I Pro Forma'!F288</f>
        <v>16041062.186010391</v>
      </c>
      <c r="G8" s="16">
        <f ca="1">'Phase I Pro Forma'!G288+'Phase II Pro Forma'!F220</f>
        <v>6854912.6884815004</v>
      </c>
      <c r="H8" s="16">
        <f ca="1">'Phase I Pro Forma'!H288+'Phase II Pro Forma'!G220</f>
        <v>10149165.327726455</v>
      </c>
      <c r="I8" s="16">
        <f ca="1">'Phase I Pro Forma'!I288+'Phase II Pro Forma'!H220+'Phase III Pro Forma'!F184</f>
        <v>14531763.896954302</v>
      </c>
      <c r="J8" s="16">
        <f ca="1">'Phase I Pro Forma'!J288+'Phase II Pro Forma'!I220+'Phase III Pro Forma'!G184</f>
        <v>5006250.5009229928</v>
      </c>
      <c r="K8" s="16">
        <f ca="1">'Phase I Pro Forma'!K288+'Phase II Pro Forma'!J220+'Phase III Pro Forma'!H184</f>
        <v>5006250.5009229928</v>
      </c>
      <c r="L8" s="16">
        <f>'Phase I Pro Forma'!L288+'Phase II Pro Forma'!K220+'Phase III Pro Forma'!I184</f>
        <v>0</v>
      </c>
      <c r="M8" s="16">
        <f>'Phase I Pro Forma'!M288+'Phase II Pro Forma'!L220+'Phase III Pro Forma'!J184</f>
        <v>0</v>
      </c>
      <c r="N8" s="16">
        <f>'Phase I Pro Forma'!N288+'Phase II Pro Forma'!M220+'Phase III Pro Forma'!K184</f>
        <v>0</v>
      </c>
      <c r="O8" s="16">
        <f>'Phase I Pro Forma'!O288+'Phase II Pro Forma'!N220+'Phase III Pro Forma'!L184</f>
        <v>0</v>
      </c>
      <c r="P8" s="16">
        <f>'Phase I Pro Forma'!P288+'Phase II Pro Forma'!O220+'Phase III Pro Forma'!M184</f>
        <v>0</v>
      </c>
      <c r="Q8" s="16">
        <f>'Phase I Pro Forma'!Q288+'Phase II Pro Forma'!P220+'Phase III Pro Forma'!N184</f>
        <v>0</v>
      </c>
      <c r="R8" s="16">
        <f>'Phase I Pro Forma'!R288+'Phase II Pro Forma'!Q220+'Phase III Pro Forma'!O184</f>
        <v>0</v>
      </c>
      <c r="S8" s="16">
        <f>'Phase I Pro Forma'!S288+'Phase II Pro Forma'!R220+'Phase III Pro Forma'!P184</f>
        <v>0</v>
      </c>
      <c r="T8" s="16">
        <f>'Phase I Pro Forma'!T288+'Phase II Pro Forma'!S220+'Phase III Pro Forma'!Q184</f>
        <v>0</v>
      </c>
      <c r="U8" s="16">
        <f>'Phase I Pro Forma'!U288+'Phase II Pro Forma'!T220+'Phase III Pro Forma'!R184</f>
        <v>0</v>
      </c>
      <c r="V8" s="16">
        <f>'Phase I Pro Forma'!V288+'Phase II Pro Forma'!U220+'Phase III Pro Forma'!S184</f>
        <v>0</v>
      </c>
      <c r="W8" s="16">
        <f>'Phase I Pro Forma'!W288+'Phase II Pro Forma'!V220+'Phase III Pro Forma'!T184</f>
        <v>0</v>
      </c>
      <c r="X8" s="16">
        <f>'Phase I Pro Forma'!X288+'Phase II Pro Forma'!W220+'Phase III Pro Forma'!U184</f>
        <v>0</v>
      </c>
      <c r="Y8" s="16">
        <f>'Phase I Pro Forma'!Y288+'Phase II Pro Forma'!X220+'Phase III Pro Forma'!V184</f>
        <v>0</v>
      </c>
      <c r="Z8" s="16">
        <f>'Phase I Pro Forma'!Z288+'Phase II Pro Forma'!Y220+'Phase III Pro Forma'!W184</f>
        <v>0</v>
      </c>
    </row>
    <row r="9" spans="2:26" s="21" customFormat="1" ht="15.5">
      <c r="B9" s="15" t="s">
        <v>263</v>
      </c>
      <c r="D9" s="26">
        <f t="shared" ca="1" si="2"/>
        <v>20580978.739019334</v>
      </c>
      <c r="E9" s="26"/>
      <c r="F9" s="16">
        <f>'Phase I Pro Forma'!F289</f>
        <v>0</v>
      </c>
      <c r="G9" s="16">
        <f>'Phase I Pro Forma'!G289+'Phase II Pro Forma'!F221</f>
        <v>5301298.8474999992</v>
      </c>
      <c r="H9" s="16">
        <f ca="1">'Phase I Pro Forma'!H289+'Phase II Pro Forma'!G221</f>
        <v>10255596.144509668</v>
      </c>
      <c r="I9" s="16">
        <f ca="1">'Phase I Pro Forma'!I289+'Phase II Pro Forma'!H221+'Phase III Pro Forma'!F185</f>
        <v>4954297.2970096683</v>
      </c>
      <c r="J9" s="16">
        <f>'Phase I Pro Forma'!J289+'Phase II Pro Forma'!I221+'Phase III Pro Forma'!G185</f>
        <v>0</v>
      </c>
      <c r="K9" s="16">
        <f ca="1">'Phase I Pro Forma'!K289+'Phase II Pro Forma'!J221+'Phase III Pro Forma'!H185</f>
        <v>69786.45</v>
      </c>
      <c r="L9" s="16">
        <f>'Phase I Pro Forma'!L289+'Phase II Pro Forma'!K221+'Phase III Pro Forma'!I185</f>
        <v>0</v>
      </c>
      <c r="M9" s="16">
        <f>'Phase I Pro Forma'!M289+'Phase II Pro Forma'!L221+'Phase III Pro Forma'!J185</f>
        <v>0</v>
      </c>
      <c r="N9" s="16">
        <f>'Phase I Pro Forma'!N289+'Phase II Pro Forma'!M221+'Phase III Pro Forma'!K185</f>
        <v>0</v>
      </c>
      <c r="O9" s="16">
        <f>'Phase I Pro Forma'!O289+'Phase II Pro Forma'!N221+'Phase III Pro Forma'!L185</f>
        <v>0</v>
      </c>
      <c r="P9" s="16">
        <f>'Phase I Pro Forma'!P289+'Phase II Pro Forma'!O221+'Phase III Pro Forma'!M185</f>
        <v>0</v>
      </c>
      <c r="Q9" s="16">
        <f>'Phase I Pro Forma'!Q289+'Phase II Pro Forma'!P221+'Phase III Pro Forma'!N185</f>
        <v>0</v>
      </c>
      <c r="R9" s="16">
        <f>'Phase I Pro Forma'!R289+'Phase II Pro Forma'!Q221+'Phase III Pro Forma'!O185</f>
        <v>0</v>
      </c>
      <c r="S9" s="16">
        <f>'Phase I Pro Forma'!S289+'Phase II Pro Forma'!R221+'Phase III Pro Forma'!P185</f>
        <v>0</v>
      </c>
      <c r="T9" s="16">
        <f>'Phase I Pro Forma'!T289+'Phase II Pro Forma'!S221+'Phase III Pro Forma'!Q185</f>
        <v>0</v>
      </c>
      <c r="U9" s="16">
        <f>'Phase I Pro Forma'!U289+'Phase II Pro Forma'!T221+'Phase III Pro Forma'!R185</f>
        <v>0</v>
      </c>
      <c r="V9" s="16">
        <f>'Phase I Pro Forma'!V289+'Phase II Pro Forma'!U221+'Phase III Pro Forma'!S185</f>
        <v>0</v>
      </c>
      <c r="W9" s="16">
        <f>'Phase I Pro Forma'!W289+'Phase II Pro Forma'!V221+'Phase III Pro Forma'!T185</f>
        <v>0</v>
      </c>
      <c r="X9" s="16">
        <f>'Phase I Pro Forma'!X289+'Phase II Pro Forma'!W221+'Phase III Pro Forma'!U185</f>
        <v>0</v>
      </c>
      <c r="Y9" s="16">
        <f>'Phase I Pro Forma'!Y289+'Phase II Pro Forma'!X221+'Phase III Pro Forma'!V185</f>
        <v>0</v>
      </c>
      <c r="Z9" s="16">
        <f>'Phase I Pro Forma'!Z289+'Phase II Pro Forma'!Y221+'Phase III Pro Forma'!W185</f>
        <v>0</v>
      </c>
    </row>
    <row r="10" spans="2:26" s="21" customFormat="1" ht="15.5">
      <c r="B10" s="15" t="s">
        <v>264</v>
      </c>
      <c r="D10" s="26">
        <f t="shared" ca="1" si="2"/>
        <v>2000000</v>
      </c>
      <c r="E10" s="26"/>
      <c r="F10" s="16">
        <f>'Phase I Pro Forma'!F290</f>
        <v>0</v>
      </c>
      <c r="G10" s="16">
        <f ca="1">'Phase I Pro Forma'!G290+'Phase II Pro Forma'!F222</f>
        <v>460786.81845242815</v>
      </c>
      <c r="H10" s="16">
        <f ca="1">'Phase I Pro Forma'!H290+'Phase II Pro Forma'!G222</f>
        <v>678885.3695652046</v>
      </c>
      <c r="I10" s="16">
        <f ca="1">'Phase I Pro Forma'!I290+'Phase II Pro Forma'!H222+'Phase III Pro Forma'!F186</f>
        <v>218098.55111277648</v>
      </c>
      <c r="J10" s="16">
        <f ca="1">'Phase I Pro Forma'!J290+'Phase II Pro Forma'!I222+'Phase III Pro Forma'!G186</f>
        <v>321114.6304347954</v>
      </c>
      <c r="K10" s="16">
        <f ca="1">'Phase I Pro Forma'!K290+'Phase II Pro Forma'!J222+'Phase III Pro Forma'!H186</f>
        <v>321114.6304347954</v>
      </c>
      <c r="L10" s="16">
        <f>'Phase I Pro Forma'!L290+'Phase II Pro Forma'!K222+'Phase III Pro Forma'!I186</f>
        <v>0</v>
      </c>
      <c r="M10" s="16">
        <f>'Phase I Pro Forma'!M290+'Phase II Pro Forma'!L222+'Phase III Pro Forma'!J186</f>
        <v>0</v>
      </c>
      <c r="N10" s="16">
        <f>'Phase I Pro Forma'!N290+'Phase II Pro Forma'!M222+'Phase III Pro Forma'!K186</f>
        <v>0</v>
      </c>
      <c r="O10" s="16">
        <f>'Phase I Pro Forma'!O290+'Phase II Pro Forma'!N222+'Phase III Pro Forma'!L186</f>
        <v>0</v>
      </c>
      <c r="P10" s="16">
        <f>'Phase I Pro Forma'!P290+'Phase II Pro Forma'!O222+'Phase III Pro Forma'!M186</f>
        <v>0</v>
      </c>
      <c r="Q10" s="16">
        <f>'Phase I Pro Forma'!Q290+'Phase II Pro Forma'!P222+'Phase III Pro Forma'!N186</f>
        <v>0</v>
      </c>
      <c r="R10" s="16">
        <f>'Phase I Pro Forma'!R290+'Phase II Pro Forma'!Q222+'Phase III Pro Forma'!O186</f>
        <v>0</v>
      </c>
      <c r="S10" s="16">
        <f>'Phase I Pro Forma'!S290+'Phase II Pro Forma'!R222+'Phase III Pro Forma'!P186</f>
        <v>0</v>
      </c>
      <c r="T10" s="16">
        <f>'Phase I Pro Forma'!T290+'Phase II Pro Forma'!S222+'Phase III Pro Forma'!Q186</f>
        <v>0</v>
      </c>
      <c r="U10" s="16">
        <f>'Phase I Pro Forma'!U290+'Phase II Pro Forma'!T222+'Phase III Pro Forma'!R186</f>
        <v>0</v>
      </c>
      <c r="V10" s="16">
        <f>'Phase I Pro Forma'!V290+'Phase II Pro Forma'!U222+'Phase III Pro Forma'!S186</f>
        <v>0</v>
      </c>
      <c r="W10" s="16">
        <f>'Phase I Pro Forma'!W290+'Phase II Pro Forma'!V222+'Phase III Pro Forma'!T186</f>
        <v>0</v>
      </c>
      <c r="X10" s="16">
        <f>'Phase I Pro Forma'!X290+'Phase II Pro Forma'!W222+'Phase III Pro Forma'!U186</f>
        <v>0</v>
      </c>
      <c r="Y10" s="16">
        <f>'Phase I Pro Forma'!Y290+'Phase II Pro Forma'!X222+'Phase III Pro Forma'!V186</f>
        <v>0</v>
      </c>
      <c r="Z10" s="16">
        <f>'Phase I Pro Forma'!Z290+'Phase II Pro Forma'!Y222+'Phase III Pro Forma'!W186</f>
        <v>0</v>
      </c>
    </row>
    <row r="11" spans="2:26" s="21" customFormat="1" ht="15.5">
      <c r="B11" s="15" t="s">
        <v>265</v>
      </c>
      <c r="D11" s="26">
        <f t="shared" ca="1" si="2"/>
        <v>28379185.091864478</v>
      </c>
      <c r="E11" s="26"/>
      <c r="F11" s="16">
        <f ca="1">'Phase I Pro Forma'!F291</f>
        <v>0</v>
      </c>
      <c r="G11" s="16">
        <f ca="1">'Phase I Pro Forma'!G291+'Phase II Pro Forma'!F223</f>
        <v>2685640.6902553365</v>
      </c>
      <c r="H11" s="16">
        <f ca="1">'Phase I Pro Forma'!H291+'Phase II Pro Forma'!G223</f>
        <v>4459456.1481675869</v>
      </c>
      <c r="I11" s="16">
        <f ca="1">'Phase I Pro Forma'!I291+'Phase II Pro Forma'!H223+'Phase III Pro Forma'!F187</f>
        <v>4459456.1481675869</v>
      </c>
      <c r="J11" s="16">
        <f ca="1">'Phase I Pro Forma'!J291+'Phase II Pro Forma'!I223+'Phase III Pro Forma'!G187</f>
        <v>7094796.2729661204</v>
      </c>
      <c r="K11" s="16">
        <f ca="1">'Phase I Pro Forma'!K291+'Phase II Pro Forma'!J223+'Phase III Pro Forma'!H187</f>
        <v>4409155.582710783</v>
      </c>
      <c r="L11" s="16">
        <f ca="1">'Phase I Pro Forma'!L291+'Phase II Pro Forma'!K223+'Phase III Pro Forma'!I187</f>
        <v>2635340.124798533</v>
      </c>
      <c r="M11" s="16">
        <f ca="1">'Phase I Pro Forma'!M291+'Phase II Pro Forma'!L223+'Phase III Pro Forma'!J187</f>
        <v>2635340.124798533</v>
      </c>
      <c r="N11" s="16">
        <f>'Phase I Pro Forma'!N291+'Phase II Pro Forma'!M223+'Phase III Pro Forma'!K187</f>
        <v>0</v>
      </c>
      <c r="O11" s="16">
        <f>'Phase I Pro Forma'!O291+'Phase II Pro Forma'!N223+'Phase III Pro Forma'!L187</f>
        <v>0</v>
      </c>
      <c r="P11" s="16">
        <f>'Phase I Pro Forma'!P291+'Phase II Pro Forma'!O223+'Phase III Pro Forma'!M187</f>
        <v>0</v>
      </c>
      <c r="Q11" s="16">
        <f>'Phase I Pro Forma'!Q291+'Phase II Pro Forma'!P223+'Phase III Pro Forma'!N187</f>
        <v>0</v>
      </c>
      <c r="R11" s="16">
        <f>'Phase I Pro Forma'!R291+'Phase II Pro Forma'!Q223+'Phase III Pro Forma'!O187</f>
        <v>0</v>
      </c>
      <c r="S11" s="16">
        <f>'Phase I Pro Forma'!S291+'Phase II Pro Forma'!R223+'Phase III Pro Forma'!P187</f>
        <v>0</v>
      </c>
      <c r="T11" s="16">
        <f>'Phase I Pro Forma'!T291+'Phase II Pro Forma'!S223+'Phase III Pro Forma'!Q187</f>
        <v>0</v>
      </c>
      <c r="U11" s="16">
        <f>'Phase I Pro Forma'!U291+'Phase II Pro Forma'!T223+'Phase III Pro Forma'!R187</f>
        <v>0</v>
      </c>
      <c r="V11" s="16">
        <f>'Phase I Pro Forma'!V291+'Phase II Pro Forma'!U223+'Phase III Pro Forma'!S187</f>
        <v>0</v>
      </c>
      <c r="W11" s="16">
        <f>'Phase I Pro Forma'!W291+'Phase II Pro Forma'!V223+'Phase III Pro Forma'!T187</f>
        <v>0</v>
      </c>
      <c r="X11" s="16">
        <f>'Phase I Pro Forma'!X291+'Phase II Pro Forma'!W223+'Phase III Pro Forma'!U187</f>
        <v>0</v>
      </c>
      <c r="Y11" s="16">
        <f>'Phase I Pro Forma'!Y291+'Phase II Pro Forma'!X223+'Phase III Pro Forma'!V187</f>
        <v>0</v>
      </c>
      <c r="Z11" s="16">
        <f>'Phase I Pro Forma'!Z291+'Phase II Pro Forma'!Y223+'Phase III Pro Forma'!W187</f>
        <v>0</v>
      </c>
    </row>
    <row r="12" spans="2:26" s="21" customFormat="1" ht="15.5">
      <c r="B12" s="653" t="s">
        <v>636</v>
      </c>
      <c r="C12" s="653"/>
      <c r="D12" s="544">
        <f ca="1">+SUM(F12:Z12)</f>
        <v>1133384105.6835487</v>
      </c>
      <c r="E12" s="544"/>
      <c r="F12" s="544">
        <f ca="1">+SUM(F5:F11)</f>
        <v>166474667.50601038</v>
      </c>
      <c r="G12" s="544">
        <f ca="1">+SUM(G5:G11)</f>
        <v>232500406.62093928</v>
      </c>
      <c r="H12" s="544">
        <f ca="1">+SUM(H5:H11)</f>
        <v>251064991.26276895</v>
      </c>
      <c r="I12" s="544">
        <f t="shared" ref="I12:Z12" ca="1" si="3">+SUM(I5:I11)</f>
        <v>128824237.58979432</v>
      </c>
      <c r="J12" s="544">
        <f t="shared" ca="1" si="3"/>
        <v>175932488.34734696</v>
      </c>
      <c r="K12" s="544">
        <f t="shared" ca="1" si="3"/>
        <v>173316634.10709161</v>
      </c>
      <c r="L12" s="544">
        <f t="shared" ca="1" si="3"/>
        <v>2635340.124798533</v>
      </c>
      <c r="M12" s="544">
        <f t="shared" ca="1" si="3"/>
        <v>2635340.124798533</v>
      </c>
      <c r="N12" s="544">
        <f t="shared" si="3"/>
        <v>0</v>
      </c>
      <c r="O12" s="544">
        <f t="shared" si="3"/>
        <v>0</v>
      </c>
      <c r="P12" s="544">
        <f t="shared" si="3"/>
        <v>0</v>
      </c>
      <c r="Q12" s="544">
        <f t="shared" si="3"/>
        <v>0</v>
      </c>
      <c r="R12" s="544">
        <f t="shared" si="3"/>
        <v>0</v>
      </c>
      <c r="S12" s="544">
        <f t="shared" si="3"/>
        <v>0</v>
      </c>
      <c r="T12" s="544">
        <f t="shared" si="3"/>
        <v>0</v>
      </c>
      <c r="U12" s="544">
        <f t="shared" si="3"/>
        <v>0</v>
      </c>
      <c r="V12" s="544">
        <f t="shared" si="3"/>
        <v>0</v>
      </c>
      <c r="W12" s="544">
        <f t="shared" si="3"/>
        <v>0</v>
      </c>
      <c r="X12" s="544">
        <f t="shared" si="3"/>
        <v>0</v>
      </c>
      <c r="Y12" s="544">
        <f t="shared" si="3"/>
        <v>0</v>
      </c>
      <c r="Z12" s="544">
        <f t="shared" si="3"/>
        <v>0</v>
      </c>
    </row>
    <row r="13" spans="2:26" s="21" customFormat="1" ht="15.5"/>
    <row r="14" spans="2:26" s="21" customFormat="1" ht="15.5">
      <c r="B14" s="73" t="s">
        <v>637</v>
      </c>
      <c r="F14" s="75">
        <f>+Assumptions!$F$22</f>
        <v>44561</v>
      </c>
      <c r="G14" s="75">
        <f>+EOMONTH(F14,12)</f>
        <v>44926</v>
      </c>
      <c r="H14" s="75">
        <f t="shared" ref="H14" si="4">+EOMONTH(G14,12)</f>
        <v>45291</v>
      </c>
      <c r="I14" s="75">
        <f>+EOMONTH(H14,12)</f>
        <v>45657</v>
      </c>
      <c r="J14" s="75">
        <f>+EOMONTH(I14,12)</f>
        <v>46022</v>
      </c>
      <c r="K14" s="75">
        <f t="shared" ref="K14:Z14" si="5">+EOMONTH(J14,12)</f>
        <v>46387</v>
      </c>
      <c r="L14" s="75">
        <f t="shared" si="5"/>
        <v>46752</v>
      </c>
      <c r="M14" s="75">
        <f t="shared" si="5"/>
        <v>47118</v>
      </c>
      <c r="N14" s="75">
        <f t="shared" si="5"/>
        <v>47483</v>
      </c>
      <c r="O14" s="75">
        <f t="shared" si="5"/>
        <v>47848</v>
      </c>
      <c r="P14" s="75">
        <f t="shared" si="5"/>
        <v>48213</v>
      </c>
      <c r="Q14" s="75">
        <f t="shared" si="5"/>
        <v>48579</v>
      </c>
      <c r="R14" s="75">
        <f t="shared" si="5"/>
        <v>48944</v>
      </c>
      <c r="S14" s="75">
        <f t="shared" si="5"/>
        <v>49309</v>
      </c>
      <c r="T14" s="75">
        <f t="shared" si="5"/>
        <v>49674</v>
      </c>
      <c r="U14" s="75">
        <f t="shared" si="5"/>
        <v>50040</v>
      </c>
      <c r="V14" s="75">
        <f t="shared" si="5"/>
        <v>50405</v>
      </c>
      <c r="W14" s="75">
        <f t="shared" si="5"/>
        <v>50770</v>
      </c>
      <c r="X14" s="75">
        <f t="shared" si="5"/>
        <v>51135</v>
      </c>
      <c r="Y14" s="75">
        <f t="shared" si="5"/>
        <v>51501</v>
      </c>
      <c r="Z14" s="75">
        <f t="shared" si="5"/>
        <v>51866</v>
      </c>
    </row>
    <row r="15" spans="2:26" s="538" customFormat="1" ht="15.5">
      <c r="B15" s="659" t="s">
        <v>176</v>
      </c>
      <c r="D15" s="703">
        <v>20000000</v>
      </c>
      <c r="E15" s="703"/>
      <c r="F15" s="612">
        <f>'Phase I Pro Forma'!F295</f>
        <v>40000000</v>
      </c>
      <c r="G15" s="612">
        <f>'Phase I Pro Forma'!G295+'Phase II Pro Forma'!F227</f>
        <v>0</v>
      </c>
      <c r="H15" s="612">
        <f>'Phase I Pro Forma'!H295+'Phase II Pro Forma'!G227</f>
        <v>0</v>
      </c>
      <c r="I15" s="612">
        <f>'Phase I Pro Forma'!I295+'Phase II Pro Forma'!H227+'Phase III Pro Forma'!F191</f>
        <v>0</v>
      </c>
      <c r="J15" s="612">
        <f>'Phase I Pro Forma'!J295+'Phase II Pro Forma'!I227+'Phase III Pro Forma'!G191</f>
        <v>0</v>
      </c>
      <c r="K15" s="612">
        <f>'Phase I Pro Forma'!K295+'Phase II Pro Forma'!J227+'Phase III Pro Forma'!H191</f>
        <v>0</v>
      </c>
      <c r="L15" s="612">
        <f>'Phase I Pro Forma'!L295+'Phase II Pro Forma'!K227+'Phase III Pro Forma'!I191</f>
        <v>0</v>
      </c>
      <c r="M15" s="612">
        <f>'Phase I Pro Forma'!M295+'Phase II Pro Forma'!L227+'Phase III Pro Forma'!J191</f>
        <v>0</v>
      </c>
      <c r="N15" s="612">
        <f>'Phase I Pro Forma'!N295+'Phase II Pro Forma'!M227+'Phase III Pro Forma'!K191</f>
        <v>0</v>
      </c>
      <c r="O15" s="612">
        <f>'Phase I Pro Forma'!O295+'Phase II Pro Forma'!N227+'Phase III Pro Forma'!L191</f>
        <v>0</v>
      </c>
      <c r="P15" s="612">
        <f>'Phase I Pro Forma'!P295+'Phase II Pro Forma'!O227+'Phase III Pro Forma'!M191</f>
        <v>0</v>
      </c>
      <c r="Q15" s="612">
        <f>'Phase I Pro Forma'!Q295+'Phase II Pro Forma'!P227+'Phase III Pro Forma'!N191</f>
        <v>0</v>
      </c>
      <c r="R15" s="612">
        <f>'Phase I Pro Forma'!R295+'Phase II Pro Forma'!Q227+'Phase III Pro Forma'!O191</f>
        <v>0</v>
      </c>
      <c r="S15" s="612">
        <f>'Phase I Pro Forma'!S295+'Phase II Pro Forma'!R227+'Phase III Pro Forma'!P191</f>
        <v>0</v>
      </c>
      <c r="T15" s="612">
        <f>'Phase I Pro Forma'!T295+'Phase II Pro Forma'!S227+'Phase III Pro Forma'!Q191</f>
        <v>0</v>
      </c>
      <c r="U15" s="612">
        <f>'Phase I Pro Forma'!U295+'Phase II Pro Forma'!T227+'Phase III Pro Forma'!R191</f>
        <v>0</v>
      </c>
      <c r="V15" s="612">
        <f>'Phase I Pro Forma'!V295+'Phase II Pro Forma'!U227+'Phase III Pro Forma'!S191</f>
        <v>0</v>
      </c>
      <c r="W15" s="612">
        <f>'Phase I Pro Forma'!W295+'Phase II Pro Forma'!V227+'Phase III Pro Forma'!T191</f>
        <v>0</v>
      </c>
      <c r="X15" s="612">
        <f>'Phase I Pro Forma'!X295+'Phase II Pro Forma'!W227+'Phase III Pro Forma'!U191</f>
        <v>0</v>
      </c>
      <c r="Y15" s="612">
        <f>'Phase I Pro Forma'!Y295+'Phase II Pro Forma'!X227+'Phase III Pro Forma'!V191</f>
        <v>0</v>
      </c>
      <c r="Z15" s="612">
        <f>'Phase I Pro Forma'!Z295+'Phase II Pro Forma'!Y227+'Phase III Pro Forma'!W191</f>
        <v>0</v>
      </c>
    </row>
    <row r="16" spans="2:26" s="538" customFormat="1" ht="15.5">
      <c r="B16" s="659" t="s">
        <v>638</v>
      </c>
      <c r="D16" s="703">
        <v>20000000</v>
      </c>
      <c r="E16" s="703"/>
      <c r="F16" s="612">
        <f>'Phase I Pro Forma'!F296</f>
        <v>4058107</v>
      </c>
      <c r="G16" s="612">
        <f>'Phase I Pro Forma'!G296+'Phase II Pro Forma'!F228</f>
        <v>0</v>
      </c>
      <c r="H16" s="612">
        <f>'Phase I Pro Forma'!H296+'Phase II Pro Forma'!G228</f>
        <v>0</v>
      </c>
      <c r="I16" s="612">
        <f>'Phase I Pro Forma'!I296+'Phase II Pro Forma'!H228+'Phase III Pro Forma'!F192</f>
        <v>0</v>
      </c>
      <c r="J16" s="612">
        <f>'Phase I Pro Forma'!J296+'Phase II Pro Forma'!I228+'Phase III Pro Forma'!G192</f>
        <v>0</v>
      </c>
      <c r="K16" s="612">
        <f>'Phase I Pro Forma'!K296+'Phase II Pro Forma'!J228+'Phase III Pro Forma'!H192</f>
        <v>0</v>
      </c>
      <c r="L16" s="612">
        <f>'Phase I Pro Forma'!L296+'Phase II Pro Forma'!K228+'Phase III Pro Forma'!I192</f>
        <v>0</v>
      </c>
      <c r="M16" s="612">
        <f>'Phase I Pro Forma'!M296+'Phase II Pro Forma'!L228+'Phase III Pro Forma'!J192</f>
        <v>0</v>
      </c>
      <c r="N16" s="612">
        <f>'Phase I Pro Forma'!N296+'Phase II Pro Forma'!M228+'Phase III Pro Forma'!K192</f>
        <v>0</v>
      </c>
      <c r="O16" s="612">
        <f>'Phase I Pro Forma'!O296+'Phase II Pro Forma'!N228+'Phase III Pro Forma'!L192</f>
        <v>0</v>
      </c>
      <c r="P16" s="612">
        <f>'Phase I Pro Forma'!P296+'Phase II Pro Forma'!O228+'Phase III Pro Forma'!M192</f>
        <v>0</v>
      </c>
      <c r="Q16" s="612">
        <f>'Phase I Pro Forma'!Q296+'Phase II Pro Forma'!P228+'Phase III Pro Forma'!N192</f>
        <v>0</v>
      </c>
      <c r="R16" s="612">
        <f>'Phase I Pro Forma'!R296+'Phase II Pro Forma'!Q228+'Phase III Pro Forma'!O192</f>
        <v>0</v>
      </c>
      <c r="S16" s="612">
        <f>'Phase I Pro Forma'!S296+'Phase II Pro Forma'!R228+'Phase III Pro Forma'!P192</f>
        <v>0</v>
      </c>
      <c r="T16" s="612">
        <f>'Phase I Pro Forma'!T296+'Phase II Pro Forma'!S228+'Phase III Pro Forma'!Q192</f>
        <v>0</v>
      </c>
      <c r="U16" s="612">
        <f>'Phase I Pro Forma'!U296+'Phase II Pro Forma'!T228+'Phase III Pro Forma'!R192</f>
        <v>0</v>
      </c>
      <c r="V16" s="612">
        <f>'Phase I Pro Forma'!V296+'Phase II Pro Forma'!U228+'Phase III Pro Forma'!S192</f>
        <v>0</v>
      </c>
      <c r="W16" s="612">
        <f>'Phase I Pro Forma'!W296+'Phase II Pro Forma'!V228+'Phase III Pro Forma'!T192</f>
        <v>0</v>
      </c>
      <c r="X16" s="612">
        <f>'Phase I Pro Forma'!X296+'Phase II Pro Forma'!W228+'Phase III Pro Forma'!U192</f>
        <v>0</v>
      </c>
      <c r="Y16" s="612">
        <f>'Phase I Pro Forma'!Y296+'Phase II Pro Forma'!X228+'Phase III Pro Forma'!V192</f>
        <v>0</v>
      </c>
      <c r="Z16" s="612">
        <f>'Phase I Pro Forma'!Z296+'Phase II Pro Forma'!Y228+'Phase III Pro Forma'!W192</f>
        <v>0</v>
      </c>
    </row>
    <row r="17" spans="1:26" s="21" customFormat="1" ht="15.5">
      <c r="B17" s="15" t="s">
        <v>312</v>
      </c>
      <c r="D17" s="26">
        <f t="shared" ref="D17:D22" si="6">+SUM(F17:Z17)</f>
        <v>117834510.85754186</v>
      </c>
      <c r="E17" s="26"/>
      <c r="F17" s="612">
        <f>'Phase I Pro Forma'!F297</f>
        <v>0</v>
      </c>
      <c r="G17" s="612">
        <f>'Phase I Pro Forma'!G297+'Phase II Pro Forma'!F229</f>
        <v>0</v>
      </c>
      <c r="H17" s="612">
        <f>'Phase I Pro Forma'!H297+'Phase II Pro Forma'!G229</f>
        <v>5803911.2099087201</v>
      </c>
      <c r="I17" s="612">
        <f>'Phase I Pro Forma'!I297+'Phase II Pro Forma'!H229+'Phase III Pro Forma'!F193</f>
        <v>44981034.314584278</v>
      </c>
      <c r="J17" s="612">
        <f>'Phase I Pro Forma'!J297+'Phase II Pro Forma'!I229+'Phase III Pro Forma'!G193</f>
        <v>0</v>
      </c>
      <c r="K17" s="612">
        <f>'Phase I Pro Forma'!K297+'Phase II Pro Forma'!J229+'Phase III Pro Forma'!H193</f>
        <v>67049565.333048873</v>
      </c>
      <c r="L17" s="612">
        <f>'Phase I Pro Forma'!L297+'Phase II Pro Forma'!K229+'Phase III Pro Forma'!I193</f>
        <v>0</v>
      </c>
      <c r="M17" s="612">
        <f>'Phase I Pro Forma'!M297+'Phase II Pro Forma'!L229+'Phase III Pro Forma'!J193</f>
        <v>0</v>
      </c>
      <c r="N17" s="612">
        <f>'Phase I Pro Forma'!N297+'Phase II Pro Forma'!M229+'Phase III Pro Forma'!K193</f>
        <v>0</v>
      </c>
      <c r="O17" s="612">
        <f>'Phase I Pro Forma'!O297+'Phase II Pro Forma'!N229+'Phase III Pro Forma'!L193</f>
        <v>0</v>
      </c>
      <c r="P17" s="612">
        <f>'Phase I Pro Forma'!P297+'Phase II Pro Forma'!O229+'Phase III Pro Forma'!M193</f>
        <v>0</v>
      </c>
      <c r="Q17" s="612">
        <f>'Phase I Pro Forma'!Q297+'Phase II Pro Forma'!P229+'Phase III Pro Forma'!N193</f>
        <v>0</v>
      </c>
      <c r="R17" s="612">
        <f>'Phase I Pro Forma'!R297+'Phase II Pro Forma'!Q229+'Phase III Pro Forma'!O193</f>
        <v>0</v>
      </c>
      <c r="S17" s="612">
        <f>'Phase I Pro Forma'!S297+'Phase II Pro Forma'!R229+'Phase III Pro Forma'!P193</f>
        <v>0</v>
      </c>
      <c r="T17" s="612">
        <f>'Phase I Pro Forma'!T297+'Phase II Pro Forma'!S229+'Phase III Pro Forma'!Q193</f>
        <v>0</v>
      </c>
      <c r="U17" s="612">
        <f>'Phase I Pro Forma'!U297+'Phase II Pro Forma'!T229+'Phase III Pro Forma'!R193</f>
        <v>0</v>
      </c>
      <c r="V17" s="612">
        <f>'Phase I Pro Forma'!V297+'Phase II Pro Forma'!U229+'Phase III Pro Forma'!S193</f>
        <v>0</v>
      </c>
      <c r="W17" s="612">
        <f>'Phase I Pro Forma'!W297+'Phase II Pro Forma'!V229+'Phase III Pro Forma'!T193</f>
        <v>0</v>
      </c>
      <c r="X17" s="612">
        <f>'Phase I Pro Forma'!X297+'Phase II Pro Forma'!W229+'Phase III Pro Forma'!U193</f>
        <v>0</v>
      </c>
      <c r="Y17" s="612">
        <f>'Phase I Pro Forma'!Y297+'Phase II Pro Forma'!X229+'Phase III Pro Forma'!V193</f>
        <v>0</v>
      </c>
      <c r="Z17" s="612">
        <f>'Phase I Pro Forma'!Z297+'Phase II Pro Forma'!Y229+'Phase III Pro Forma'!W193</f>
        <v>0</v>
      </c>
    </row>
    <row r="18" spans="1:26" s="21" customFormat="1" ht="15.5">
      <c r="B18" s="15" t="s">
        <v>313</v>
      </c>
      <c r="D18" s="26">
        <f t="shared" si="6"/>
        <v>11076000</v>
      </c>
      <c r="E18" s="26"/>
      <c r="F18" s="612">
        <f>'Phase I Pro Forma'!F298</f>
        <v>0</v>
      </c>
      <c r="G18" s="612">
        <f>'Phase I Pro Forma'!G298+'Phase II Pro Forma'!F230</f>
        <v>0</v>
      </c>
      <c r="H18" s="612">
        <f>'Phase I Pro Forma'!H298+'Phase II Pro Forma'!G230</f>
        <v>5538000</v>
      </c>
      <c r="I18" s="612">
        <f>'Phase I Pro Forma'!I298+'Phase II Pro Forma'!H230+'Phase III Pro Forma'!F194</f>
        <v>0</v>
      </c>
      <c r="J18" s="612">
        <f>'Phase I Pro Forma'!J298+'Phase II Pro Forma'!I230+'Phase III Pro Forma'!G194</f>
        <v>0</v>
      </c>
      <c r="K18" s="612">
        <f>'Phase I Pro Forma'!K298+'Phase II Pro Forma'!J230+'Phase III Pro Forma'!H194</f>
        <v>5538000</v>
      </c>
      <c r="L18" s="612">
        <f>'Phase I Pro Forma'!L298+'Phase II Pro Forma'!K230+'Phase III Pro Forma'!I194</f>
        <v>0</v>
      </c>
      <c r="M18" s="612">
        <f>'Phase I Pro Forma'!M298+'Phase II Pro Forma'!L230+'Phase III Pro Forma'!J194</f>
        <v>0</v>
      </c>
      <c r="N18" s="612">
        <f>'Phase I Pro Forma'!N298+'Phase II Pro Forma'!M230+'Phase III Pro Forma'!K194</f>
        <v>0</v>
      </c>
      <c r="O18" s="612">
        <f>'Phase I Pro Forma'!O298+'Phase II Pro Forma'!N230+'Phase III Pro Forma'!L194</f>
        <v>0</v>
      </c>
      <c r="P18" s="612">
        <f>'Phase I Pro Forma'!P298+'Phase II Pro Forma'!O230+'Phase III Pro Forma'!M194</f>
        <v>0</v>
      </c>
      <c r="Q18" s="612">
        <f>'Phase I Pro Forma'!Q298+'Phase II Pro Forma'!P230+'Phase III Pro Forma'!N194</f>
        <v>0</v>
      </c>
      <c r="R18" s="612">
        <f>'Phase I Pro Forma'!R298+'Phase II Pro Forma'!Q230+'Phase III Pro Forma'!O194</f>
        <v>0</v>
      </c>
      <c r="S18" s="612">
        <f>'Phase I Pro Forma'!S298+'Phase II Pro Forma'!R230+'Phase III Pro Forma'!P194</f>
        <v>0</v>
      </c>
      <c r="T18" s="612">
        <f>'Phase I Pro Forma'!T298+'Phase II Pro Forma'!S230+'Phase III Pro Forma'!Q194</f>
        <v>0</v>
      </c>
      <c r="U18" s="612">
        <f>'Phase I Pro Forma'!U298+'Phase II Pro Forma'!T230+'Phase III Pro Forma'!R194</f>
        <v>0</v>
      </c>
      <c r="V18" s="612">
        <f>'Phase I Pro Forma'!V298+'Phase II Pro Forma'!U230+'Phase III Pro Forma'!S194</f>
        <v>0</v>
      </c>
      <c r="W18" s="612">
        <f>'Phase I Pro Forma'!W298+'Phase II Pro Forma'!V230+'Phase III Pro Forma'!T194</f>
        <v>0</v>
      </c>
      <c r="X18" s="612">
        <f>'Phase I Pro Forma'!X298+'Phase II Pro Forma'!W230+'Phase III Pro Forma'!U194</f>
        <v>0</v>
      </c>
      <c r="Y18" s="612">
        <f>'Phase I Pro Forma'!Y298+'Phase II Pro Forma'!X230+'Phase III Pro Forma'!V194</f>
        <v>0</v>
      </c>
      <c r="Z18" s="612">
        <f>'Phase I Pro Forma'!Z298+'Phase II Pro Forma'!Y230+'Phase III Pro Forma'!W194</f>
        <v>0</v>
      </c>
    </row>
    <row r="19" spans="1:26" s="21" customFormat="1" ht="15.5">
      <c r="B19" s="15" t="s">
        <v>314</v>
      </c>
      <c r="D19" s="26">
        <f t="shared" si="6"/>
        <v>0</v>
      </c>
      <c r="E19" s="26"/>
      <c r="F19" s="612">
        <f>'Phase I Pro Forma'!F299</f>
        <v>0</v>
      </c>
      <c r="G19" s="612">
        <f>'Phase I Pro Forma'!G299+'Phase II Pro Forma'!F231</f>
        <v>0</v>
      </c>
      <c r="H19" s="612">
        <f>'Phase I Pro Forma'!H299+'Phase II Pro Forma'!G231</f>
        <v>0</v>
      </c>
      <c r="I19" s="612">
        <f>'Phase I Pro Forma'!I299+'Phase II Pro Forma'!H231+'Phase III Pro Forma'!F195</f>
        <v>0</v>
      </c>
      <c r="J19" s="612">
        <f>'Phase I Pro Forma'!J299+'Phase II Pro Forma'!I231+'Phase III Pro Forma'!G195</f>
        <v>0</v>
      </c>
      <c r="K19" s="612">
        <f>'Phase I Pro Forma'!K299+'Phase II Pro Forma'!J231+'Phase III Pro Forma'!H195</f>
        <v>0</v>
      </c>
      <c r="L19" s="612">
        <f>'Phase I Pro Forma'!L299+'Phase II Pro Forma'!K231+'Phase III Pro Forma'!I195</f>
        <v>0</v>
      </c>
      <c r="M19" s="612">
        <f>'Phase I Pro Forma'!M299+'Phase II Pro Forma'!L231+'Phase III Pro Forma'!J195</f>
        <v>0</v>
      </c>
      <c r="N19" s="612">
        <f>'Phase I Pro Forma'!N299+'Phase II Pro Forma'!M231+'Phase III Pro Forma'!K195</f>
        <v>0</v>
      </c>
      <c r="O19" s="612">
        <f>'Phase I Pro Forma'!O299+'Phase II Pro Forma'!N231+'Phase III Pro Forma'!L195</f>
        <v>0</v>
      </c>
      <c r="P19" s="612">
        <f>'Phase I Pro Forma'!P299+'Phase II Pro Forma'!O231+'Phase III Pro Forma'!M195</f>
        <v>0</v>
      </c>
      <c r="Q19" s="612">
        <f>'Phase I Pro Forma'!Q299+'Phase II Pro Forma'!P231+'Phase III Pro Forma'!N195</f>
        <v>0</v>
      </c>
      <c r="R19" s="612">
        <f>'Phase I Pro Forma'!R299+'Phase II Pro Forma'!Q231+'Phase III Pro Forma'!O195</f>
        <v>0</v>
      </c>
      <c r="S19" s="612">
        <f>'Phase I Pro Forma'!S299+'Phase II Pro Forma'!R231+'Phase III Pro Forma'!P195</f>
        <v>0</v>
      </c>
      <c r="T19" s="612">
        <f>'Phase I Pro Forma'!T299+'Phase II Pro Forma'!S231+'Phase III Pro Forma'!Q195</f>
        <v>0</v>
      </c>
      <c r="U19" s="612">
        <f>'Phase I Pro Forma'!U299+'Phase II Pro Forma'!T231+'Phase III Pro Forma'!R195</f>
        <v>0</v>
      </c>
      <c r="V19" s="612">
        <f>'Phase I Pro Forma'!V299+'Phase II Pro Forma'!U231+'Phase III Pro Forma'!S195</f>
        <v>0</v>
      </c>
      <c r="W19" s="612">
        <f>'Phase I Pro Forma'!W299+'Phase II Pro Forma'!V231+'Phase III Pro Forma'!T195</f>
        <v>0</v>
      </c>
      <c r="X19" s="612">
        <f>'Phase I Pro Forma'!X299+'Phase II Pro Forma'!W231+'Phase III Pro Forma'!U195</f>
        <v>0</v>
      </c>
      <c r="Y19" s="612">
        <f>'Phase I Pro Forma'!Y299+'Phase II Pro Forma'!X231+'Phase III Pro Forma'!V195</f>
        <v>0</v>
      </c>
      <c r="Z19" s="612">
        <f>'Phase I Pro Forma'!Z299+'Phase II Pro Forma'!Y231+'Phase III Pro Forma'!W195</f>
        <v>0</v>
      </c>
    </row>
    <row r="20" spans="1:26" s="21" customFormat="1" ht="15.5">
      <c r="A20" s="49"/>
      <c r="B20" s="15" t="s">
        <v>639</v>
      </c>
      <c r="D20" s="26">
        <f>+SUM(F20:Z20)</f>
        <v>67748080</v>
      </c>
      <c r="E20" s="26"/>
      <c r="F20" s="612">
        <f>'Phase I Pro Forma'!F300</f>
        <v>67748080</v>
      </c>
      <c r="G20" s="612">
        <f>'Phase I Pro Forma'!G300+'Phase II Pro Forma'!F232</f>
        <v>0</v>
      </c>
      <c r="H20" s="612">
        <f>'Phase I Pro Forma'!H300+'Phase II Pro Forma'!G232</f>
        <v>0</v>
      </c>
      <c r="I20" s="612">
        <f>'Phase I Pro Forma'!I300+'Phase II Pro Forma'!H232+'Phase III Pro Forma'!F196</f>
        <v>0</v>
      </c>
      <c r="J20" s="612">
        <f>'Phase I Pro Forma'!J300+'Phase II Pro Forma'!I232+'Phase III Pro Forma'!G196</f>
        <v>0</v>
      </c>
      <c r="K20" s="612">
        <f>'Phase I Pro Forma'!K300+'Phase II Pro Forma'!J232+'Phase III Pro Forma'!H196</f>
        <v>0</v>
      </c>
      <c r="L20" s="612">
        <f>'Phase I Pro Forma'!L300+'Phase II Pro Forma'!K232+'Phase III Pro Forma'!I196</f>
        <v>0</v>
      </c>
      <c r="M20" s="612">
        <f>'Phase I Pro Forma'!M300+'Phase II Pro Forma'!L232+'Phase III Pro Forma'!J196</f>
        <v>0</v>
      </c>
      <c r="N20" s="612">
        <f>'Phase I Pro Forma'!N300+'Phase II Pro Forma'!M232+'Phase III Pro Forma'!K196</f>
        <v>0</v>
      </c>
      <c r="O20" s="612">
        <f>'Phase I Pro Forma'!O300+'Phase II Pro Forma'!N232+'Phase III Pro Forma'!L196</f>
        <v>0</v>
      </c>
      <c r="P20" s="612">
        <f>'Phase I Pro Forma'!P300+'Phase II Pro Forma'!O232+'Phase III Pro Forma'!M196</f>
        <v>0</v>
      </c>
      <c r="Q20" s="612">
        <f>'Phase I Pro Forma'!Q300+'Phase II Pro Forma'!P232+'Phase III Pro Forma'!N196</f>
        <v>0</v>
      </c>
      <c r="R20" s="612">
        <f>'Phase I Pro Forma'!R300+'Phase II Pro Forma'!Q232+'Phase III Pro Forma'!O196</f>
        <v>0</v>
      </c>
      <c r="S20" s="612">
        <f>'Phase I Pro Forma'!S300+'Phase II Pro Forma'!R232+'Phase III Pro Forma'!P196</f>
        <v>0</v>
      </c>
      <c r="T20" s="612">
        <f>'Phase I Pro Forma'!T300+'Phase II Pro Forma'!S232+'Phase III Pro Forma'!Q196</f>
        <v>0</v>
      </c>
      <c r="U20" s="612">
        <f>'Phase I Pro Forma'!U300+'Phase II Pro Forma'!T232+'Phase III Pro Forma'!R196</f>
        <v>0</v>
      </c>
      <c r="V20" s="612">
        <f>'Phase I Pro Forma'!V300+'Phase II Pro Forma'!U232+'Phase III Pro Forma'!S196</f>
        <v>0</v>
      </c>
      <c r="W20" s="612">
        <f>'Phase I Pro Forma'!W300+'Phase II Pro Forma'!V232+'Phase III Pro Forma'!T196</f>
        <v>0</v>
      </c>
      <c r="X20" s="612">
        <f>'Phase I Pro Forma'!X300+'Phase II Pro Forma'!W232+'Phase III Pro Forma'!U196</f>
        <v>0</v>
      </c>
      <c r="Y20" s="612">
        <f>'Phase I Pro Forma'!Y300+'Phase II Pro Forma'!X232+'Phase III Pro Forma'!V196</f>
        <v>0</v>
      </c>
      <c r="Z20" s="612">
        <f>'Phase I Pro Forma'!Z300+'Phase II Pro Forma'!Y232+'Phase III Pro Forma'!W196</f>
        <v>0</v>
      </c>
    </row>
    <row r="21" spans="1:26" s="21" customFormat="1" ht="15.5">
      <c r="A21" s="49"/>
      <c r="B21" s="15" t="s">
        <v>270</v>
      </c>
      <c r="D21" s="26">
        <f t="shared" ca="1" si="6"/>
        <v>366703110.15543246</v>
      </c>
      <c r="E21" s="26"/>
      <c r="F21" s="612">
        <f>'Phase I Pro Forma'!F301</f>
        <v>61171525</v>
      </c>
      <c r="G21" s="612">
        <f>'Phase I Pro Forma'!G301+'Phase II Pro Forma'!F233</f>
        <v>0</v>
      </c>
      <c r="H21" s="612">
        <f ca="1">'Phase I Pro Forma'!H301+'Phase II Pro Forma'!G233</f>
        <v>73173665.917189285</v>
      </c>
      <c r="I21" s="612">
        <f ca="1">'Phase I Pro Forma'!I301+'Phase II Pro Forma'!H233+'Phase III Pro Forma'!F197</f>
        <v>30518846.602605008</v>
      </c>
      <c r="J21" s="612">
        <f ca="1">'Phase I Pro Forma'!J301+'Phase II Pro Forma'!I233+'Phase III Pro Forma'!G197</f>
        <v>102883819.31950763</v>
      </c>
      <c r="K21" s="612">
        <f ca="1">'Phase I Pro Forma'!K301+'Phase II Pro Forma'!J233+'Phase III Pro Forma'!H197</f>
        <v>98955253.316130489</v>
      </c>
      <c r="L21" s="612">
        <f>'Phase I Pro Forma'!L301+'Phase II Pro Forma'!K233+'Phase III Pro Forma'!I197</f>
        <v>0</v>
      </c>
      <c r="M21" s="612">
        <f>'Phase I Pro Forma'!M301+'Phase II Pro Forma'!L233+'Phase III Pro Forma'!J197</f>
        <v>0</v>
      </c>
      <c r="N21" s="612">
        <f>'Phase I Pro Forma'!N301+'Phase II Pro Forma'!M233+'Phase III Pro Forma'!K197</f>
        <v>0</v>
      </c>
      <c r="O21" s="612">
        <f>'Phase I Pro Forma'!O301+'Phase II Pro Forma'!N233+'Phase III Pro Forma'!L197</f>
        <v>0</v>
      </c>
      <c r="P21" s="612">
        <f>'Phase I Pro Forma'!P301+'Phase II Pro Forma'!O233+'Phase III Pro Forma'!M197</f>
        <v>0</v>
      </c>
      <c r="Q21" s="612">
        <f>'Phase I Pro Forma'!Q301+'Phase II Pro Forma'!P233+'Phase III Pro Forma'!N197</f>
        <v>0</v>
      </c>
      <c r="R21" s="612">
        <f>'Phase I Pro Forma'!R301+'Phase II Pro Forma'!Q233+'Phase III Pro Forma'!O197</f>
        <v>0</v>
      </c>
      <c r="S21" s="612">
        <f>'Phase I Pro Forma'!S301+'Phase II Pro Forma'!R233+'Phase III Pro Forma'!P197</f>
        <v>0</v>
      </c>
      <c r="T21" s="612">
        <f>'Phase I Pro Forma'!T301+'Phase II Pro Forma'!S233+'Phase III Pro Forma'!Q197</f>
        <v>0</v>
      </c>
      <c r="U21" s="612">
        <f>'Phase I Pro Forma'!U301+'Phase II Pro Forma'!T233+'Phase III Pro Forma'!R197</f>
        <v>0</v>
      </c>
      <c r="V21" s="612">
        <f>'Phase I Pro Forma'!V301+'Phase II Pro Forma'!U233+'Phase III Pro Forma'!S197</f>
        <v>0</v>
      </c>
      <c r="W21" s="612">
        <f>'Phase I Pro Forma'!W301+'Phase II Pro Forma'!V233+'Phase III Pro Forma'!T197</f>
        <v>0</v>
      </c>
      <c r="X21" s="612">
        <f>'Phase I Pro Forma'!X301+'Phase II Pro Forma'!W233+'Phase III Pro Forma'!U197</f>
        <v>0</v>
      </c>
      <c r="Y21" s="612">
        <f>'Phase I Pro Forma'!Y301+'Phase II Pro Forma'!X233+'Phase III Pro Forma'!V197</f>
        <v>0</v>
      </c>
      <c r="Z21" s="612">
        <f>'Phase I Pro Forma'!Z301+'Phase II Pro Forma'!Y233+'Phase III Pro Forma'!W197</f>
        <v>0</v>
      </c>
    </row>
    <row r="22" spans="1:26" s="21" customFormat="1" ht="15.5">
      <c r="A22" s="49"/>
      <c r="B22" s="15" t="s">
        <v>640</v>
      </c>
      <c r="D22" s="26">
        <f t="shared" ca="1" si="6"/>
        <v>525964297.67057425</v>
      </c>
      <c r="E22" s="26"/>
      <c r="F22" s="612">
        <f ca="1">'Phase I Pro Forma'!F302</f>
        <v>-6503044.4939896166</v>
      </c>
      <c r="G22" s="612">
        <f ca="1">'Phase I Pro Forma'!G302+'Phase II Pro Forma'!F234</f>
        <v>232500406.62093925</v>
      </c>
      <c r="H22" s="612">
        <f ca="1">'Phase I Pro Forma'!H302+'Phase II Pro Forma'!G234</f>
        <v>166549414.1356709</v>
      </c>
      <c r="I22" s="612">
        <f ca="1">'Phase I Pro Forma'!I302+'Phase II Pro Forma'!H234+'Phase III Pro Forma'!F198</f>
        <v>53324356.672605053</v>
      </c>
      <c r="J22" s="612">
        <f ca="1">'Phase I Pro Forma'!J302+'Phase II Pro Forma'!I234+'Phase III Pro Forma'!G198</f>
        <v>73048669.027839333</v>
      </c>
      <c r="K22" s="612">
        <f ca="1">'Phase I Pro Forma'!K302+'Phase II Pro Forma'!J234+'Phase III Pro Forma'!H198</f>
        <v>1773815.4579122502</v>
      </c>
      <c r="L22" s="612">
        <f ca="1">'Phase I Pro Forma'!L302+'Phase II Pro Forma'!K234+'Phase III Pro Forma'!I198</f>
        <v>2635340.124798533</v>
      </c>
      <c r="M22" s="612">
        <f ca="1">'Phase I Pro Forma'!M302+'Phase II Pro Forma'!L234+'Phase III Pro Forma'!J198</f>
        <v>2635340.124798533</v>
      </c>
      <c r="N22" s="612">
        <f>'Phase I Pro Forma'!N302+'Phase II Pro Forma'!M234+'Phase III Pro Forma'!K198</f>
        <v>0</v>
      </c>
      <c r="O22" s="612">
        <f>'Phase I Pro Forma'!O302+'Phase II Pro Forma'!N234+'Phase III Pro Forma'!L198</f>
        <v>0</v>
      </c>
      <c r="P22" s="612">
        <f>'Phase I Pro Forma'!P302+'Phase II Pro Forma'!O234+'Phase III Pro Forma'!M198</f>
        <v>0</v>
      </c>
      <c r="Q22" s="612">
        <f>'Phase I Pro Forma'!Q302+'Phase II Pro Forma'!P234+'Phase III Pro Forma'!N198</f>
        <v>0</v>
      </c>
      <c r="R22" s="612">
        <f>'Phase I Pro Forma'!R302+'Phase II Pro Forma'!Q234+'Phase III Pro Forma'!O198</f>
        <v>0</v>
      </c>
      <c r="S22" s="612">
        <f>'Phase I Pro Forma'!S302+'Phase II Pro Forma'!R234+'Phase III Pro Forma'!P198</f>
        <v>0</v>
      </c>
      <c r="T22" s="612">
        <f>'Phase I Pro Forma'!T302+'Phase II Pro Forma'!S234+'Phase III Pro Forma'!Q198</f>
        <v>0</v>
      </c>
      <c r="U22" s="612">
        <f>'Phase I Pro Forma'!U302+'Phase II Pro Forma'!T234+'Phase III Pro Forma'!R198</f>
        <v>0</v>
      </c>
      <c r="V22" s="612">
        <f>'Phase I Pro Forma'!V302+'Phase II Pro Forma'!U234+'Phase III Pro Forma'!S198</f>
        <v>0</v>
      </c>
      <c r="W22" s="612">
        <f>'Phase I Pro Forma'!W302+'Phase II Pro Forma'!V234+'Phase III Pro Forma'!T198</f>
        <v>0</v>
      </c>
      <c r="X22" s="612">
        <f>'Phase I Pro Forma'!X302+'Phase II Pro Forma'!W234+'Phase III Pro Forma'!U198</f>
        <v>0</v>
      </c>
      <c r="Y22" s="612">
        <f>'Phase I Pro Forma'!Y302+'Phase II Pro Forma'!X234+'Phase III Pro Forma'!V198</f>
        <v>0</v>
      </c>
      <c r="Z22" s="612">
        <f>'Phase I Pro Forma'!Z302+'Phase II Pro Forma'!Y234+'Phase III Pro Forma'!W198</f>
        <v>0</v>
      </c>
    </row>
    <row r="23" spans="1:26" s="21" customFormat="1" ht="15.5">
      <c r="B23" s="653" t="s">
        <v>641</v>
      </c>
      <c r="C23" s="653"/>
      <c r="D23" s="544">
        <f ca="1">+SUM(F23:Z23)</f>
        <v>1133384105.6835487</v>
      </c>
      <c r="E23" s="544"/>
      <c r="F23" s="544">
        <f ca="1">SUM(F15:F22)</f>
        <v>166474667.50601038</v>
      </c>
      <c r="G23" s="544">
        <f t="shared" ref="G23:Z23" ca="1" si="7">SUM(G15:G22)</f>
        <v>232500406.62093925</v>
      </c>
      <c r="H23" s="544">
        <f t="shared" ca="1" si="7"/>
        <v>251064991.26276892</v>
      </c>
      <c r="I23" s="544">
        <f t="shared" ca="1" si="7"/>
        <v>128824237.58979434</v>
      </c>
      <c r="J23" s="544">
        <f t="shared" ca="1" si="7"/>
        <v>175932488.34734696</v>
      </c>
      <c r="K23" s="544">
        <f t="shared" ca="1" si="7"/>
        <v>173316634.10709161</v>
      </c>
      <c r="L23" s="544">
        <f t="shared" ca="1" si="7"/>
        <v>2635340.124798533</v>
      </c>
      <c r="M23" s="544">
        <f t="shared" ca="1" si="7"/>
        <v>2635340.124798533</v>
      </c>
      <c r="N23" s="544">
        <f t="shared" si="7"/>
        <v>0</v>
      </c>
      <c r="O23" s="544">
        <f t="shared" si="7"/>
        <v>0</v>
      </c>
      <c r="P23" s="544">
        <f t="shared" si="7"/>
        <v>0</v>
      </c>
      <c r="Q23" s="544">
        <f t="shared" si="7"/>
        <v>0</v>
      </c>
      <c r="R23" s="544">
        <f t="shared" si="7"/>
        <v>0</v>
      </c>
      <c r="S23" s="544">
        <f t="shared" si="7"/>
        <v>0</v>
      </c>
      <c r="T23" s="544">
        <f t="shared" si="7"/>
        <v>0</v>
      </c>
      <c r="U23" s="544">
        <f t="shared" si="7"/>
        <v>0</v>
      </c>
      <c r="V23" s="544">
        <f t="shared" si="7"/>
        <v>0</v>
      </c>
      <c r="W23" s="544">
        <f t="shared" si="7"/>
        <v>0</v>
      </c>
      <c r="X23" s="544">
        <f t="shared" si="7"/>
        <v>0</v>
      </c>
      <c r="Y23" s="544">
        <f t="shared" si="7"/>
        <v>0</v>
      </c>
      <c r="Z23" s="544">
        <f t="shared" si="7"/>
        <v>0</v>
      </c>
    </row>
    <row r="24" spans="1:26" s="21" customFormat="1" ht="15.5"/>
    <row r="25" spans="1:26" s="21" customFormat="1" ht="15.5">
      <c r="B25" s="15" t="s">
        <v>642</v>
      </c>
      <c r="D25" s="26">
        <f>+SUM(F25:Z25)</f>
        <v>240716697.85754189</v>
      </c>
      <c r="F25" s="22">
        <f t="shared" ref="F25:Z25" si="8">+SUM(F15:F19,F20)</f>
        <v>111806187</v>
      </c>
      <c r="G25" s="22">
        <f t="shared" si="8"/>
        <v>0</v>
      </c>
      <c r="H25" s="22">
        <f t="shared" si="8"/>
        <v>11341911.20990872</v>
      </c>
      <c r="I25" s="22">
        <f t="shared" si="8"/>
        <v>44981034.314584278</v>
      </c>
      <c r="J25" s="22">
        <f t="shared" si="8"/>
        <v>0</v>
      </c>
      <c r="K25" s="22">
        <f t="shared" si="8"/>
        <v>72587565.33304888</v>
      </c>
      <c r="L25" s="22">
        <f t="shared" si="8"/>
        <v>0</v>
      </c>
      <c r="M25" s="22">
        <f t="shared" si="8"/>
        <v>0</v>
      </c>
      <c r="N25" s="22">
        <f t="shared" si="8"/>
        <v>0</v>
      </c>
      <c r="O25" s="22">
        <f t="shared" si="8"/>
        <v>0</v>
      </c>
      <c r="P25" s="22">
        <f t="shared" si="8"/>
        <v>0</v>
      </c>
      <c r="Q25" s="22">
        <f t="shared" si="8"/>
        <v>0</v>
      </c>
      <c r="R25" s="22">
        <f t="shared" si="8"/>
        <v>0</v>
      </c>
      <c r="S25" s="22">
        <f t="shared" si="8"/>
        <v>0</v>
      </c>
      <c r="T25" s="22">
        <f t="shared" si="8"/>
        <v>0</v>
      </c>
      <c r="U25" s="22">
        <f t="shared" si="8"/>
        <v>0</v>
      </c>
      <c r="V25" s="22">
        <f t="shared" si="8"/>
        <v>0</v>
      </c>
      <c r="W25" s="22">
        <f t="shared" si="8"/>
        <v>0</v>
      </c>
      <c r="X25" s="22">
        <f t="shared" si="8"/>
        <v>0</v>
      </c>
      <c r="Y25" s="22">
        <f t="shared" si="8"/>
        <v>0</v>
      </c>
      <c r="Z25" s="22">
        <f t="shared" si="8"/>
        <v>0</v>
      </c>
    </row>
    <row r="26" spans="1:26" s="21" customFormat="1" ht="15.5"/>
    <row r="27" spans="1:26" s="21" customFormat="1" ht="15.5">
      <c r="B27" s="73" t="s">
        <v>643</v>
      </c>
    </row>
    <row r="28" spans="1:26" s="21" customFormat="1" ht="15.5">
      <c r="B28" s="15" t="s">
        <v>644</v>
      </c>
      <c r="D28" s="26">
        <f ca="1">+SUM(F28:Z28)</f>
        <v>-525964297.67057425</v>
      </c>
      <c r="E28" s="26"/>
      <c r="F28" s="16">
        <f ca="1">-F22</f>
        <v>6503044.4939896166</v>
      </c>
      <c r="G28" s="16">
        <f t="shared" ref="G28:Z28" ca="1" si="9">-G22</f>
        <v>-232500406.62093925</v>
      </c>
      <c r="H28" s="16">
        <f t="shared" ca="1" si="9"/>
        <v>-166549414.1356709</v>
      </c>
      <c r="I28" s="16">
        <f t="shared" ca="1" si="9"/>
        <v>-53324356.672605053</v>
      </c>
      <c r="J28" s="16">
        <f t="shared" ca="1" si="9"/>
        <v>-73048669.027839333</v>
      </c>
      <c r="K28" s="16">
        <f t="shared" ca="1" si="9"/>
        <v>-1773815.4579122502</v>
      </c>
      <c r="L28" s="16">
        <f t="shared" ca="1" si="9"/>
        <v>-2635340.124798533</v>
      </c>
      <c r="M28" s="16">
        <f t="shared" ca="1" si="9"/>
        <v>-2635340.124798533</v>
      </c>
      <c r="N28" s="16">
        <f t="shared" si="9"/>
        <v>0</v>
      </c>
      <c r="O28" s="16">
        <f t="shared" si="9"/>
        <v>0</v>
      </c>
      <c r="P28" s="16">
        <f t="shared" si="9"/>
        <v>0</v>
      </c>
      <c r="Q28" s="16">
        <f t="shared" si="9"/>
        <v>0</v>
      </c>
      <c r="R28" s="16">
        <f t="shared" si="9"/>
        <v>0</v>
      </c>
      <c r="S28" s="16">
        <f t="shared" si="9"/>
        <v>0</v>
      </c>
      <c r="T28" s="16">
        <f t="shared" si="9"/>
        <v>0</v>
      </c>
      <c r="U28" s="16">
        <f t="shared" si="9"/>
        <v>0</v>
      </c>
      <c r="V28" s="16">
        <f t="shared" si="9"/>
        <v>0</v>
      </c>
      <c r="W28" s="16">
        <f t="shared" si="9"/>
        <v>0</v>
      </c>
      <c r="X28" s="16">
        <f t="shared" si="9"/>
        <v>0</v>
      </c>
      <c r="Y28" s="16">
        <f t="shared" si="9"/>
        <v>0</v>
      </c>
      <c r="Z28" s="16">
        <f t="shared" si="9"/>
        <v>0</v>
      </c>
    </row>
    <row r="29" spans="1:26" s="21" customFormat="1" ht="15.5">
      <c r="B29" s="15" t="s">
        <v>645</v>
      </c>
      <c r="D29" s="26">
        <f ca="1">+SUM(F29:Z29)</f>
        <v>1214720217.2067108</v>
      </c>
      <c r="E29" s="26"/>
      <c r="F29" s="76">
        <f>'Phase I Pro Forma'!F309</f>
        <v>0</v>
      </c>
      <c r="G29" s="76">
        <f ca="1">'Phase I Pro Forma'!G309+'Phase II Pro Forma'!F241</f>
        <v>0</v>
      </c>
      <c r="H29" s="76">
        <f ca="1">'Phase I Pro Forma'!H309+'Phase II Pro Forma'!G241</f>
        <v>0</v>
      </c>
      <c r="I29" s="76">
        <f ca="1">'Phase I Pro Forma'!I309+'Phase II Pro Forma'!H241+'Phase III Pro Forma'!F205</f>
        <v>172676049.55257836</v>
      </c>
      <c r="J29" s="76">
        <f ca="1">'Phase I Pro Forma'!J309+'Phase II Pro Forma'!I241+'Phase III Pro Forma'!G205</f>
        <v>210270351.95842052</v>
      </c>
      <c r="K29" s="76">
        <f ca="1">'Phase I Pro Forma'!K309+'Phase II Pro Forma'!J241+'Phase III Pro Forma'!H205</f>
        <v>9273223.6843469143</v>
      </c>
      <c r="L29" s="76">
        <f ca="1">'Phase I Pro Forma'!L309+'Phase II Pro Forma'!K241+'Phase III Pro Forma'!I205</f>
        <v>47182525.020709798</v>
      </c>
      <c r="M29" s="76">
        <f ca="1">'Phase I Pro Forma'!M309+'Phase II Pro Forma'!L241+'Phase III Pro Forma'!J205</f>
        <v>26471322.646460488</v>
      </c>
      <c r="N29" s="76">
        <f ca="1">'Phase I Pro Forma'!N309+'Phase II Pro Forma'!M241+'Phase III Pro Forma'!K205</f>
        <v>27686603.902108461</v>
      </c>
      <c r="O29" s="76">
        <f ca="1">'Phase I Pro Forma'!O309+'Phase II Pro Forma'!N241+'Phase III Pro Forma'!L205</f>
        <v>29367815.58722464</v>
      </c>
      <c r="P29" s="76">
        <f ca="1">'Phase I Pro Forma'!P309+'Phase II Pro Forma'!O241+'Phase III Pro Forma'!M205</f>
        <v>691792324.85486174</v>
      </c>
      <c r="Q29" s="76">
        <f>'Phase I Pro Forma'!Q309+'Phase II Pro Forma'!P241+'Phase III Pro Forma'!N205</f>
        <v>0</v>
      </c>
      <c r="R29" s="76">
        <f>'Phase I Pro Forma'!R309+'Phase II Pro Forma'!Q241+'Phase III Pro Forma'!O205</f>
        <v>0</v>
      </c>
      <c r="S29" s="76">
        <f>'Phase I Pro Forma'!S309+'Phase II Pro Forma'!R241+'Phase III Pro Forma'!P205</f>
        <v>0</v>
      </c>
      <c r="T29" s="76">
        <f>'Phase I Pro Forma'!T309+'Phase II Pro Forma'!S241+'Phase III Pro Forma'!Q205</f>
        <v>0</v>
      </c>
      <c r="U29" s="76">
        <f>'Phase I Pro Forma'!U309+'Phase II Pro Forma'!T241+'Phase III Pro Forma'!R205</f>
        <v>0</v>
      </c>
      <c r="V29" s="76">
        <f>'Phase I Pro Forma'!V309+'Phase II Pro Forma'!U241+'Phase III Pro Forma'!S205</f>
        <v>0</v>
      </c>
      <c r="W29" s="76">
        <f>'Phase I Pro Forma'!W309+'Phase II Pro Forma'!V241+'Phase III Pro Forma'!T205</f>
        <v>0</v>
      </c>
      <c r="X29" s="76">
        <f>'Phase I Pro Forma'!X309+'Phase II Pro Forma'!W241+'Phase III Pro Forma'!U205</f>
        <v>0</v>
      </c>
      <c r="Y29" s="76">
        <f>'Phase I Pro Forma'!Y309+'Phase II Pro Forma'!X241+'Phase III Pro Forma'!V205</f>
        <v>0</v>
      </c>
      <c r="Z29" s="76">
        <f>'Phase I Pro Forma'!Z309+'Phase II Pro Forma'!Y241+'Phase III Pro Forma'!W205</f>
        <v>0</v>
      </c>
    </row>
    <row r="30" spans="1:26" s="21" customFormat="1" ht="15.5">
      <c r="B30" s="653" t="s">
        <v>646</v>
      </c>
      <c r="C30" s="653"/>
      <c r="D30" s="544">
        <f ca="1">+SUM(F30:Z30)</f>
        <v>688755919.53613663</v>
      </c>
      <c r="E30" s="544"/>
      <c r="F30" s="544">
        <f ca="1">+SUM(F28:F29)</f>
        <v>6503044.4939896166</v>
      </c>
      <c r="G30" s="544">
        <f t="shared" ref="G30:Z30" ca="1" si="10">+SUM(G28:G29)</f>
        <v>-232500406.62093925</v>
      </c>
      <c r="H30" s="544">
        <f t="shared" ca="1" si="10"/>
        <v>-166549414.1356709</v>
      </c>
      <c r="I30" s="544">
        <f t="shared" ca="1" si="10"/>
        <v>119351692.87997331</v>
      </c>
      <c r="J30" s="544">
        <f t="shared" ca="1" si="10"/>
        <v>137221682.93058118</v>
      </c>
      <c r="K30" s="544">
        <f t="shared" ca="1" si="10"/>
        <v>7499408.2264346639</v>
      </c>
      <c r="L30" s="544">
        <f t="shared" ca="1" si="10"/>
        <v>44547184.895911261</v>
      </c>
      <c r="M30" s="544">
        <f t="shared" ca="1" si="10"/>
        <v>23835982.521661956</v>
      </c>
      <c r="N30" s="544">
        <f t="shared" ca="1" si="10"/>
        <v>27686603.902108461</v>
      </c>
      <c r="O30" s="544">
        <f t="shared" ca="1" si="10"/>
        <v>29367815.58722464</v>
      </c>
      <c r="P30" s="544">
        <f t="shared" ca="1" si="10"/>
        <v>691792324.85486174</v>
      </c>
      <c r="Q30" s="544">
        <f t="shared" si="10"/>
        <v>0</v>
      </c>
      <c r="R30" s="544">
        <f t="shared" si="10"/>
        <v>0</v>
      </c>
      <c r="S30" s="544">
        <f t="shared" si="10"/>
        <v>0</v>
      </c>
      <c r="T30" s="544">
        <f t="shared" si="10"/>
        <v>0</v>
      </c>
      <c r="U30" s="544">
        <f t="shared" si="10"/>
        <v>0</v>
      </c>
      <c r="V30" s="544">
        <f t="shared" si="10"/>
        <v>0</v>
      </c>
      <c r="W30" s="544">
        <f t="shared" si="10"/>
        <v>0</v>
      </c>
      <c r="X30" s="544">
        <f t="shared" si="10"/>
        <v>0</v>
      </c>
      <c r="Y30" s="544">
        <f t="shared" si="10"/>
        <v>0</v>
      </c>
      <c r="Z30" s="544">
        <f t="shared" si="10"/>
        <v>0</v>
      </c>
    </row>
    <row r="31" spans="1:26" s="21" customFormat="1" ht="15.5"/>
    <row r="32" spans="1:26" s="21" customFormat="1" ht="15.5">
      <c r="B32" s="672" t="s">
        <v>1</v>
      </c>
      <c r="C32" s="672"/>
      <c r="D32" s="673">
        <f ca="1">+IRR(F30:Z30)</f>
        <v>0.18483147207448614</v>
      </c>
      <c r="I32" s="22"/>
    </row>
    <row r="33" spans="2:26" s="21" customFormat="1" ht="15.5">
      <c r="B33" s="655" t="s">
        <v>647</v>
      </c>
      <c r="C33" s="528"/>
      <c r="D33" s="658">
        <f ca="1">+SUM(F30:Z30)</f>
        <v>688755919.53613663</v>
      </c>
    </row>
    <row r="34" spans="2:26" s="21" customFormat="1" ht="15.5">
      <c r="B34" s="674" t="s">
        <v>14</v>
      </c>
      <c r="C34" s="531"/>
      <c r="D34" s="675">
        <f ca="1">+D29/-D28</f>
        <v>2.3095107835009805</v>
      </c>
    </row>
    <row r="35" spans="2:26" s="21" customFormat="1" ht="15.5"/>
    <row r="36" spans="2:26" s="21" customFormat="1" ht="15.5">
      <c r="B36" s="440" t="s">
        <v>648</v>
      </c>
      <c r="C36" s="441"/>
      <c r="D36" s="441"/>
      <c r="E36" s="44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</row>
    <row r="37" spans="2:26" s="21" customFormat="1" ht="15.5"/>
    <row r="38" spans="2:26" s="21" customFormat="1" ht="15.5">
      <c r="B38" s="73" t="s">
        <v>587</v>
      </c>
      <c r="F38" s="75">
        <f>+Assumptions!$F$22</f>
        <v>44561</v>
      </c>
      <c r="G38" s="75">
        <f>+EOMONTH(F38,12)</f>
        <v>44926</v>
      </c>
      <c r="H38" s="75">
        <f t="shared" ref="H38" si="11">+EOMONTH(G38,12)</f>
        <v>45291</v>
      </c>
      <c r="I38" s="75">
        <f>+EOMONTH(H38,12)</f>
        <v>45657</v>
      </c>
      <c r="J38" s="75">
        <f>+EOMONTH(I38,12)</f>
        <v>46022</v>
      </c>
      <c r="K38" s="75">
        <f t="shared" ref="K38" si="12">+EOMONTH(J38,12)</f>
        <v>46387</v>
      </c>
      <c r="L38" s="75">
        <f t="shared" ref="L38" si="13">+EOMONTH(K38,12)</f>
        <v>46752</v>
      </c>
      <c r="M38" s="75">
        <f t="shared" ref="M38" si="14">+EOMONTH(L38,12)</f>
        <v>47118</v>
      </c>
      <c r="N38" s="75">
        <f t="shared" ref="N38" si="15">+EOMONTH(M38,12)</f>
        <v>47483</v>
      </c>
      <c r="O38" s="75">
        <f t="shared" ref="O38" si="16">+EOMONTH(N38,12)</f>
        <v>47848</v>
      </c>
      <c r="P38" s="75">
        <f t="shared" ref="P38" si="17">+EOMONTH(O38,12)</f>
        <v>48213</v>
      </c>
      <c r="Q38" s="75">
        <f t="shared" ref="Q38" si="18">+EOMONTH(P38,12)</f>
        <v>48579</v>
      </c>
      <c r="R38" s="75">
        <f t="shared" ref="R38" si="19">+EOMONTH(Q38,12)</f>
        <v>48944</v>
      </c>
      <c r="S38" s="75">
        <f t="shared" ref="S38" si="20">+EOMONTH(R38,12)</f>
        <v>49309</v>
      </c>
      <c r="T38" s="75">
        <f t="shared" ref="T38" si="21">+EOMONTH(S38,12)</f>
        <v>49674</v>
      </c>
      <c r="U38" s="75">
        <f t="shared" ref="U38" si="22">+EOMONTH(T38,12)</f>
        <v>50040</v>
      </c>
      <c r="V38" s="75">
        <f t="shared" ref="V38" si="23">+EOMONTH(U38,12)</f>
        <v>50405</v>
      </c>
      <c r="W38" s="75">
        <f t="shared" ref="W38" si="24">+EOMONTH(V38,12)</f>
        <v>50770</v>
      </c>
      <c r="X38" s="75">
        <f t="shared" ref="X38" si="25">+EOMONTH(W38,12)</f>
        <v>51135</v>
      </c>
      <c r="Y38" s="75">
        <f t="shared" ref="Y38" si="26">+EOMONTH(X38,12)</f>
        <v>51501</v>
      </c>
      <c r="Z38" s="75">
        <f t="shared" ref="Z38" si="27">+EOMONTH(Y38,12)</f>
        <v>51866</v>
      </c>
    </row>
    <row r="39" spans="2:26" s="21" customFormat="1" ht="15.5">
      <c r="B39" s="15" t="s">
        <v>574</v>
      </c>
      <c r="C39"/>
      <c r="D39"/>
      <c r="E39"/>
      <c r="F39" s="16">
        <f>'Phase I Pro Forma'!F319</f>
        <v>0</v>
      </c>
      <c r="G39" s="16">
        <f ca="1">'Phase I Pro Forma'!G319+'Phase II Pro Forma'!F251</f>
        <v>0</v>
      </c>
      <c r="H39" s="16">
        <f ca="1">'Phase I Pro Forma'!H319+'Phase II Pro Forma'!G251</f>
        <v>0</v>
      </c>
      <c r="I39" s="16">
        <f ca="1">'Phase I Pro Forma'!I319+'Phase II Pro Forma'!H251+'Phase III Pro Forma'!F215</f>
        <v>11355656.772778463</v>
      </c>
      <c r="J39" s="16">
        <f ca="1">'Phase I Pro Forma'!J319+'Phase II Pro Forma'!I251+'Phase III Pro Forma'!G215</f>
        <v>36385876.25484927</v>
      </c>
      <c r="K39" s="16">
        <f ca="1">'Phase I Pro Forma'!K319+'Phase II Pro Forma'!J251+'Phase III Pro Forma'!H215</f>
        <v>51316141.788907439</v>
      </c>
      <c r="L39" s="16">
        <f ca="1">'Phase I Pro Forma'!L319+'Phase II Pro Forma'!K251+'Phase III Pro Forma'!I215</f>
        <v>63415634.662209161</v>
      </c>
      <c r="M39" s="16">
        <f ca="1">'Phase I Pro Forma'!M319+'Phase II Pro Forma'!L251+'Phase III Pro Forma'!J215</f>
        <v>76551338.648692787</v>
      </c>
      <c r="N39" s="16">
        <f ca="1">'Phase I Pro Forma'!N319+'Phase II Pro Forma'!M251+'Phase III Pro Forma'!K215</f>
        <v>77504358.894669235</v>
      </c>
      <c r="O39" s="16">
        <f ca="1">'Phase I Pro Forma'!O319+'Phase II Pro Forma'!N251+'Phase III Pro Forma'!L215</f>
        <v>78910527.017467424</v>
      </c>
      <c r="P39" s="16">
        <f ca="1">'Phase I Pro Forma'!P319+'Phase II Pro Forma'!O251+'Phase III Pro Forma'!M215</f>
        <v>79940185.051813066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</row>
    <row r="40" spans="2:26" s="21" customFormat="1" ht="15.5">
      <c r="B40" s="15" t="s">
        <v>612</v>
      </c>
      <c r="C40"/>
      <c r="D40"/>
      <c r="E40"/>
      <c r="F40" s="16">
        <f>'Phase I Pro Forma'!F320</f>
        <v>0</v>
      </c>
      <c r="G40" s="16">
        <f>'Phase I Pro Forma'!G320+'Phase II Pro Forma'!F252</f>
        <v>0</v>
      </c>
      <c r="H40" s="16">
        <f>'Phase I Pro Forma'!H320+'Phase II Pro Forma'!G252</f>
        <v>0</v>
      </c>
      <c r="I40" s="16">
        <f ca="1">'Phase I Pro Forma'!I320+'Phase II Pro Forma'!H252+'Phase III Pro Forma'!F216</f>
        <v>1535732.2462926258</v>
      </c>
      <c r="J40" s="16">
        <f ca="1">'Phase I Pro Forma'!J320+'Phase II Pro Forma'!I252+'Phase III Pro Forma'!G216</f>
        <v>3423371.4403864285</v>
      </c>
      <c r="K40" s="16">
        <f ca="1">'Phase I Pro Forma'!K320+'Phase II Pro Forma'!J252+'Phase III Pro Forma'!H216</f>
        <v>3651867.5876161545</v>
      </c>
      <c r="L40" s="16">
        <f ca="1">'Phase I Pro Forma'!L320+'Phase II Pro Forma'!K252+'Phase III Pro Forma'!I216</f>
        <v>3724904.9393684757</v>
      </c>
      <c r="M40" s="16">
        <f ca="1">'Phase I Pro Forma'!M320+'Phase II Pro Forma'!L252+'Phase III Pro Forma'!J216</f>
        <v>3799403.0381558458</v>
      </c>
      <c r="N40" s="16">
        <f ca="1">'Phase I Pro Forma'!N320+'Phase II Pro Forma'!M252+'Phase III Pro Forma'!K216</f>
        <v>3875391.0989189618</v>
      </c>
      <c r="O40" s="16">
        <f ca="1">'Phase I Pro Forma'!O320+'Phase II Pro Forma'!N252+'Phase III Pro Forma'!L216</f>
        <v>3952898.9208973399</v>
      </c>
      <c r="P40" s="16">
        <f ca="1">'Phase I Pro Forma'!P320+'Phase II Pro Forma'!O252+'Phase III Pro Forma'!M216</f>
        <v>4031956.8993152878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</row>
    <row r="41" spans="2:26" s="21" customFormat="1" ht="15.5">
      <c r="B41" s="15" t="s">
        <v>649</v>
      </c>
      <c r="C41"/>
      <c r="D41"/>
      <c r="E41"/>
      <c r="F41" s="16">
        <f>'Phase I Pro Forma'!F321</f>
        <v>0</v>
      </c>
      <c r="G41" s="16">
        <f ca="1">'Phase I Pro Forma'!G321+'Phase II Pro Forma'!F253</f>
        <v>0</v>
      </c>
      <c r="H41" s="16">
        <f ca="1">'Phase I Pro Forma'!H321+'Phase II Pro Forma'!G253</f>
        <v>0</v>
      </c>
      <c r="I41" s="16">
        <f ca="1">'Phase I Pro Forma'!I321+'Phase II Pro Forma'!H253+'Phase III Pro Forma'!F217</f>
        <v>122001.34853749</v>
      </c>
      <c r="J41" s="16">
        <f ca="1">'Phase I Pro Forma'!J321+'Phase II Pro Forma'!I253+'Phase III Pro Forma'!G217</f>
        <v>186054.51215907876</v>
      </c>
      <c r="K41" s="16">
        <f ca="1">'Phase I Pro Forma'!K321+'Phase II Pro Forma'!J253+'Phase III Pro Forma'!H217</f>
        <v>184018.75440610069</v>
      </c>
      <c r="L41" s="16">
        <f ca="1">'Phase I Pro Forma'!L321+'Phase II Pro Forma'!K253+'Phase III Pro Forma'!I217</f>
        <v>210726.52149406599</v>
      </c>
      <c r="M41" s="16">
        <f ca="1">'Phase I Pro Forma'!M321+'Phase II Pro Forma'!L253+'Phase III Pro Forma'!J217</f>
        <v>208608.51912457429</v>
      </c>
      <c r="N41" s="16">
        <f ca="1">'Phase I Pro Forma'!N321+'Phase II Pro Forma'!M253+'Phase III Pro Forma'!K217</f>
        <v>206448.15670689338</v>
      </c>
      <c r="O41" s="16">
        <f ca="1">'Phase I Pro Forma'!O321+'Phase II Pro Forma'!N253+'Phase III Pro Forma'!L217</f>
        <v>204244.58704085881</v>
      </c>
      <c r="P41" s="16">
        <f ca="1">'Phase I Pro Forma'!P321+'Phase II Pro Forma'!O253+'Phase III Pro Forma'!M217</f>
        <v>201996.94598150355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</row>
    <row r="42" spans="2:26" s="21" customFormat="1" ht="15.5">
      <c r="B42" s="653" t="s">
        <v>587</v>
      </c>
      <c r="C42" s="653"/>
      <c r="D42" s="544"/>
      <c r="E42" s="544"/>
      <c r="F42" s="544">
        <f t="shared" ref="F42:Z42" si="28">+SUM(F39:F41)</f>
        <v>0</v>
      </c>
      <c r="G42" s="544">
        <f t="shared" ca="1" si="28"/>
        <v>0</v>
      </c>
      <c r="H42" s="544">
        <f t="shared" ca="1" si="28"/>
        <v>0</v>
      </c>
      <c r="I42" s="544">
        <f t="shared" ca="1" si="28"/>
        <v>13013390.367608579</v>
      </c>
      <c r="J42" s="544">
        <f t="shared" ca="1" si="28"/>
        <v>39995302.207394779</v>
      </c>
      <c r="K42" s="544">
        <f t="shared" ca="1" si="28"/>
        <v>55152028.130929694</v>
      </c>
      <c r="L42" s="544">
        <f t="shared" ca="1" si="28"/>
        <v>67351266.1230717</v>
      </c>
      <c r="M42" s="544">
        <f t="shared" ca="1" si="28"/>
        <v>80559350.205973193</v>
      </c>
      <c r="N42" s="544">
        <f t="shared" ca="1" si="28"/>
        <v>81586198.150295094</v>
      </c>
      <c r="O42" s="544">
        <f t="shared" ca="1" si="28"/>
        <v>83067670.525405616</v>
      </c>
      <c r="P42" s="544">
        <f t="shared" ca="1" si="28"/>
        <v>84174138.897109851</v>
      </c>
      <c r="Q42" s="544">
        <f t="shared" si="28"/>
        <v>0</v>
      </c>
      <c r="R42" s="544">
        <f t="shared" si="28"/>
        <v>0</v>
      </c>
      <c r="S42" s="544">
        <f t="shared" si="28"/>
        <v>0</v>
      </c>
      <c r="T42" s="544">
        <f t="shared" si="28"/>
        <v>0</v>
      </c>
      <c r="U42" s="544">
        <f t="shared" si="28"/>
        <v>0</v>
      </c>
      <c r="V42" s="544">
        <f t="shared" si="28"/>
        <v>0</v>
      </c>
      <c r="W42" s="544">
        <f t="shared" si="28"/>
        <v>0</v>
      </c>
      <c r="X42" s="544">
        <f t="shared" si="28"/>
        <v>0</v>
      </c>
      <c r="Y42" s="544">
        <f t="shared" si="28"/>
        <v>0</v>
      </c>
      <c r="Z42" s="544">
        <f t="shared" si="28"/>
        <v>0</v>
      </c>
    </row>
    <row r="43" spans="2:26" s="21" customFormat="1" ht="15.5"/>
    <row r="44" spans="2:26" s="21" customFormat="1" ht="15.5">
      <c r="B44" s="73" t="s">
        <v>152</v>
      </c>
      <c r="F44" s="75">
        <f>+Assumptions!$F$22</f>
        <v>44561</v>
      </c>
      <c r="G44" s="75">
        <f>+EOMONTH(F44,12)</f>
        <v>44926</v>
      </c>
      <c r="H44" s="75">
        <f t="shared" ref="H44" si="29">+EOMONTH(G44,12)</f>
        <v>45291</v>
      </c>
      <c r="I44" s="75">
        <f>+EOMONTH(H44,12)</f>
        <v>45657</v>
      </c>
      <c r="J44" s="75">
        <f>+EOMONTH(I44,12)</f>
        <v>46022</v>
      </c>
      <c r="K44" s="75">
        <f t="shared" ref="K44" si="30">+EOMONTH(J44,12)</f>
        <v>46387</v>
      </c>
      <c r="L44" s="75">
        <f t="shared" ref="L44" si="31">+EOMONTH(K44,12)</f>
        <v>46752</v>
      </c>
      <c r="M44" s="75">
        <f t="shared" ref="M44" si="32">+EOMONTH(L44,12)</f>
        <v>47118</v>
      </c>
      <c r="N44" s="75">
        <f t="shared" ref="N44" si="33">+EOMONTH(M44,12)</f>
        <v>47483</v>
      </c>
      <c r="O44" s="75">
        <f t="shared" ref="O44" si="34">+EOMONTH(N44,12)</f>
        <v>47848</v>
      </c>
      <c r="P44" s="75">
        <f t="shared" ref="P44" si="35">+EOMONTH(O44,12)</f>
        <v>48213</v>
      </c>
      <c r="Q44" s="75">
        <f t="shared" ref="Q44" si="36">+EOMONTH(P44,12)</f>
        <v>48579</v>
      </c>
      <c r="R44" s="75">
        <f t="shared" ref="R44" si="37">+EOMONTH(Q44,12)</f>
        <v>48944</v>
      </c>
      <c r="S44" s="75">
        <f t="shared" ref="S44" si="38">+EOMONTH(R44,12)</f>
        <v>49309</v>
      </c>
      <c r="T44" s="75">
        <f t="shared" ref="T44" si="39">+EOMONTH(S44,12)</f>
        <v>49674</v>
      </c>
      <c r="U44" s="75">
        <f t="shared" ref="U44" si="40">+EOMONTH(T44,12)</f>
        <v>50040</v>
      </c>
      <c r="V44" s="75">
        <f t="shared" ref="V44" si="41">+EOMONTH(U44,12)</f>
        <v>50405</v>
      </c>
      <c r="W44" s="75">
        <f t="shared" ref="W44" si="42">+EOMONTH(V44,12)</f>
        <v>50770</v>
      </c>
      <c r="X44" s="75">
        <f t="shared" ref="X44" si="43">+EOMONTH(W44,12)</f>
        <v>51135</v>
      </c>
      <c r="Y44" s="75">
        <f t="shared" ref="Y44" si="44">+EOMONTH(X44,12)</f>
        <v>51501</v>
      </c>
      <c r="Z44" s="75">
        <f t="shared" ref="Z44" si="45">+EOMONTH(Y44,12)</f>
        <v>51866</v>
      </c>
    </row>
    <row r="45" spans="2:26" s="21" customFormat="1" ht="15.5">
      <c r="B45" s="15" t="s">
        <v>605</v>
      </c>
      <c r="C45"/>
      <c r="D45"/>
      <c r="E45"/>
      <c r="F45" s="16">
        <f>'Phase I Pro Forma'!F325</f>
        <v>0</v>
      </c>
      <c r="G45" s="16">
        <f>'Phase I Pro Forma'!G325+'Phase II Pro Forma'!F257</f>
        <v>0</v>
      </c>
      <c r="H45" s="16">
        <f>'Phase I Pro Forma'!H325+'Phase II Pro Forma'!G257</f>
        <v>0</v>
      </c>
      <c r="I45" s="16">
        <f>'Phase I Pro Forma'!I325+'Phase II Pro Forma'!H257+'Phase III Pro Forma'!F221</f>
        <v>0</v>
      </c>
      <c r="J45" s="16">
        <f>'Phase I Pro Forma'!J325+'Phase II Pro Forma'!I257+'Phase III Pro Forma'!G221</f>
        <v>0</v>
      </c>
      <c r="K45" s="16">
        <f>'Phase I Pro Forma'!K325+'Phase II Pro Forma'!J257+'Phase III Pro Forma'!H221</f>
        <v>0</v>
      </c>
      <c r="L45" s="16">
        <f>'Phase I Pro Forma'!L325+'Phase II Pro Forma'!K257+'Phase III Pro Forma'!I221</f>
        <v>0</v>
      </c>
      <c r="M45" s="16">
        <f>'Phase I Pro Forma'!M325+'Phase II Pro Forma'!L257+'Phase III Pro Forma'!J221</f>
        <v>0</v>
      </c>
      <c r="N45" s="16">
        <f>'Phase I Pro Forma'!N325+'Phase II Pro Forma'!M257+'Phase III Pro Forma'!K221</f>
        <v>0</v>
      </c>
      <c r="O45" s="16">
        <f>'Phase I Pro Forma'!O325+'Phase II Pro Forma'!N257+'Phase III Pro Forma'!L221</f>
        <v>0</v>
      </c>
      <c r="P45" s="16">
        <f ca="1">'Phase I Pro Forma'!P325+'Phase II Pro Forma'!O257+'Phase III Pro Forma'!M221</f>
        <v>1399929793.643831</v>
      </c>
      <c r="Q45" s="16">
        <f>'Phase I Pro Forma'!Q325+'Phase II Pro Forma'!P257+'Phase III Pro Forma'!N221</f>
        <v>0</v>
      </c>
      <c r="R45" s="16">
        <f>'Phase I Pro Forma'!R325+'Phase II Pro Forma'!Q257+'Phase III Pro Forma'!O221</f>
        <v>0</v>
      </c>
      <c r="S45" s="16">
        <f>'Phase I Pro Forma'!S325+'Phase II Pro Forma'!R257+'Phase III Pro Forma'!P221</f>
        <v>0</v>
      </c>
      <c r="T45" s="16">
        <f>'Phase I Pro Forma'!T325+'Phase II Pro Forma'!S257+'Phase III Pro Forma'!Q221</f>
        <v>0</v>
      </c>
      <c r="U45" s="16">
        <f>'Phase I Pro Forma'!U325+'Phase II Pro Forma'!T257+'Phase III Pro Forma'!R221</f>
        <v>0</v>
      </c>
      <c r="V45" s="16">
        <f>'Phase I Pro Forma'!V325+'Phase II Pro Forma'!U257+'Phase III Pro Forma'!S221</f>
        <v>0</v>
      </c>
      <c r="W45" s="16">
        <f>'Phase I Pro Forma'!W325+'Phase II Pro Forma'!V257+'Phase III Pro Forma'!T221</f>
        <v>0</v>
      </c>
      <c r="X45" s="16">
        <f>'Phase I Pro Forma'!X325+'Phase II Pro Forma'!W257+'Phase III Pro Forma'!U221</f>
        <v>0</v>
      </c>
      <c r="Y45" s="16">
        <f>'Phase I Pro Forma'!Y325+'Phase II Pro Forma'!X257+'Phase III Pro Forma'!V221</f>
        <v>0</v>
      </c>
      <c r="Z45" s="16">
        <f>'Phase I Pro Forma'!Z325+'Phase II Pro Forma'!Y257+'Phase III Pro Forma'!W221</f>
        <v>0</v>
      </c>
    </row>
    <row r="46" spans="2:26" s="21" customFormat="1" ht="15.5">
      <c r="B46" s="15" t="s">
        <v>607</v>
      </c>
      <c r="F46" s="16">
        <f>'Phase I Pro Forma'!F326</f>
        <v>0</v>
      </c>
      <c r="G46" s="16">
        <f>'Phase I Pro Forma'!G326+'Phase II Pro Forma'!F258</f>
        <v>0</v>
      </c>
      <c r="H46" s="16">
        <f>'Phase I Pro Forma'!H326+'Phase II Pro Forma'!G258</f>
        <v>0</v>
      </c>
      <c r="I46" s="16">
        <f>'Phase I Pro Forma'!I326+'Phase II Pro Forma'!H258+'Phase III Pro Forma'!F222</f>
        <v>0</v>
      </c>
      <c r="J46" s="16">
        <f>'Phase I Pro Forma'!J326+'Phase II Pro Forma'!I258+'Phase III Pro Forma'!G222</f>
        <v>0</v>
      </c>
      <c r="K46" s="16">
        <f>'Phase I Pro Forma'!K326+'Phase II Pro Forma'!J258+'Phase III Pro Forma'!H222</f>
        <v>0</v>
      </c>
      <c r="L46" s="16">
        <f>'Phase I Pro Forma'!L326+'Phase II Pro Forma'!K258+'Phase III Pro Forma'!I222</f>
        <v>0</v>
      </c>
      <c r="M46" s="16">
        <f>'Phase I Pro Forma'!M326+'Phase II Pro Forma'!L258+'Phase III Pro Forma'!J222</f>
        <v>0</v>
      </c>
      <c r="N46" s="16">
        <f>'Phase I Pro Forma'!N326+'Phase II Pro Forma'!M258+'Phase III Pro Forma'!K222</f>
        <v>0</v>
      </c>
      <c r="O46" s="16">
        <f>'Phase I Pro Forma'!O326+'Phase II Pro Forma'!N258+'Phase III Pro Forma'!L222</f>
        <v>0</v>
      </c>
      <c r="P46" s="16">
        <f ca="1">'Phase I Pro Forma'!P326+'Phase II Pro Forma'!O258+'Phase III Pro Forma'!M222</f>
        <v>-27998595.872876622</v>
      </c>
      <c r="Q46" s="16">
        <f>'Phase I Pro Forma'!Q326+'Phase II Pro Forma'!P258+'Phase III Pro Forma'!N222</f>
        <v>0</v>
      </c>
      <c r="R46" s="16">
        <f>'Phase I Pro Forma'!R326+'Phase II Pro Forma'!Q258+'Phase III Pro Forma'!O222</f>
        <v>0</v>
      </c>
      <c r="S46" s="16">
        <f>'Phase I Pro Forma'!S326+'Phase II Pro Forma'!R258+'Phase III Pro Forma'!P222</f>
        <v>0</v>
      </c>
      <c r="T46" s="16">
        <f>'Phase I Pro Forma'!T326+'Phase II Pro Forma'!S258+'Phase III Pro Forma'!Q222</f>
        <v>0</v>
      </c>
      <c r="U46" s="16">
        <f>'Phase I Pro Forma'!U326+'Phase II Pro Forma'!T258+'Phase III Pro Forma'!R222</f>
        <v>0</v>
      </c>
      <c r="V46" s="16">
        <f>'Phase I Pro Forma'!V326+'Phase II Pro Forma'!U258+'Phase III Pro Forma'!S222</f>
        <v>0</v>
      </c>
      <c r="W46" s="16">
        <f>'Phase I Pro Forma'!W326+'Phase II Pro Forma'!V258+'Phase III Pro Forma'!T222</f>
        <v>0</v>
      </c>
      <c r="X46" s="16">
        <f>'Phase I Pro Forma'!X326+'Phase II Pro Forma'!W258+'Phase III Pro Forma'!U222</f>
        <v>0</v>
      </c>
      <c r="Y46" s="16">
        <f>'Phase I Pro Forma'!Y326+'Phase II Pro Forma'!X258+'Phase III Pro Forma'!V222</f>
        <v>0</v>
      </c>
      <c r="Z46" s="16">
        <f>'Phase I Pro Forma'!Z326+'Phase II Pro Forma'!Y258+'Phase III Pro Forma'!W222</f>
        <v>0</v>
      </c>
    </row>
    <row r="47" spans="2:26" s="21" customFormat="1" ht="15.5">
      <c r="B47" s="653" t="s">
        <v>609</v>
      </c>
      <c r="C47" s="653"/>
      <c r="D47" s="544"/>
      <c r="E47" s="544"/>
      <c r="F47" s="544">
        <f>+SUM(F45:F46)</f>
        <v>0</v>
      </c>
      <c r="G47" s="544">
        <f t="shared" ref="G47:Z47" si="46">+SUM(G45:G46)</f>
        <v>0</v>
      </c>
      <c r="H47" s="544">
        <f t="shared" si="46"/>
        <v>0</v>
      </c>
      <c r="I47" s="544">
        <f t="shared" si="46"/>
        <v>0</v>
      </c>
      <c r="J47" s="544">
        <f t="shared" si="46"/>
        <v>0</v>
      </c>
      <c r="K47" s="544">
        <f t="shared" si="46"/>
        <v>0</v>
      </c>
      <c r="L47" s="544">
        <f t="shared" si="46"/>
        <v>0</v>
      </c>
      <c r="M47" s="544">
        <f t="shared" si="46"/>
        <v>0</v>
      </c>
      <c r="N47" s="544">
        <f t="shared" si="46"/>
        <v>0</v>
      </c>
      <c r="O47" s="544">
        <f t="shared" si="46"/>
        <v>0</v>
      </c>
      <c r="P47" s="544">
        <f t="shared" ca="1" si="46"/>
        <v>1371931197.7709544</v>
      </c>
      <c r="Q47" s="544">
        <f t="shared" si="46"/>
        <v>0</v>
      </c>
      <c r="R47" s="544">
        <f t="shared" si="46"/>
        <v>0</v>
      </c>
      <c r="S47" s="544">
        <f t="shared" si="46"/>
        <v>0</v>
      </c>
      <c r="T47" s="544">
        <f t="shared" si="46"/>
        <v>0</v>
      </c>
      <c r="U47" s="544">
        <f t="shared" si="46"/>
        <v>0</v>
      </c>
      <c r="V47" s="544">
        <f t="shared" si="46"/>
        <v>0</v>
      </c>
      <c r="W47" s="544">
        <f t="shared" si="46"/>
        <v>0</v>
      </c>
      <c r="X47" s="544">
        <f t="shared" si="46"/>
        <v>0</v>
      </c>
      <c r="Y47" s="544">
        <f t="shared" si="46"/>
        <v>0</v>
      </c>
      <c r="Z47" s="544">
        <f t="shared" si="46"/>
        <v>0</v>
      </c>
    </row>
    <row r="48" spans="2:26" s="21" customFormat="1" ht="15.5"/>
    <row r="49" spans="2:26" s="21" customFormat="1" ht="15.5">
      <c r="B49" s="73" t="s">
        <v>650</v>
      </c>
      <c r="F49" s="75">
        <f>+Assumptions!$F$22</f>
        <v>44561</v>
      </c>
      <c r="G49" s="75">
        <f>+EOMONTH(F49,12)</f>
        <v>44926</v>
      </c>
      <c r="H49" s="75">
        <f t="shared" ref="H49" si="47">+EOMONTH(G49,12)</f>
        <v>45291</v>
      </c>
      <c r="I49" s="75">
        <f>+EOMONTH(H49,12)</f>
        <v>45657</v>
      </c>
      <c r="J49" s="75">
        <f>+EOMONTH(I49,12)</f>
        <v>46022</v>
      </c>
      <c r="K49" s="75">
        <f t="shared" ref="K49" si="48">+EOMONTH(J49,12)</f>
        <v>46387</v>
      </c>
      <c r="L49" s="75">
        <f t="shared" ref="L49" si="49">+EOMONTH(K49,12)</f>
        <v>46752</v>
      </c>
      <c r="M49" s="75">
        <f t="shared" ref="M49" si="50">+EOMONTH(L49,12)</f>
        <v>47118</v>
      </c>
      <c r="N49" s="75">
        <f t="shared" ref="N49" si="51">+EOMONTH(M49,12)</f>
        <v>47483</v>
      </c>
      <c r="O49" s="75">
        <f t="shared" ref="O49" si="52">+EOMONTH(N49,12)</f>
        <v>47848</v>
      </c>
      <c r="P49" s="75">
        <f t="shared" ref="P49" si="53">+EOMONTH(O49,12)</f>
        <v>48213</v>
      </c>
      <c r="Q49" s="75">
        <f t="shared" ref="Q49" si="54">+EOMONTH(P49,12)</f>
        <v>48579</v>
      </c>
      <c r="R49" s="75">
        <f t="shared" ref="R49" si="55">+EOMONTH(Q49,12)</f>
        <v>48944</v>
      </c>
      <c r="S49" s="75">
        <f t="shared" ref="S49" si="56">+EOMONTH(R49,12)</f>
        <v>49309</v>
      </c>
      <c r="T49" s="75">
        <f t="shared" ref="T49" si="57">+EOMONTH(S49,12)</f>
        <v>49674</v>
      </c>
      <c r="U49" s="75">
        <f t="shared" ref="U49" si="58">+EOMONTH(T49,12)</f>
        <v>50040</v>
      </c>
      <c r="V49" s="75">
        <f t="shared" ref="V49" si="59">+EOMONTH(U49,12)</f>
        <v>50405</v>
      </c>
      <c r="W49" s="75">
        <f t="shared" ref="W49" si="60">+EOMONTH(V49,12)</f>
        <v>50770</v>
      </c>
      <c r="X49" s="75">
        <f t="shared" ref="X49" si="61">+EOMONTH(W49,12)</f>
        <v>51135</v>
      </c>
      <c r="Y49" s="75">
        <f t="shared" ref="Y49" si="62">+EOMONTH(X49,12)</f>
        <v>51501</v>
      </c>
      <c r="Z49" s="75">
        <f t="shared" ref="Z49" si="63">+EOMONTH(Y49,12)</f>
        <v>51866</v>
      </c>
    </row>
    <row r="50" spans="2:26" s="21" customFormat="1" ht="15.5">
      <c r="B50" s="15" t="s">
        <v>254</v>
      </c>
      <c r="D50" s="26">
        <f>+SUM(F50:Z50)</f>
        <v>166707133</v>
      </c>
      <c r="E50" s="26"/>
      <c r="F50" s="16">
        <f t="shared" ref="F50:Z50" si="64">+F5</f>
        <v>79998202</v>
      </c>
      <c r="G50" s="16">
        <f t="shared" si="64"/>
        <v>86708931</v>
      </c>
      <c r="H50" s="16">
        <f t="shared" si="64"/>
        <v>0</v>
      </c>
      <c r="I50" s="16">
        <f t="shared" si="64"/>
        <v>0</v>
      </c>
      <c r="J50" s="16">
        <f t="shared" si="64"/>
        <v>0</v>
      </c>
      <c r="K50" s="16">
        <f t="shared" si="64"/>
        <v>0</v>
      </c>
      <c r="L50" s="16">
        <f t="shared" si="64"/>
        <v>0</v>
      </c>
      <c r="M50" s="16">
        <f t="shared" si="64"/>
        <v>0</v>
      </c>
      <c r="N50" s="16">
        <f t="shared" si="64"/>
        <v>0</v>
      </c>
      <c r="O50" s="16">
        <f t="shared" si="64"/>
        <v>0</v>
      </c>
      <c r="P50" s="16">
        <f t="shared" si="64"/>
        <v>0</v>
      </c>
      <c r="Q50" s="16">
        <f t="shared" si="64"/>
        <v>0</v>
      </c>
      <c r="R50" s="16">
        <f t="shared" si="64"/>
        <v>0</v>
      </c>
      <c r="S50" s="16">
        <f t="shared" si="64"/>
        <v>0</v>
      </c>
      <c r="T50" s="16">
        <f t="shared" si="64"/>
        <v>0</v>
      </c>
      <c r="U50" s="16">
        <f t="shared" si="64"/>
        <v>0</v>
      </c>
      <c r="V50" s="16">
        <f t="shared" si="64"/>
        <v>0</v>
      </c>
      <c r="W50" s="16">
        <f t="shared" si="64"/>
        <v>0</v>
      </c>
      <c r="X50" s="16">
        <f t="shared" si="64"/>
        <v>0</v>
      </c>
      <c r="Y50" s="16">
        <f t="shared" si="64"/>
        <v>0</v>
      </c>
      <c r="Z50" s="16">
        <f t="shared" si="64"/>
        <v>0</v>
      </c>
    </row>
    <row r="51" spans="2:26" s="21" customFormat="1" ht="15.5">
      <c r="B51" s="15" t="s">
        <v>255</v>
      </c>
      <c r="D51" s="26">
        <f t="shared" ref="D51:D56" si="65">+SUM(F51:Z51)</f>
        <v>77375650</v>
      </c>
      <c r="E51" s="26"/>
      <c r="F51" s="16">
        <f t="shared" ref="F51:Z51" si="66">+F6</f>
        <v>67748080</v>
      </c>
      <c r="G51" s="16">
        <f t="shared" si="66"/>
        <v>7301355</v>
      </c>
      <c r="H51" s="16">
        <f t="shared" si="66"/>
        <v>0</v>
      </c>
      <c r="I51" s="16">
        <f t="shared" si="66"/>
        <v>2326215</v>
      </c>
      <c r="J51" s="16">
        <f t="shared" si="66"/>
        <v>0</v>
      </c>
      <c r="K51" s="16">
        <f t="shared" si="66"/>
        <v>0</v>
      </c>
      <c r="L51" s="16">
        <f t="shared" si="66"/>
        <v>0</v>
      </c>
      <c r="M51" s="16">
        <f t="shared" si="66"/>
        <v>0</v>
      </c>
      <c r="N51" s="16">
        <f t="shared" si="66"/>
        <v>0</v>
      </c>
      <c r="O51" s="16">
        <f t="shared" si="66"/>
        <v>0</v>
      </c>
      <c r="P51" s="16">
        <f t="shared" si="66"/>
        <v>0</v>
      </c>
      <c r="Q51" s="16">
        <f t="shared" si="66"/>
        <v>0</v>
      </c>
      <c r="R51" s="16">
        <f t="shared" si="66"/>
        <v>0</v>
      </c>
      <c r="S51" s="16">
        <f t="shared" si="66"/>
        <v>0</v>
      </c>
      <c r="T51" s="16">
        <f t="shared" si="66"/>
        <v>0</v>
      </c>
      <c r="U51" s="16">
        <f t="shared" si="66"/>
        <v>0</v>
      </c>
      <c r="V51" s="16">
        <f t="shared" si="66"/>
        <v>0</v>
      </c>
      <c r="W51" s="16">
        <f t="shared" si="66"/>
        <v>0</v>
      </c>
      <c r="X51" s="16">
        <f t="shared" si="66"/>
        <v>0</v>
      </c>
      <c r="Y51" s="16">
        <f t="shared" si="66"/>
        <v>0</v>
      </c>
      <c r="Z51" s="16">
        <f t="shared" si="66"/>
        <v>0</v>
      </c>
    </row>
    <row r="52" spans="2:26" s="21" customFormat="1" ht="15.5">
      <c r="B52" s="15" t="s">
        <v>276</v>
      </c>
      <c r="D52" s="26">
        <f t="shared" ca="1" si="65"/>
        <v>780751753.75164616</v>
      </c>
      <c r="E52" s="26"/>
      <c r="F52" s="16">
        <f t="shared" ref="F52:Z52" si="67">+F7</f>
        <v>2687323.32</v>
      </c>
      <c r="G52" s="16">
        <f t="shared" ca="1" si="67"/>
        <v>123187481.57625</v>
      </c>
      <c r="H52" s="16">
        <f t="shared" ca="1" si="67"/>
        <v>225521888.27280003</v>
      </c>
      <c r="I52" s="16">
        <f t="shared" ca="1" si="67"/>
        <v>102334406.69655001</v>
      </c>
      <c r="J52" s="16">
        <f t="shared" ca="1" si="67"/>
        <v>163510326.94302309</v>
      </c>
      <c r="K52" s="16">
        <f t="shared" ca="1" si="67"/>
        <v>163510326.94302309</v>
      </c>
      <c r="L52" s="16">
        <f t="shared" si="67"/>
        <v>0</v>
      </c>
      <c r="M52" s="16">
        <f t="shared" si="67"/>
        <v>0</v>
      </c>
      <c r="N52" s="16">
        <f t="shared" si="67"/>
        <v>0</v>
      </c>
      <c r="O52" s="16">
        <f t="shared" si="67"/>
        <v>0</v>
      </c>
      <c r="P52" s="16">
        <f t="shared" si="67"/>
        <v>0</v>
      </c>
      <c r="Q52" s="16">
        <f t="shared" si="67"/>
        <v>0</v>
      </c>
      <c r="R52" s="16">
        <f t="shared" si="67"/>
        <v>0</v>
      </c>
      <c r="S52" s="16">
        <f t="shared" si="67"/>
        <v>0</v>
      </c>
      <c r="T52" s="16">
        <f t="shared" si="67"/>
        <v>0</v>
      </c>
      <c r="U52" s="16">
        <f t="shared" si="67"/>
        <v>0</v>
      </c>
      <c r="V52" s="16">
        <f t="shared" si="67"/>
        <v>0</v>
      </c>
      <c r="W52" s="16">
        <f t="shared" si="67"/>
        <v>0</v>
      </c>
      <c r="X52" s="16">
        <f t="shared" si="67"/>
        <v>0</v>
      </c>
      <c r="Y52" s="16">
        <f t="shared" si="67"/>
        <v>0</v>
      </c>
      <c r="Z52" s="16">
        <f t="shared" si="67"/>
        <v>0</v>
      </c>
    </row>
    <row r="53" spans="2:26" s="21" customFormat="1" ht="15.5">
      <c r="B53" s="15" t="s">
        <v>262</v>
      </c>
      <c r="D53" s="26">
        <f t="shared" ca="1" si="65"/>
        <v>57589405.101018637</v>
      </c>
      <c r="E53" s="26"/>
      <c r="F53" s="16">
        <f t="shared" ref="F53:Z53" ca="1" si="68">+F8</f>
        <v>16041062.186010391</v>
      </c>
      <c r="G53" s="16">
        <f t="shared" ca="1" si="68"/>
        <v>6854912.6884815004</v>
      </c>
      <c r="H53" s="16">
        <f t="shared" ca="1" si="68"/>
        <v>10149165.327726455</v>
      </c>
      <c r="I53" s="16">
        <f t="shared" ca="1" si="68"/>
        <v>14531763.896954302</v>
      </c>
      <c r="J53" s="16">
        <f t="shared" ca="1" si="68"/>
        <v>5006250.5009229928</v>
      </c>
      <c r="K53" s="16">
        <f t="shared" ca="1" si="68"/>
        <v>5006250.5009229928</v>
      </c>
      <c r="L53" s="16">
        <f t="shared" si="68"/>
        <v>0</v>
      </c>
      <c r="M53" s="16">
        <f t="shared" si="68"/>
        <v>0</v>
      </c>
      <c r="N53" s="16">
        <f t="shared" si="68"/>
        <v>0</v>
      </c>
      <c r="O53" s="16">
        <f t="shared" si="68"/>
        <v>0</v>
      </c>
      <c r="P53" s="16">
        <f t="shared" si="68"/>
        <v>0</v>
      </c>
      <c r="Q53" s="16">
        <f t="shared" si="68"/>
        <v>0</v>
      </c>
      <c r="R53" s="16">
        <f t="shared" si="68"/>
        <v>0</v>
      </c>
      <c r="S53" s="16">
        <f t="shared" si="68"/>
        <v>0</v>
      </c>
      <c r="T53" s="16">
        <f t="shared" si="68"/>
        <v>0</v>
      </c>
      <c r="U53" s="16">
        <f t="shared" si="68"/>
        <v>0</v>
      </c>
      <c r="V53" s="16">
        <f t="shared" si="68"/>
        <v>0</v>
      </c>
      <c r="W53" s="16">
        <f t="shared" si="68"/>
        <v>0</v>
      </c>
      <c r="X53" s="16">
        <f t="shared" si="68"/>
        <v>0</v>
      </c>
      <c r="Y53" s="16">
        <f t="shared" si="68"/>
        <v>0</v>
      </c>
      <c r="Z53" s="16">
        <f t="shared" si="68"/>
        <v>0</v>
      </c>
    </row>
    <row r="54" spans="2:26" s="21" customFormat="1" ht="15.5">
      <c r="B54" s="15" t="s">
        <v>263</v>
      </c>
      <c r="D54" s="26">
        <f t="shared" si="65"/>
        <v>0</v>
      </c>
      <c r="E54" s="26"/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</row>
    <row r="55" spans="2:26" s="21" customFormat="1" ht="15.5">
      <c r="B55" s="15" t="s">
        <v>264</v>
      </c>
      <c r="D55" s="26">
        <f t="shared" ca="1" si="65"/>
        <v>2000000</v>
      </c>
      <c r="E55" s="26"/>
      <c r="F55" s="16">
        <f t="shared" ref="F55:Z55" si="69">+F10</f>
        <v>0</v>
      </c>
      <c r="G55" s="16">
        <f t="shared" ca="1" si="69"/>
        <v>460786.81845242815</v>
      </c>
      <c r="H55" s="16">
        <f t="shared" ca="1" si="69"/>
        <v>678885.3695652046</v>
      </c>
      <c r="I55" s="16">
        <f t="shared" ca="1" si="69"/>
        <v>218098.55111277648</v>
      </c>
      <c r="J55" s="16">
        <f t="shared" ca="1" si="69"/>
        <v>321114.6304347954</v>
      </c>
      <c r="K55" s="16">
        <f t="shared" ca="1" si="69"/>
        <v>321114.6304347954</v>
      </c>
      <c r="L55" s="16">
        <f t="shared" si="69"/>
        <v>0</v>
      </c>
      <c r="M55" s="16">
        <f t="shared" si="69"/>
        <v>0</v>
      </c>
      <c r="N55" s="16">
        <f t="shared" si="69"/>
        <v>0</v>
      </c>
      <c r="O55" s="16">
        <f t="shared" si="69"/>
        <v>0</v>
      </c>
      <c r="P55" s="16">
        <f t="shared" si="69"/>
        <v>0</v>
      </c>
      <c r="Q55" s="16">
        <f t="shared" si="69"/>
        <v>0</v>
      </c>
      <c r="R55" s="16">
        <f t="shared" si="69"/>
        <v>0</v>
      </c>
      <c r="S55" s="16">
        <f t="shared" si="69"/>
        <v>0</v>
      </c>
      <c r="T55" s="16">
        <f t="shared" si="69"/>
        <v>0</v>
      </c>
      <c r="U55" s="16">
        <f t="shared" si="69"/>
        <v>0</v>
      </c>
      <c r="V55" s="16">
        <f t="shared" si="69"/>
        <v>0</v>
      </c>
      <c r="W55" s="16">
        <f t="shared" si="69"/>
        <v>0</v>
      </c>
      <c r="X55" s="16">
        <f t="shared" si="69"/>
        <v>0</v>
      </c>
      <c r="Y55" s="16">
        <f t="shared" si="69"/>
        <v>0</v>
      </c>
      <c r="Z55" s="16">
        <f t="shared" si="69"/>
        <v>0</v>
      </c>
    </row>
    <row r="56" spans="2:26" s="21" customFormat="1" ht="15.5">
      <c r="B56" s="15" t="s">
        <v>265</v>
      </c>
      <c r="D56" s="26">
        <f t="shared" ca="1" si="65"/>
        <v>28379185.091864478</v>
      </c>
      <c r="E56" s="26"/>
      <c r="F56" s="16">
        <f t="shared" ref="F56:Z56" ca="1" si="70">+F11</f>
        <v>0</v>
      </c>
      <c r="G56" s="16">
        <f t="shared" ca="1" si="70"/>
        <v>2685640.6902553365</v>
      </c>
      <c r="H56" s="16">
        <f t="shared" ca="1" si="70"/>
        <v>4459456.1481675869</v>
      </c>
      <c r="I56" s="16">
        <f t="shared" ca="1" si="70"/>
        <v>4459456.1481675869</v>
      </c>
      <c r="J56" s="16">
        <f t="shared" ca="1" si="70"/>
        <v>7094796.2729661204</v>
      </c>
      <c r="K56" s="16">
        <f t="shared" ca="1" si="70"/>
        <v>4409155.582710783</v>
      </c>
      <c r="L56" s="16">
        <f t="shared" ca="1" si="70"/>
        <v>2635340.124798533</v>
      </c>
      <c r="M56" s="16">
        <f t="shared" ca="1" si="70"/>
        <v>2635340.124798533</v>
      </c>
      <c r="N56" s="16">
        <f t="shared" si="70"/>
        <v>0</v>
      </c>
      <c r="O56" s="16">
        <f t="shared" si="70"/>
        <v>0</v>
      </c>
      <c r="P56" s="16">
        <f t="shared" si="70"/>
        <v>0</v>
      </c>
      <c r="Q56" s="16">
        <f t="shared" si="70"/>
        <v>0</v>
      </c>
      <c r="R56" s="16">
        <f t="shared" si="70"/>
        <v>0</v>
      </c>
      <c r="S56" s="16">
        <f t="shared" si="70"/>
        <v>0</v>
      </c>
      <c r="T56" s="16">
        <f t="shared" si="70"/>
        <v>0</v>
      </c>
      <c r="U56" s="16">
        <f t="shared" si="70"/>
        <v>0</v>
      </c>
      <c r="V56" s="16">
        <f t="shared" si="70"/>
        <v>0</v>
      </c>
      <c r="W56" s="16">
        <f t="shared" si="70"/>
        <v>0</v>
      </c>
      <c r="X56" s="16">
        <f t="shared" si="70"/>
        <v>0</v>
      </c>
      <c r="Y56" s="16">
        <f t="shared" si="70"/>
        <v>0</v>
      </c>
      <c r="Z56" s="16">
        <f t="shared" si="70"/>
        <v>0</v>
      </c>
    </row>
    <row r="57" spans="2:26" s="21" customFormat="1" ht="15.5">
      <c r="B57" s="653" t="s">
        <v>636</v>
      </c>
      <c r="C57" s="653"/>
      <c r="D57" s="544">
        <f ca="1">+SUM(F57:Z57)</f>
        <v>1112803126.9445293</v>
      </c>
      <c r="E57" s="544"/>
      <c r="F57" s="544">
        <f ca="1">+SUM(F50:F56)</f>
        <v>166474667.50601038</v>
      </c>
      <c r="G57" s="544">
        <f ca="1">+SUM(G50:G56)</f>
        <v>227199107.77343929</v>
      </c>
      <c r="H57" s="544">
        <f ca="1">+SUM(H50:H56)</f>
        <v>240809395.11825928</v>
      </c>
      <c r="I57" s="544">
        <f t="shared" ref="I57:Z57" ca="1" si="71">+SUM(I50:I56)</f>
        <v>123869940.29278466</v>
      </c>
      <c r="J57" s="544">
        <f t="shared" ca="1" si="71"/>
        <v>175932488.34734696</v>
      </c>
      <c r="K57" s="544">
        <f t="shared" ca="1" si="71"/>
        <v>173246847.65709162</v>
      </c>
      <c r="L57" s="544">
        <f t="shared" ca="1" si="71"/>
        <v>2635340.124798533</v>
      </c>
      <c r="M57" s="544">
        <f t="shared" ca="1" si="71"/>
        <v>2635340.124798533</v>
      </c>
      <c r="N57" s="544">
        <f t="shared" si="71"/>
        <v>0</v>
      </c>
      <c r="O57" s="544">
        <f t="shared" si="71"/>
        <v>0</v>
      </c>
      <c r="P57" s="544">
        <f t="shared" si="71"/>
        <v>0</v>
      </c>
      <c r="Q57" s="544">
        <f t="shared" si="71"/>
        <v>0</v>
      </c>
      <c r="R57" s="544">
        <f t="shared" si="71"/>
        <v>0</v>
      </c>
      <c r="S57" s="544">
        <f t="shared" si="71"/>
        <v>0</v>
      </c>
      <c r="T57" s="544">
        <f t="shared" si="71"/>
        <v>0</v>
      </c>
      <c r="U57" s="544">
        <f t="shared" si="71"/>
        <v>0</v>
      </c>
      <c r="V57" s="544">
        <f t="shared" si="71"/>
        <v>0</v>
      </c>
      <c r="W57" s="544">
        <f t="shared" si="71"/>
        <v>0</v>
      </c>
      <c r="X57" s="544">
        <f t="shared" si="71"/>
        <v>0</v>
      </c>
      <c r="Y57" s="544">
        <f t="shared" si="71"/>
        <v>0</v>
      </c>
      <c r="Z57" s="544">
        <f t="shared" si="71"/>
        <v>0</v>
      </c>
    </row>
    <row r="58" spans="2:26" s="21" customFormat="1" ht="15.5"/>
    <row r="59" spans="2:26" s="21" customFormat="1" ht="15.5">
      <c r="B59" s="73" t="s">
        <v>637</v>
      </c>
      <c r="F59" s="75">
        <f>+Assumptions!$F$22</f>
        <v>44561</v>
      </c>
      <c r="G59" s="75">
        <f>+EOMONTH(F59,12)</f>
        <v>44926</v>
      </c>
      <c r="H59" s="75">
        <f t="shared" ref="H59" si="72">+EOMONTH(G59,12)</f>
        <v>45291</v>
      </c>
      <c r="I59" s="75">
        <f>+EOMONTH(H59,12)</f>
        <v>45657</v>
      </c>
      <c r="J59" s="75">
        <f>+EOMONTH(I59,12)</f>
        <v>46022</v>
      </c>
      <c r="K59" s="75">
        <f t="shared" ref="K59:Z59" si="73">+EOMONTH(J59,12)</f>
        <v>46387</v>
      </c>
      <c r="L59" s="75">
        <f t="shared" si="73"/>
        <v>46752</v>
      </c>
      <c r="M59" s="75">
        <f t="shared" si="73"/>
        <v>47118</v>
      </c>
      <c r="N59" s="75">
        <f t="shared" si="73"/>
        <v>47483</v>
      </c>
      <c r="O59" s="75">
        <f t="shared" si="73"/>
        <v>47848</v>
      </c>
      <c r="P59" s="75">
        <f t="shared" si="73"/>
        <v>48213</v>
      </c>
      <c r="Q59" s="75">
        <f t="shared" si="73"/>
        <v>48579</v>
      </c>
      <c r="R59" s="75">
        <f t="shared" si="73"/>
        <v>48944</v>
      </c>
      <c r="S59" s="75">
        <f t="shared" si="73"/>
        <v>49309</v>
      </c>
      <c r="T59" s="75">
        <f t="shared" si="73"/>
        <v>49674</v>
      </c>
      <c r="U59" s="75">
        <f t="shared" si="73"/>
        <v>50040</v>
      </c>
      <c r="V59" s="75">
        <f t="shared" si="73"/>
        <v>50405</v>
      </c>
      <c r="W59" s="75">
        <f t="shared" si="73"/>
        <v>50770</v>
      </c>
      <c r="X59" s="75">
        <f t="shared" si="73"/>
        <v>51135</v>
      </c>
      <c r="Y59" s="75">
        <f t="shared" si="73"/>
        <v>51501</v>
      </c>
      <c r="Z59" s="75">
        <f t="shared" si="73"/>
        <v>51866</v>
      </c>
    </row>
    <row r="60" spans="2:26" s="538" customFormat="1" ht="15.5">
      <c r="B60" s="659" t="s">
        <v>176</v>
      </c>
      <c r="D60" s="26">
        <f t="shared" ref="D60:D66" si="74">SUM(F60:Z60)</f>
        <v>40000000</v>
      </c>
      <c r="E60" s="703"/>
      <c r="F60" s="819">
        <f>F15</f>
        <v>40000000</v>
      </c>
      <c r="G60" s="819">
        <f t="shared" ref="G60:Z60" si="75">G15</f>
        <v>0</v>
      </c>
      <c r="H60" s="819">
        <f t="shared" si="75"/>
        <v>0</v>
      </c>
      <c r="I60" s="819">
        <f t="shared" si="75"/>
        <v>0</v>
      </c>
      <c r="J60" s="819">
        <f t="shared" si="75"/>
        <v>0</v>
      </c>
      <c r="K60" s="819">
        <f t="shared" si="75"/>
        <v>0</v>
      </c>
      <c r="L60" s="819">
        <f t="shared" si="75"/>
        <v>0</v>
      </c>
      <c r="M60" s="819">
        <f t="shared" si="75"/>
        <v>0</v>
      </c>
      <c r="N60" s="819">
        <f t="shared" si="75"/>
        <v>0</v>
      </c>
      <c r="O60" s="819">
        <f t="shared" si="75"/>
        <v>0</v>
      </c>
      <c r="P60" s="819">
        <f t="shared" si="75"/>
        <v>0</v>
      </c>
      <c r="Q60" s="819">
        <f t="shared" si="75"/>
        <v>0</v>
      </c>
      <c r="R60" s="819">
        <f t="shared" si="75"/>
        <v>0</v>
      </c>
      <c r="S60" s="819">
        <f t="shared" si="75"/>
        <v>0</v>
      </c>
      <c r="T60" s="819">
        <f t="shared" si="75"/>
        <v>0</v>
      </c>
      <c r="U60" s="819">
        <f t="shared" si="75"/>
        <v>0</v>
      </c>
      <c r="V60" s="819">
        <f t="shared" si="75"/>
        <v>0</v>
      </c>
      <c r="W60" s="819">
        <f t="shared" si="75"/>
        <v>0</v>
      </c>
      <c r="X60" s="819">
        <f t="shared" si="75"/>
        <v>0</v>
      </c>
      <c r="Y60" s="819">
        <f t="shared" si="75"/>
        <v>0</v>
      </c>
      <c r="Z60" s="819">
        <f t="shared" si="75"/>
        <v>0</v>
      </c>
    </row>
    <row r="61" spans="2:26" s="538" customFormat="1" ht="15.5">
      <c r="B61" s="659" t="s">
        <v>638</v>
      </c>
      <c r="D61" s="26">
        <f t="shared" ref="D61" si="76">SUM(F61:Z61)</f>
        <v>4058107</v>
      </c>
      <c r="E61" s="703"/>
      <c r="F61" s="819">
        <f t="shared" ref="F61:Z61" si="77">F16</f>
        <v>4058107</v>
      </c>
      <c r="G61" s="819">
        <f t="shared" si="77"/>
        <v>0</v>
      </c>
      <c r="H61" s="819">
        <f t="shared" si="77"/>
        <v>0</v>
      </c>
      <c r="I61" s="819">
        <f t="shared" si="77"/>
        <v>0</v>
      </c>
      <c r="J61" s="819">
        <f t="shared" si="77"/>
        <v>0</v>
      </c>
      <c r="K61" s="819">
        <f t="shared" si="77"/>
        <v>0</v>
      </c>
      <c r="L61" s="819">
        <f t="shared" si="77"/>
        <v>0</v>
      </c>
      <c r="M61" s="819">
        <f t="shared" si="77"/>
        <v>0</v>
      </c>
      <c r="N61" s="819">
        <f t="shared" si="77"/>
        <v>0</v>
      </c>
      <c r="O61" s="819">
        <f t="shared" si="77"/>
        <v>0</v>
      </c>
      <c r="P61" s="819">
        <f t="shared" si="77"/>
        <v>0</v>
      </c>
      <c r="Q61" s="819">
        <f t="shared" si="77"/>
        <v>0</v>
      </c>
      <c r="R61" s="819">
        <f t="shared" si="77"/>
        <v>0</v>
      </c>
      <c r="S61" s="819">
        <f t="shared" si="77"/>
        <v>0</v>
      </c>
      <c r="T61" s="819">
        <f t="shared" si="77"/>
        <v>0</v>
      </c>
      <c r="U61" s="819">
        <f t="shared" si="77"/>
        <v>0</v>
      </c>
      <c r="V61" s="819">
        <f t="shared" si="77"/>
        <v>0</v>
      </c>
      <c r="W61" s="819">
        <f t="shared" si="77"/>
        <v>0</v>
      </c>
      <c r="X61" s="819">
        <f t="shared" si="77"/>
        <v>0</v>
      </c>
      <c r="Y61" s="819">
        <f t="shared" si="77"/>
        <v>0</v>
      </c>
      <c r="Z61" s="819">
        <f t="shared" si="77"/>
        <v>0</v>
      </c>
    </row>
    <row r="62" spans="2:26" s="21" customFormat="1" ht="15.5">
      <c r="B62" s="15" t="s">
        <v>312</v>
      </c>
      <c r="D62" s="26">
        <f t="shared" si="74"/>
        <v>117834510.85754186</v>
      </c>
      <c r="E62" s="26"/>
      <c r="F62" s="819">
        <f t="shared" ref="F62:Z62" si="78">F17</f>
        <v>0</v>
      </c>
      <c r="G62" s="819">
        <f t="shared" si="78"/>
        <v>0</v>
      </c>
      <c r="H62" s="819">
        <f t="shared" si="78"/>
        <v>5803911.2099087201</v>
      </c>
      <c r="I62" s="819">
        <f t="shared" si="78"/>
        <v>44981034.314584278</v>
      </c>
      <c r="J62" s="819">
        <f t="shared" si="78"/>
        <v>0</v>
      </c>
      <c r="K62" s="819">
        <f t="shared" si="78"/>
        <v>67049565.333048873</v>
      </c>
      <c r="L62" s="819">
        <f t="shared" si="78"/>
        <v>0</v>
      </c>
      <c r="M62" s="819">
        <f t="shared" si="78"/>
        <v>0</v>
      </c>
      <c r="N62" s="819">
        <f t="shared" si="78"/>
        <v>0</v>
      </c>
      <c r="O62" s="819">
        <f t="shared" si="78"/>
        <v>0</v>
      </c>
      <c r="P62" s="819">
        <f t="shared" si="78"/>
        <v>0</v>
      </c>
      <c r="Q62" s="819">
        <f t="shared" si="78"/>
        <v>0</v>
      </c>
      <c r="R62" s="819">
        <f t="shared" si="78"/>
        <v>0</v>
      </c>
      <c r="S62" s="819">
        <f t="shared" si="78"/>
        <v>0</v>
      </c>
      <c r="T62" s="819">
        <f t="shared" si="78"/>
        <v>0</v>
      </c>
      <c r="U62" s="819">
        <f t="shared" si="78"/>
        <v>0</v>
      </c>
      <c r="V62" s="819">
        <f t="shared" si="78"/>
        <v>0</v>
      </c>
      <c r="W62" s="819">
        <f t="shared" si="78"/>
        <v>0</v>
      </c>
      <c r="X62" s="819">
        <f t="shared" si="78"/>
        <v>0</v>
      </c>
      <c r="Y62" s="819">
        <f t="shared" si="78"/>
        <v>0</v>
      </c>
      <c r="Z62" s="819">
        <f t="shared" si="78"/>
        <v>0</v>
      </c>
    </row>
    <row r="63" spans="2:26" s="21" customFormat="1" ht="15.5">
      <c r="B63" s="15" t="s">
        <v>313</v>
      </c>
      <c r="D63" s="26">
        <f t="shared" si="74"/>
        <v>11076000</v>
      </c>
      <c r="E63" s="26"/>
      <c r="F63" s="819">
        <f t="shared" ref="F63:Z63" si="79">F18</f>
        <v>0</v>
      </c>
      <c r="G63" s="819">
        <f t="shared" si="79"/>
        <v>0</v>
      </c>
      <c r="H63" s="819">
        <f t="shared" si="79"/>
        <v>5538000</v>
      </c>
      <c r="I63" s="819">
        <f t="shared" si="79"/>
        <v>0</v>
      </c>
      <c r="J63" s="819">
        <f t="shared" si="79"/>
        <v>0</v>
      </c>
      <c r="K63" s="819">
        <f t="shared" si="79"/>
        <v>5538000</v>
      </c>
      <c r="L63" s="819">
        <f t="shared" si="79"/>
        <v>0</v>
      </c>
      <c r="M63" s="819">
        <f t="shared" si="79"/>
        <v>0</v>
      </c>
      <c r="N63" s="819">
        <f t="shared" si="79"/>
        <v>0</v>
      </c>
      <c r="O63" s="819">
        <f t="shared" si="79"/>
        <v>0</v>
      </c>
      <c r="P63" s="819">
        <f t="shared" si="79"/>
        <v>0</v>
      </c>
      <c r="Q63" s="819">
        <f t="shared" si="79"/>
        <v>0</v>
      </c>
      <c r="R63" s="819">
        <f t="shared" si="79"/>
        <v>0</v>
      </c>
      <c r="S63" s="819">
        <f t="shared" si="79"/>
        <v>0</v>
      </c>
      <c r="T63" s="819">
        <f t="shared" si="79"/>
        <v>0</v>
      </c>
      <c r="U63" s="819">
        <f t="shared" si="79"/>
        <v>0</v>
      </c>
      <c r="V63" s="819">
        <f t="shared" si="79"/>
        <v>0</v>
      </c>
      <c r="W63" s="819">
        <f t="shared" si="79"/>
        <v>0</v>
      </c>
      <c r="X63" s="819">
        <f t="shared" si="79"/>
        <v>0</v>
      </c>
      <c r="Y63" s="819">
        <f t="shared" si="79"/>
        <v>0</v>
      </c>
      <c r="Z63" s="819">
        <f t="shared" si="79"/>
        <v>0</v>
      </c>
    </row>
    <row r="64" spans="2:26" s="21" customFormat="1" ht="15.5">
      <c r="B64" s="15" t="s">
        <v>314</v>
      </c>
      <c r="D64" s="26">
        <f t="shared" si="74"/>
        <v>0</v>
      </c>
      <c r="E64" s="26"/>
      <c r="F64" s="819">
        <f t="shared" ref="F64:Z64" si="80">F19</f>
        <v>0</v>
      </c>
      <c r="G64" s="819">
        <f t="shared" si="80"/>
        <v>0</v>
      </c>
      <c r="H64" s="819">
        <f t="shared" si="80"/>
        <v>0</v>
      </c>
      <c r="I64" s="819">
        <f t="shared" si="80"/>
        <v>0</v>
      </c>
      <c r="J64" s="819">
        <f t="shared" si="80"/>
        <v>0</v>
      </c>
      <c r="K64" s="819">
        <f t="shared" si="80"/>
        <v>0</v>
      </c>
      <c r="L64" s="819">
        <f t="shared" si="80"/>
        <v>0</v>
      </c>
      <c r="M64" s="819">
        <f t="shared" si="80"/>
        <v>0</v>
      </c>
      <c r="N64" s="819">
        <f t="shared" si="80"/>
        <v>0</v>
      </c>
      <c r="O64" s="819">
        <f t="shared" si="80"/>
        <v>0</v>
      </c>
      <c r="P64" s="819">
        <f t="shared" si="80"/>
        <v>0</v>
      </c>
      <c r="Q64" s="819">
        <f t="shared" si="80"/>
        <v>0</v>
      </c>
      <c r="R64" s="819">
        <f t="shared" si="80"/>
        <v>0</v>
      </c>
      <c r="S64" s="819">
        <f t="shared" si="80"/>
        <v>0</v>
      </c>
      <c r="T64" s="819">
        <f t="shared" si="80"/>
        <v>0</v>
      </c>
      <c r="U64" s="819">
        <f t="shared" si="80"/>
        <v>0</v>
      </c>
      <c r="V64" s="819">
        <f t="shared" si="80"/>
        <v>0</v>
      </c>
      <c r="W64" s="819">
        <f t="shared" si="80"/>
        <v>0</v>
      </c>
      <c r="X64" s="819">
        <f t="shared" si="80"/>
        <v>0</v>
      </c>
      <c r="Y64" s="819">
        <f t="shared" si="80"/>
        <v>0</v>
      </c>
      <c r="Z64" s="819">
        <f t="shared" si="80"/>
        <v>0</v>
      </c>
    </row>
    <row r="65" spans="2:26" s="21" customFormat="1" ht="15.5">
      <c r="B65" s="21" t="s">
        <v>639</v>
      </c>
      <c r="D65" s="26">
        <f t="shared" si="74"/>
        <v>67748080</v>
      </c>
      <c r="E65" s="26"/>
      <c r="F65" s="819">
        <f t="shared" ref="F65:Z65" si="81">F20</f>
        <v>67748080</v>
      </c>
      <c r="G65" s="819">
        <f t="shared" si="81"/>
        <v>0</v>
      </c>
      <c r="H65" s="819">
        <f t="shared" si="81"/>
        <v>0</v>
      </c>
      <c r="I65" s="819">
        <f t="shared" si="81"/>
        <v>0</v>
      </c>
      <c r="J65" s="819">
        <f t="shared" si="81"/>
        <v>0</v>
      </c>
      <c r="K65" s="819">
        <f t="shared" si="81"/>
        <v>0</v>
      </c>
      <c r="L65" s="819">
        <f t="shared" si="81"/>
        <v>0</v>
      </c>
      <c r="M65" s="819">
        <f t="shared" si="81"/>
        <v>0</v>
      </c>
      <c r="N65" s="819">
        <f t="shared" si="81"/>
        <v>0</v>
      </c>
      <c r="O65" s="819">
        <f t="shared" si="81"/>
        <v>0</v>
      </c>
      <c r="P65" s="819">
        <f t="shared" si="81"/>
        <v>0</v>
      </c>
      <c r="Q65" s="819">
        <f t="shared" si="81"/>
        <v>0</v>
      </c>
      <c r="R65" s="819">
        <f t="shared" si="81"/>
        <v>0</v>
      </c>
      <c r="S65" s="819">
        <f t="shared" si="81"/>
        <v>0</v>
      </c>
      <c r="T65" s="819">
        <f t="shared" si="81"/>
        <v>0</v>
      </c>
      <c r="U65" s="819">
        <f t="shared" si="81"/>
        <v>0</v>
      </c>
      <c r="V65" s="819">
        <f t="shared" si="81"/>
        <v>0</v>
      </c>
      <c r="W65" s="819">
        <f t="shared" si="81"/>
        <v>0</v>
      </c>
      <c r="X65" s="819">
        <f t="shared" si="81"/>
        <v>0</v>
      </c>
      <c r="Y65" s="819">
        <f t="shared" si="81"/>
        <v>0</v>
      </c>
      <c r="Z65" s="819">
        <f t="shared" si="81"/>
        <v>0</v>
      </c>
    </row>
    <row r="66" spans="2:26" s="21" customFormat="1" ht="15.5">
      <c r="B66" s="15" t="s">
        <v>270</v>
      </c>
      <c r="D66" s="26">
        <f t="shared" si="74"/>
        <v>0</v>
      </c>
      <c r="E66" s="26"/>
      <c r="F66" s="819">
        <v>0</v>
      </c>
      <c r="G66" s="819">
        <v>0</v>
      </c>
      <c r="H66" s="819">
        <v>0</v>
      </c>
      <c r="I66" s="819">
        <v>0</v>
      </c>
      <c r="J66" s="819">
        <v>0</v>
      </c>
      <c r="K66" s="819">
        <v>0</v>
      </c>
      <c r="L66" s="819">
        <v>0</v>
      </c>
      <c r="M66" s="819">
        <v>0</v>
      </c>
      <c r="N66" s="819">
        <v>0</v>
      </c>
      <c r="O66" s="819">
        <v>0</v>
      </c>
      <c r="P66" s="819">
        <v>0</v>
      </c>
      <c r="Q66" s="819">
        <v>0</v>
      </c>
      <c r="R66" s="819">
        <v>0</v>
      </c>
      <c r="S66" s="819">
        <v>0</v>
      </c>
      <c r="T66" s="819">
        <v>0</v>
      </c>
      <c r="U66" s="819">
        <v>0</v>
      </c>
      <c r="V66" s="819">
        <v>0</v>
      </c>
      <c r="W66" s="819">
        <v>0</v>
      </c>
      <c r="X66" s="819">
        <v>0</v>
      </c>
      <c r="Y66" s="819">
        <v>0</v>
      </c>
      <c r="Z66" s="819">
        <v>0</v>
      </c>
    </row>
    <row r="67" spans="2:26" s="21" customFormat="1" ht="15.5">
      <c r="B67" s="15" t="s">
        <v>640</v>
      </c>
      <c r="D67" s="26"/>
      <c r="E67" s="26"/>
      <c r="F67" s="819">
        <f ca="1">F57-SUM(F60:F66)</f>
        <v>54668480.506010383</v>
      </c>
      <c r="G67" s="819">
        <f t="shared" ref="G67:P67" ca="1" si="82">G57-SUM(G60:G66)</f>
        <v>227199107.77343929</v>
      </c>
      <c r="H67" s="819">
        <f t="shared" ca="1" si="82"/>
        <v>229467483.90835056</v>
      </c>
      <c r="I67" s="819">
        <f t="shared" ca="1" si="82"/>
        <v>78888905.978200376</v>
      </c>
      <c r="J67" s="819">
        <f t="shared" ca="1" si="82"/>
        <v>175932488.34734696</v>
      </c>
      <c r="K67" s="819">
        <f t="shared" ca="1" si="82"/>
        <v>100659282.32404274</v>
      </c>
      <c r="L67" s="819">
        <f t="shared" ca="1" si="82"/>
        <v>2635340.124798533</v>
      </c>
      <c r="M67" s="819">
        <f t="shared" ca="1" si="82"/>
        <v>2635340.124798533</v>
      </c>
      <c r="N67" s="819">
        <f t="shared" si="82"/>
        <v>0</v>
      </c>
      <c r="O67" s="819">
        <f t="shared" si="82"/>
        <v>0</v>
      </c>
      <c r="P67" s="819">
        <f t="shared" si="82"/>
        <v>0</v>
      </c>
      <c r="Q67" s="819">
        <f t="shared" ref="Q67:Z67" si="83">Q22</f>
        <v>0</v>
      </c>
      <c r="R67" s="819">
        <f t="shared" si="83"/>
        <v>0</v>
      </c>
      <c r="S67" s="819">
        <f t="shared" si="83"/>
        <v>0</v>
      </c>
      <c r="T67" s="819">
        <f t="shared" si="83"/>
        <v>0</v>
      </c>
      <c r="U67" s="819">
        <f t="shared" si="83"/>
        <v>0</v>
      </c>
      <c r="V67" s="819">
        <f t="shared" si="83"/>
        <v>0</v>
      </c>
      <c r="W67" s="819">
        <f t="shared" si="83"/>
        <v>0</v>
      </c>
      <c r="X67" s="819">
        <f t="shared" si="83"/>
        <v>0</v>
      </c>
      <c r="Y67" s="819">
        <f t="shared" si="83"/>
        <v>0</v>
      </c>
      <c r="Z67" s="819">
        <f t="shared" si="83"/>
        <v>0</v>
      </c>
    </row>
    <row r="68" spans="2:26" s="21" customFormat="1" ht="15.5">
      <c r="B68" s="653" t="s">
        <v>641</v>
      </c>
      <c r="C68" s="653"/>
      <c r="D68" s="544">
        <f ca="1">+SUM(F68:Z68)</f>
        <v>1112803126.9445293</v>
      </c>
      <c r="E68" s="544"/>
      <c r="F68" s="544">
        <f ca="1">SUM(F60:F67)</f>
        <v>166474667.50601038</v>
      </c>
      <c r="G68" s="544">
        <f t="shared" ref="G68:Z68" ca="1" si="84">SUM(G60:G67)</f>
        <v>227199107.77343929</v>
      </c>
      <c r="H68" s="544">
        <f t="shared" ca="1" si="84"/>
        <v>240809395.11825928</v>
      </c>
      <c r="I68" s="544">
        <f t="shared" ca="1" si="84"/>
        <v>123869940.29278466</v>
      </c>
      <c r="J68" s="544">
        <f t="shared" ca="1" si="84"/>
        <v>175932488.34734696</v>
      </c>
      <c r="K68" s="544">
        <f t="shared" ca="1" si="84"/>
        <v>173246847.65709162</v>
      </c>
      <c r="L68" s="544">
        <f t="shared" ca="1" si="84"/>
        <v>2635340.124798533</v>
      </c>
      <c r="M68" s="544">
        <f t="shared" ca="1" si="84"/>
        <v>2635340.124798533</v>
      </c>
      <c r="N68" s="544">
        <f t="shared" si="84"/>
        <v>0</v>
      </c>
      <c r="O68" s="544">
        <f t="shared" si="84"/>
        <v>0</v>
      </c>
      <c r="P68" s="544">
        <f t="shared" si="84"/>
        <v>0</v>
      </c>
      <c r="Q68" s="544">
        <f t="shared" si="84"/>
        <v>0</v>
      </c>
      <c r="R68" s="544">
        <f t="shared" si="84"/>
        <v>0</v>
      </c>
      <c r="S68" s="544">
        <f t="shared" si="84"/>
        <v>0</v>
      </c>
      <c r="T68" s="544">
        <f t="shared" si="84"/>
        <v>0</v>
      </c>
      <c r="U68" s="544">
        <f t="shared" si="84"/>
        <v>0</v>
      </c>
      <c r="V68" s="544">
        <f t="shared" si="84"/>
        <v>0</v>
      </c>
      <c r="W68" s="544">
        <f t="shared" si="84"/>
        <v>0</v>
      </c>
      <c r="X68" s="544">
        <f t="shared" si="84"/>
        <v>0</v>
      </c>
      <c r="Y68" s="544">
        <f t="shared" si="84"/>
        <v>0</v>
      </c>
      <c r="Z68" s="544">
        <f t="shared" si="84"/>
        <v>0</v>
      </c>
    </row>
    <row r="69" spans="2:26" s="21" customFormat="1" ht="15.5"/>
    <row r="70" spans="2:26" s="21" customFormat="1" ht="15.5">
      <c r="B70" s="73" t="s">
        <v>643</v>
      </c>
    </row>
    <row r="71" spans="2:26" s="21" customFormat="1" ht="15.5">
      <c r="B71" s="15" t="s">
        <v>644</v>
      </c>
      <c r="D71" s="26">
        <f ca="1">+SUM(F71:Z71)</f>
        <v>-872086429.0869875</v>
      </c>
      <c r="E71" s="26"/>
      <c r="F71" s="16">
        <f ca="1">-F67</f>
        <v>-54668480.506010383</v>
      </c>
      <c r="G71" s="16">
        <f t="shared" ref="G71:P71" ca="1" si="85">-G67</f>
        <v>-227199107.77343929</v>
      </c>
      <c r="H71" s="16">
        <f t="shared" ca="1" si="85"/>
        <v>-229467483.90835056</v>
      </c>
      <c r="I71" s="16">
        <f t="shared" ca="1" si="85"/>
        <v>-78888905.978200376</v>
      </c>
      <c r="J71" s="16">
        <f t="shared" ca="1" si="85"/>
        <v>-175932488.34734696</v>
      </c>
      <c r="K71" s="16">
        <f t="shared" ca="1" si="85"/>
        <v>-100659282.32404274</v>
      </c>
      <c r="L71" s="16">
        <f t="shared" ca="1" si="85"/>
        <v>-2635340.124798533</v>
      </c>
      <c r="M71" s="16">
        <f t="shared" ca="1" si="85"/>
        <v>-2635340.124798533</v>
      </c>
      <c r="N71" s="16">
        <f t="shared" si="85"/>
        <v>0</v>
      </c>
      <c r="O71" s="16">
        <f t="shared" si="85"/>
        <v>0</v>
      </c>
      <c r="P71" s="16">
        <f t="shared" si="85"/>
        <v>0</v>
      </c>
      <c r="Q71" s="16">
        <f t="shared" ref="Q71:Z71" si="86">-Q67</f>
        <v>0</v>
      </c>
      <c r="R71" s="16">
        <f t="shared" si="86"/>
        <v>0</v>
      </c>
      <c r="S71" s="16">
        <f t="shared" si="86"/>
        <v>0</v>
      </c>
      <c r="T71" s="16">
        <f t="shared" si="86"/>
        <v>0</v>
      </c>
      <c r="U71" s="16">
        <f t="shared" si="86"/>
        <v>0</v>
      </c>
      <c r="V71" s="16">
        <f t="shared" si="86"/>
        <v>0</v>
      </c>
      <c r="W71" s="16">
        <f t="shared" si="86"/>
        <v>0</v>
      </c>
      <c r="X71" s="16">
        <f t="shared" si="86"/>
        <v>0</v>
      </c>
      <c r="Y71" s="16">
        <f t="shared" si="86"/>
        <v>0</v>
      </c>
      <c r="Z71" s="16">
        <f t="shared" si="86"/>
        <v>0</v>
      </c>
    </row>
    <row r="72" spans="2:26" s="21" customFormat="1" ht="15.5">
      <c r="B72" s="15" t="s">
        <v>645</v>
      </c>
      <c r="D72" s="703">
        <f ca="1">+SUM(F72:Z72)</f>
        <v>1876830542.3787427</v>
      </c>
      <c r="E72" s="26"/>
      <c r="F72" s="16">
        <f>F42+F47</f>
        <v>0</v>
      </c>
      <c r="G72" s="16">
        <f t="shared" ref="G72:P72" ca="1" si="87">G42+G47</f>
        <v>0</v>
      </c>
      <c r="H72" s="16">
        <f t="shared" ca="1" si="87"/>
        <v>0</v>
      </c>
      <c r="I72" s="16">
        <f t="shared" ca="1" si="87"/>
        <v>13013390.367608579</v>
      </c>
      <c r="J72" s="16">
        <f t="shared" ca="1" si="87"/>
        <v>39995302.207394779</v>
      </c>
      <c r="K72" s="16">
        <f t="shared" ca="1" si="87"/>
        <v>55152028.130929694</v>
      </c>
      <c r="L72" s="16">
        <f t="shared" ca="1" si="87"/>
        <v>67351266.1230717</v>
      </c>
      <c r="M72" s="16">
        <f t="shared" ca="1" si="87"/>
        <v>80559350.205973193</v>
      </c>
      <c r="N72" s="16">
        <f t="shared" ca="1" si="87"/>
        <v>81586198.150295094</v>
      </c>
      <c r="O72" s="16">
        <f t="shared" ca="1" si="87"/>
        <v>83067670.525405616</v>
      </c>
      <c r="P72" s="16">
        <f t="shared" ca="1" si="87"/>
        <v>1456105336.6680641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</row>
    <row r="73" spans="2:26" s="21" customFormat="1" ht="15.5">
      <c r="B73" s="653" t="s">
        <v>646</v>
      </c>
      <c r="C73" s="653"/>
      <c r="D73" s="544">
        <f ca="1">+SUM(F73:Z73)</f>
        <v>1004744113.2917552</v>
      </c>
      <c r="E73" s="544"/>
      <c r="F73" s="544">
        <f ca="1">SUM(F71:F72)</f>
        <v>-54668480.506010383</v>
      </c>
      <c r="G73" s="544">
        <f t="shared" ref="G73:P73" ca="1" si="88">SUM(G71:G72)</f>
        <v>-227199107.77343929</v>
      </c>
      <c r="H73" s="544">
        <f t="shared" ca="1" si="88"/>
        <v>-229467483.90835056</v>
      </c>
      <c r="I73" s="544">
        <f t="shared" ca="1" si="88"/>
        <v>-65875515.610591799</v>
      </c>
      <c r="J73" s="544">
        <f t="shared" ca="1" si="88"/>
        <v>-135937186.13995218</v>
      </c>
      <c r="K73" s="544">
        <f t="shared" ca="1" si="88"/>
        <v>-45507254.193113044</v>
      </c>
      <c r="L73" s="544">
        <f t="shared" ca="1" si="88"/>
        <v>64715925.998273164</v>
      </c>
      <c r="M73" s="544">
        <f t="shared" ca="1" si="88"/>
        <v>77924010.081174657</v>
      </c>
      <c r="N73" s="544">
        <f t="shared" ca="1" si="88"/>
        <v>81586198.150295094</v>
      </c>
      <c r="O73" s="544">
        <f t="shared" ca="1" si="88"/>
        <v>83067670.525405616</v>
      </c>
      <c r="P73" s="544">
        <f t="shared" ca="1" si="88"/>
        <v>1456105336.6680641</v>
      </c>
      <c r="Q73" s="544">
        <f t="shared" ref="Q73:Z73" si="89">+SUM(Q71:Q72)</f>
        <v>0</v>
      </c>
      <c r="R73" s="544">
        <f t="shared" si="89"/>
        <v>0</v>
      </c>
      <c r="S73" s="544">
        <f t="shared" si="89"/>
        <v>0</v>
      </c>
      <c r="T73" s="544">
        <f t="shared" si="89"/>
        <v>0</v>
      </c>
      <c r="U73" s="544">
        <f t="shared" si="89"/>
        <v>0</v>
      </c>
      <c r="V73" s="544">
        <f t="shared" si="89"/>
        <v>0</v>
      </c>
      <c r="W73" s="544">
        <f t="shared" si="89"/>
        <v>0</v>
      </c>
      <c r="X73" s="544">
        <f t="shared" si="89"/>
        <v>0</v>
      </c>
      <c r="Y73" s="544">
        <f t="shared" si="89"/>
        <v>0</v>
      </c>
      <c r="Z73" s="544">
        <f t="shared" si="89"/>
        <v>0</v>
      </c>
    </row>
    <row r="74" spans="2:26" s="21" customFormat="1" ht="15.5"/>
    <row r="75" spans="2:26" s="21" customFormat="1" ht="15.5">
      <c r="B75" s="672" t="s">
        <v>2</v>
      </c>
      <c r="C75" s="672"/>
      <c r="D75" s="673">
        <f ca="1">+IRR(F73:P73)</f>
        <v>0.1200532247689523</v>
      </c>
      <c r="E75" s="538"/>
    </row>
    <row r="76" spans="2:26" s="21" customFormat="1" ht="15.5">
      <c r="B76" s="655" t="s">
        <v>647</v>
      </c>
      <c r="C76" s="528"/>
      <c r="D76" s="658">
        <f ca="1">+SUM(F73:Z73)</f>
        <v>1004744113.2917552</v>
      </c>
      <c r="E76" s="538"/>
    </row>
    <row r="77" spans="2:26" s="21" customFormat="1" ht="15.5">
      <c r="B77" s="674" t="s">
        <v>14</v>
      </c>
      <c r="C77" s="531"/>
      <c r="D77" s="675">
        <f ca="1">+D72/-D71</f>
        <v>2.1521152947462454</v>
      </c>
      <c r="E77" s="53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Z59"/>
  <sheetViews>
    <sheetView showGridLines="0" topLeftCell="C14" zoomScaleNormal="100" workbookViewId="0">
      <selection activeCell="E58" sqref="E58"/>
    </sheetView>
  </sheetViews>
  <sheetFormatPr defaultColWidth="14.453125" defaultRowHeight="15.5"/>
  <cols>
    <col min="1" max="1" width="8.453125" style="21" customWidth="1"/>
    <col min="2" max="3" width="14.453125" style="21"/>
    <col min="4" max="4" width="16.453125" style="21" bestFit="1" customWidth="1"/>
    <col min="5" max="5" width="14.453125" style="21"/>
    <col min="6" max="8" width="17.453125" style="21" bestFit="1" customWidth="1"/>
    <col min="9" max="9" width="15.453125" style="21" bestFit="1" customWidth="1"/>
    <col min="10" max="10" width="17.453125" style="21" bestFit="1" customWidth="1"/>
    <col min="11" max="11" width="19.26953125" style="21" customWidth="1"/>
    <col min="12" max="12" width="15.453125" style="21" bestFit="1" customWidth="1"/>
    <col min="13" max="15" width="17.453125" style="21" bestFit="1" customWidth="1"/>
    <col min="16" max="16" width="18.1796875" style="21" bestFit="1" customWidth="1"/>
    <col min="17" max="17" width="18.7265625" style="21" bestFit="1" customWidth="1"/>
    <col min="18" max="26" width="14.7265625" style="21" bestFit="1" customWidth="1"/>
    <col min="27" max="16384" width="14.453125" style="21"/>
  </cols>
  <sheetData>
    <row r="1" spans="2:26" ht="51.75" customHeight="1">
      <c r="F1" s="71">
        <f>+YEAR(F2)</f>
        <v>2021</v>
      </c>
      <c r="G1" s="71">
        <f t="shared" ref="G1:Z1" si="0">+YEAR(G2)</f>
        <v>2022</v>
      </c>
      <c r="H1" s="71">
        <f t="shared" si="0"/>
        <v>2023</v>
      </c>
      <c r="I1" s="71">
        <f t="shared" si="0"/>
        <v>2024</v>
      </c>
      <c r="J1" s="71">
        <f t="shared" si="0"/>
        <v>2025</v>
      </c>
      <c r="K1" s="71">
        <f t="shared" si="0"/>
        <v>2026</v>
      </c>
      <c r="L1" s="71">
        <f t="shared" si="0"/>
        <v>2027</v>
      </c>
      <c r="M1" s="71">
        <f t="shared" si="0"/>
        <v>2028</v>
      </c>
      <c r="N1" s="71">
        <f t="shared" si="0"/>
        <v>2029</v>
      </c>
      <c r="O1" s="71">
        <f t="shared" si="0"/>
        <v>2030</v>
      </c>
      <c r="P1" s="71">
        <f t="shared" si="0"/>
        <v>2031</v>
      </c>
      <c r="Q1" s="71">
        <f t="shared" si="0"/>
        <v>2032</v>
      </c>
      <c r="R1" s="71">
        <f t="shared" si="0"/>
        <v>2033</v>
      </c>
      <c r="S1" s="71">
        <f t="shared" si="0"/>
        <v>2034</v>
      </c>
      <c r="T1" s="71">
        <f t="shared" si="0"/>
        <v>2035</v>
      </c>
      <c r="U1" s="71">
        <f t="shared" si="0"/>
        <v>2036</v>
      </c>
      <c r="V1" s="71">
        <f t="shared" si="0"/>
        <v>2037</v>
      </c>
      <c r="W1" s="71">
        <f t="shared" si="0"/>
        <v>2038</v>
      </c>
      <c r="X1" s="71">
        <f t="shared" si="0"/>
        <v>2039</v>
      </c>
      <c r="Y1" s="71">
        <f t="shared" si="0"/>
        <v>2040</v>
      </c>
      <c r="Z1" s="71">
        <f t="shared" si="0"/>
        <v>2041</v>
      </c>
    </row>
    <row r="2" spans="2:26">
      <c r="B2" s="73" t="s">
        <v>652</v>
      </c>
      <c r="F2" s="75">
        <f>+Assumptions!$E$22</f>
        <v>44561</v>
      </c>
      <c r="G2" s="75">
        <f>+EOMONTH(F2,12)</f>
        <v>44926</v>
      </c>
      <c r="H2" s="75">
        <f t="shared" ref="H2:Z2" si="1">+EOMONTH(G2,12)</f>
        <v>45291</v>
      </c>
      <c r="I2" s="75">
        <f t="shared" si="1"/>
        <v>45657</v>
      </c>
      <c r="J2" s="75">
        <f t="shared" si="1"/>
        <v>46022</v>
      </c>
      <c r="K2" s="75">
        <f t="shared" si="1"/>
        <v>46387</v>
      </c>
      <c r="L2" s="75">
        <f t="shared" si="1"/>
        <v>46752</v>
      </c>
      <c r="M2" s="75">
        <f t="shared" si="1"/>
        <v>47118</v>
      </c>
      <c r="N2" s="75">
        <f t="shared" si="1"/>
        <v>47483</v>
      </c>
      <c r="O2" s="75">
        <f t="shared" si="1"/>
        <v>47848</v>
      </c>
      <c r="P2" s="75">
        <f t="shared" si="1"/>
        <v>48213</v>
      </c>
      <c r="Q2" s="75">
        <f t="shared" si="1"/>
        <v>48579</v>
      </c>
      <c r="R2" s="75">
        <f t="shared" si="1"/>
        <v>48944</v>
      </c>
      <c r="S2" s="75">
        <f t="shared" si="1"/>
        <v>49309</v>
      </c>
      <c r="T2" s="75">
        <f t="shared" si="1"/>
        <v>49674</v>
      </c>
      <c r="U2" s="75">
        <f t="shared" si="1"/>
        <v>50040</v>
      </c>
      <c r="V2" s="75">
        <f t="shared" si="1"/>
        <v>50405</v>
      </c>
      <c r="W2" s="75">
        <f t="shared" si="1"/>
        <v>50770</v>
      </c>
      <c r="X2" s="75">
        <f t="shared" si="1"/>
        <v>51135</v>
      </c>
      <c r="Y2" s="75">
        <f t="shared" si="1"/>
        <v>51501</v>
      </c>
      <c r="Z2" s="75">
        <f t="shared" si="1"/>
        <v>51866</v>
      </c>
    </row>
    <row r="3" spans="2:26">
      <c r="B3" s="15" t="s">
        <v>3</v>
      </c>
      <c r="D3" s="26">
        <f ca="1">+SUM(F3:Z3)</f>
        <v>206519645.69165057</v>
      </c>
      <c r="F3" s="16">
        <f ca="1">+IFERROR(INDEX('Phase I Pro Forma'!$F$310:$Z$310,1,MATCH('Cash Flow Roll-up'!F$2,'Phase I Pro Forma'!$F$284:$Z$284,0)),0)</f>
        <v>6503044.4939896166</v>
      </c>
      <c r="G3" s="16">
        <f ca="1">+IFERROR(INDEX('Phase I Pro Forma'!$F$310:$Z$310,1,MATCH('Cash Flow Roll-up'!G$2,'Phase I Pro Forma'!$F$284:$Z$284,0)),0)</f>
        <v>-138490120.62093925</v>
      </c>
      <c r="H3" s="16">
        <f ca="1">+IFERROR(INDEX('Phase I Pro Forma'!$F$310:$Z$310,1,MATCH('Cash Flow Roll-up'!H$2,'Phase I Pro Forma'!$F$284:$Z$284,0)),0)</f>
        <v>-127148209.41103053</v>
      </c>
      <c r="I3" s="16">
        <f ca="1">+IFERROR(INDEX('Phase I Pro Forma'!$F$310:$Z$310,1,MATCH('Cash Flow Roll-up'!I$2,'Phase I Pro Forma'!$F$284:$Z$284,0)),0)</f>
        <v>169990408.86232302</v>
      </c>
      <c r="J3" s="16">
        <f ca="1">+IFERROR(INDEX('Phase I Pro Forma'!$F$310:$Z$310,1,MATCH('Cash Flow Roll-up'!J$2,'Phase I Pro Forma'!$F$284:$Z$284,0)),0)</f>
        <v>275785.26228625188</v>
      </c>
      <c r="K3" s="16">
        <f ca="1">+IFERROR(INDEX('Phase I Pro Forma'!$F$310:$Z$310,1,MATCH('Cash Flow Roll-up'!K$2,'Phase I Pro Forma'!$F$284:$Z$284,0)),0)</f>
        <v>3187886.3420144175</v>
      </c>
      <c r="L3" s="16">
        <f ca="1">+IFERROR(INDEX('Phase I Pro Forma'!$F$310:$Z$310,1,MATCH('Cash Flow Roll-up'!L$2,'Phase I Pro Forma'!$F$284:$Z$284,0)),0)</f>
        <v>10717207.721793357</v>
      </c>
      <c r="M3" s="16">
        <f ca="1">+IFERROR(INDEX('Phase I Pro Forma'!$F$310:$Z$310,1,MATCH('Cash Flow Roll-up'!M$2,'Phase I Pro Forma'!$F$284:$Z$284,0)),0)</f>
        <v>10934583.583898494</v>
      </c>
      <c r="N3" s="16">
        <f ca="1">+IFERROR(INDEX('Phase I Pro Forma'!$F$310:$Z$310,1,MATCH('Cash Flow Roll-up'!N$2,'Phase I Pro Forma'!$F$284:$Z$284,0)),0)</f>
        <v>11130743.696651906</v>
      </c>
      <c r="O3" s="16">
        <f ca="1">+IFERROR(INDEX('Phase I Pro Forma'!$F$310:$Z$310,1,MATCH('Cash Flow Roll-up'!O$2,'Phase I Pro Forma'!$F$284:$Z$284,0)),0)</f>
        <v>11346709.331483688</v>
      </c>
      <c r="P3" s="16">
        <f ca="1">+IFERROR(INDEX('Phase I Pro Forma'!$F$310:$Z$310,1,MATCH('Cash Flow Roll-up'!P$2,'Phase I Pro Forma'!$F$284:$Z$284,0)),0)</f>
        <v>248071606.42917961</v>
      </c>
      <c r="Q3" s="16">
        <f>+IFERROR(INDEX('Phase I Pro Forma'!$F$310:$Z$310,1,MATCH('Cash Flow Roll-up'!Q$2,'Phase I Pro Forma'!$F$284:$Z$284,0)),0)</f>
        <v>0</v>
      </c>
      <c r="R3" s="16">
        <f>+IFERROR(INDEX('Phase I Pro Forma'!$F$310:$Z$310,1,MATCH('Cash Flow Roll-up'!R$2,'Phase I Pro Forma'!$F$284:$Z$284,0)),0)</f>
        <v>0</v>
      </c>
      <c r="S3" s="16">
        <f>+IFERROR(INDEX('Phase I Pro Forma'!$F$310:$Z$310,1,MATCH('Cash Flow Roll-up'!S$2,'Phase I Pro Forma'!$F$284:$Z$284,0)),0)</f>
        <v>0</v>
      </c>
      <c r="T3" s="16">
        <f>+IFERROR(INDEX('Phase I Pro Forma'!$F$310:$Z$310,1,MATCH('Cash Flow Roll-up'!T$2,'Phase I Pro Forma'!$F$284:$Z$284,0)),0)</f>
        <v>0</v>
      </c>
      <c r="U3" s="16">
        <f>+IFERROR(INDEX('Phase I Pro Forma'!$F$310:$Z$310,1,MATCH('Cash Flow Roll-up'!U$2,'Phase I Pro Forma'!$F$284:$Z$284,0)),0)</f>
        <v>0</v>
      </c>
      <c r="V3" s="16">
        <f>+IFERROR(INDEX('Phase I Pro Forma'!$F$310:$Z$310,1,MATCH('Cash Flow Roll-up'!V$2,'Phase I Pro Forma'!$F$284:$Z$284,0)),0)</f>
        <v>0</v>
      </c>
      <c r="W3" s="16">
        <f>+IFERROR(INDEX('Phase I Pro Forma'!$F$310:$Z$310,1,MATCH('Cash Flow Roll-up'!W$2,'Phase I Pro Forma'!$F$284:$Z$284,0)),0)</f>
        <v>0</v>
      </c>
      <c r="X3" s="16">
        <f>+IFERROR(INDEX('Phase I Pro Forma'!$F$310:$Z$310,1,MATCH('Cash Flow Roll-up'!X$2,'Phase I Pro Forma'!$F$284:$Z$284,0)),0)</f>
        <v>0</v>
      </c>
      <c r="Y3" s="16">
        <f>+IFERROR(INDEX('Phase I Pro Forma'!$F$310:$Z$310,1,MATCH('Cash Flow Roll-up'!Y$2,'Phase I Pro Forma'!$F$284:$Z$284,0)),0)</f>
        <v>0</v>
      </c>
      <c r="Z3" s="16">
        <f>+IFERROR(INDEX('Phase I Pro Forma'!$F$310:$Z$310,1,MATCH('Cash Flow Roll-up'!Z$2,'Phase I Pro Forma'!$F$284:$Z$284,0)),0)</f>
        <v>0</v>
      </c>
    </row>
    <row r="4" spans="2:26">
      <c r="B4" s="15" t="s">
        <v>4</v>
      </c>
      <c r="D4" s="11">
        <f ca="1">+SUM(F4:Z4)</f>
        <v>330079878.94124621</v>
      </c>
      <c r="F4" s="76">
        <f>+IFERROR(INDEX('Phase II Pro Forma'!$F$242:$Z$242,1,MATCH('Cash Flow Roll-up'!F$2,'Phase II Pro Forma'!$F$216:$Z$216,0)),0)</f>
        <v>0</v>
      </c>
      <c r="G4" s="76">
        <f ca="1">+IFERROR(INDEX('Phase II Pro Forma'!$F$242:$Z$242,1,MATCH('Cash Flow Roll-up'!G$2,'Phase II Pro Forma'!$F$216:$Z$216,0)),0)</f>
        <v>-94010286</v>
      </c>
      <c r="H4" s="76">
        <f ca="1">+IFERROR(INDEX('Phase II Pro Forma'!$F$242:$Z$242,1,MATCH('Cash Flow Roll-up'!H$2,'Phase II Pro Forma'!$F$216:$Z$216,0)),0)</f>
        <v>-39401204.724640369</v>
      </c>
      <c r="I4" s="76">
        <f ca="1">+IFERROR(INDEX('Phase II Pro Forma'!$F$242:$Z$242,1,MATCH('Cash Flow Roll-up'!I$2,'Phase II Pro Forma'!$F$216:$Z$216,0)),0)</f>
        <v>-39401204.724640369</v>
      </c>
      <c r="J4" s="76">
        <f ca="1">+IFERROR(INDEX('Phase II Pro Forma'!$F$242:$Z$242,1,MATCH('Cash Flow Roll-up'!J$2,'Phase II Pro Forma'!$F$216:$Z$216,0)),0)</f>
        <v>205535110.54796669</v>
      </c>
      <c r="K4" s="76">
        <f ca="1">+IFERROR(INDEX('Phase II Pro Forma'!$F$242:$Z$242,1,MATCH('Cash Flow Roll-up'!K$2,'Phase II Pro Forma'!$F$216:$Z$216,0)),0)</f>
        <v>4311521.8844202468</v>
      </c>
      <c r="L4" s="76">
        <f ca="1">+IFERROR(INDEX('Phase II Pro Forma'!$F$242:$Z$242,1,MATCH('Cash Flow Roll-up'!L$2,'Phase II Pro Forma'!$F$216:$Z$216,0)),0)</f>
        <v>6397966.3186974339</v>
      </c>
      <c r="M4" s="76">
        <f ca="1">+IFERROR(INDEX('Phase II Pro Forma'!$F$242:$Z$242,1,MATCH('Cash Flow Roll-up'!M$2,'Phase II Pro Forma'!$F$216:$Z$216,0)),0)</f>
        <v>8640304.1386130154</v>
      </c>
      <c r="N4" s="76">
        <f ca="1">+IFERROR(INDEX('Phase II Pro Forma'!$F$242:$Z$242,1,MATCH('Cash Flow Roll-up'!N$2,'Phase II Pro Forma'!$F$216:$Z$216,0)),0)</f>
        <v>8972685.1476414427</v>
      </c>
      <c r="O4" s="76">
        <f ca="1">+IFERROR(INDEX('Phase II Pro Forma'!$F$242:$Z$242,1,MATCH('Cash Flow Roll-up'!O$2,'Phase II Pro Forma'!$F$216:$Z$216,0)),0)</f>
        <v>9314962.9447696544</v>
      </c>
      <c r="P4" s="76">
        <f ca="1">+IFERROR(INDEX('Phase II Pro Forma'!$F$242:$Z$242,1,MATCH('Cash Flow Roll-up'!P$2,'Phase II Pro Forma'!$F$216:$Z$216,0)),0)</f>
        <v>259720023.40841848</v>
      </c>
      <c r="Q4" s="76">
        <f>+IFERROR(INDEX('Phase II Pro Forma'!$F$242:$Z$242,1,MATCH('Cash Flow Roll-up'!Q$2,'Phase II Pro Forma'!$F$216:$Z$216,0)),0)</f>
        <v>0</v>
      </c>
      <c r="R4" s="76">
        <f>+IFERROR(INDEX('Phase II Pro Forma'!$F$242:$Z$242,1,MATCH('Cash Flow Roll-up'!R$2,'Phase II Pro Forma'!$F$216:$Z$216,0)),0)</f>
        <v>0</v>
      </c>
      <c r="S4" s="76">
        <f>+IFERROR(INDEX('Phase II Pro Forma'!$F$242:$Z$242,1,MATCH('Cash Flow Roll-up'!S$2,'Phase II Pro Forma'!$F$216:$Z$216,0)),0)</f>
        <v>0</v>
      </c>
      <c r="T4" s="76">
        <f>+IFERROR(INDEX('Phase II Pro Forma'!$F$242:$Z$242,1,MATCH('Cash Flow Roll-up'!T$2,'Phase II Pro Forma'!$F$216:$Z$216,0)),0)</f>
        <v>0</v>
      </c>
      <c r="U4" s="76">
        <f>+IFERROR(INDEX('Phase II Pro Forma'!$F$242:$Z$242,1,MATCH('Cash Flow Roll-up'!U$2,'Phase II Pro Forma'!$F$216:$Z$216,0)),0)</f>
        <v>0</v>
      </c>
      <c r="V4" s="76">
        <f>+IFERROR(INDEX('Phase II Pro Forma'!$F$242:$Z$242,1,MATCH('Cash Flow Roll-up'!V$2,'Phase II Pro Forma'!$F$216:$Z$216,0)),0)</f>
        <v>0</v>
      </c>
      <c r="W4" s="76">
        <f>+IFERROR(INDEX('Phase II Pro Forma'!$F$242:$Z$242,1,MATCH('Cash Flow Roll-up'!W$2,'Phase II Pro Forma'!$F$216:$Z$216,0)),0)</f>
        <v>0</v>
      </c>
      <c r="X4" s="76">
        <f>+IFERROR(INDEX('Phase II Pro Forma'!$F$242:$Z$242,1,MATCH('Cash Flow Roll-up'!X$2,'Phase II Pro Forma'!$F$216:$Z$216,0)),0)</f>
        <v>0</v>
      </c>
      <c r="Y4" s="76">
        <f>+IFERROR(INDEX('Phase II Pro Forma'!$F$242:$Z$242,1,MATCH('Cash Flow Roll-up'!Y$2,'Phase II Pro Forma'!$F$216:$Z$216,0)),0)</f>
        <v>0</v>
      </c>
      <c r="Z4" s="76">
        <f>+IFERROR(INDEX('Phase II Pro Forma'!$F$242:$Z$242,1,MATCH('Cash Flow Roll-up'!Z$2,'Phase II Pro Forma'!$F$216:$Z$216,0)),0)</f>
        <v>0</v>
      </c>
    </row>
    <row r="5" spans="2:26">
      <c r="B5" s="15" t="s">
        <v>5</v>
      </c>
      <c r="D5" s="11">
        <f ca="1">+SUM(F5:Z5)</f>
        <v>152156394.90323982</v>
      </c>
      <c r="F5" s="76">
        <f>+IFERROR(INDEX('Phase III Pro Forma'!$F$206:$Z$206,1,MATCH('Cash Flow Roll-up'!F$2,'Phase III Pro Forma'!$F$180:$Z$180,0)),0)</f>
        <v>0</v>
      </c>
      <c r="G5" s="76">
        <f>+IFERROR(INDEX('Phase III Pro Forma'!$F$206:$Z$206,1,MATCH('Cash Flow Roll-up'!G$2,'Phase III Pro Forma'!$F$180:$Z$180,0)),0)</f>
        <v>0</v>
      </c>
      <c r="H5" s="76">
        <f>+IFERROR(INDEX('Phase III Pro Forma'!$F$206:$Z$206,1,MATCH('Cash Flow Roll-up'!H$2,'Phase III Pro Forma'!$F$180:$Z$180,0)),0)</f>
        <v>0</v>
      </c>
      <c r="I5" s="76">
        <f ca="1">+IFERROR(INDEX('Phase III Pro Forma'!$F$206:$Z$206,1,MATCH('Cash Flow Roll-up'!I$2,'Phase III Pro Forma'!$F$180:$Z$180,0)),0)</f>
        <v>-11237511.257709347</v>
      </c>
      <c r="J5" s="76">
        <f ca="1">+IFERROR(INDEX('Phase III Pro Forma'!$F$206:$Z$206,1,MATCH('Cash Flow Roll-up'!J$2,'Phase III Pro Forma'!$F$180:$Z$180,0)),0)</f>
        <v>-68589212.879671752</v>
      </c>
      <c r="K5" s="76">
        <f ca="1">+IFERROR(INDEX('Phase III Pro Forma'!$F$206:$Z$206,1,MATCH('Cash Flow Roll-up'!K$2,'Phase III Pro Forma'!$F$180:$Z$180,0)),0)</f>
        <v>0</v>
      </c>
      <c r="L5" s="76">
        <f ca="1">+IFERROR(INDEX('Phase III Pro Forma'!$F$206:$Z$206,1,MATCH('Cash Flow Roll-up'!L$2,'Phase III Pro Forma'!$F$180:$Z$180,0)),0)</f>
        <v>27432010.855420474</v>
      </c>
      <c r="M5" s="76">
        <f ca="1">+IFERROR(INDEX('Phase III Pro Forma'!$F$206:$Z$206,1,MATCH('Cash Flow Roll-up'!M$2,'Phase III Pro Forma'!$F$180:$Z$180,0)),0)</f>
        <v>4261094.7991504502</v>
      </c>
      <c r="N5" s="76">
        <f>+IFERROR(INDEX('Phase III Pro Forma'!$F$206:$Z$206,1,MATCH('Cash Flow Roll-up'!N$2,'Phase III Pro Forma'!$F$180:$Z$180,0)),0)</f>
        <v>7583175.0578151103</v>
      </c>
      <c r="O5" s="76">
        <f>+IFERROR(INDEX('Phase III Pro Forma'!$F$206:$Z$206,1,MATCH('Cash Flow Roll-up'!O$2,'Phase III Pro Forma'!$F$180:$Z$180,0)),0)</f>
        <v>8706143.3109712992</v>
      </c>
      <c r="P5" s="76">
        <f>+IFERROR(INDEX('Phase III Pro Forma'!$F$206:$Z$206,1,MATCH('Cash Flow Roll-up'!P$2,'Phase III Pro Forma'!$F$180:$Z$180,0)),0)</f>
        <v>184000695.01726359</v>
      </c>
      <c r="Q5" s="76">
        <f>+IFERROR(INDEX('Phase III Pro Forma'!$F$206:$Z$206,1,MATCH('Cash Flow Roll-up'!Q$2,'Phase III Pro Forma'!$F$180:$Z$180,0)),0)</f>
        <v>0</v>
      </c>
      <c r="R5" s="76">
        <f>+IFERROR(INDEX('Phase III Pro Forma'!$F$206:$Z$206,1,MATCH('Cash Flow Roll-up'!R$2,'Phase III Pro Forma'!$F$180:$Z$180,0)),0)</f>
        <v>0</v>
      </c>
      <c r="S5" s="76">
        <f>+IFERROR(INDEX('Phase III Pro Forma'!$F$206:$Z$206,1,MATCH('Cash Flow Roll-up'!S$2,'Phase III Pro Forma'!$F$180:$Z$180,0)),0)</f>
        <v>0</v>
      </c>
      <c r="T5" s="76">
        <f>+IFERROR(INDEX('Phase III Pro Forma'!$F$206:$Z$206,1,MATCH('Cash Flow Roll-up'!T$2,'Phase III Pro Forma'!$F$180:$Z$180,0)),0)</f>
        <v>0</v>
      </c>
      <c r="U5" s="76">
        <f>+IFERROR(INDEX('Phase III Pro Forma'!$F$206:$Z$206,1,MATCH('Cash Flow Roll-up'!U$2,'Phase III Pro Forma'!$F$180:$Z$180,0)),0)</f>
        <v>0</v>
      </c>
      <c r="V5" s="76">
        <f>+IFERROR(INDEX('Phase III Pro Forma'!$F$206:$Z$206,1,MATCH('Cash Flow Roll-up'!V$2,'Phase III Pro Forma'!$F$180:$Z$180,0)),0)</f>
        <v>0</v>
      </c>
      <c r="W5" s="76">
        <f>+IFERROR(INDEX('Phase III Pro Forma'!$F$206:$Z$206,1,MATCH('Cash Flow Roll-up'!W$2,'Phase III Pro Forma'!$F$180:$Z$180,0)),0)</f>
        <v>0</v>
      </c>
      <c r="X5" s="76">
        <f>+IFERROR(INDEX('Phase III Pro Forma'!$F$206:$Z$206,1,MATCH('Cash Flow Roll-up'!X$2,'Phase III Pro Forma'!$F$180:$Z$180,0)),0)</f>
        <v>0</v>
      </c>
      <c r="Y5" s="76">
        <f>+IFERROR(INDEX('Phase III Pro Forma'!$F$206:$Z$206,1,MATCH('Cash Flow Roll-up'!Y$2,'Phase III Pro Forma'!$F$180:$Z$180,0)),0)</f>
        <v>0</v>
      </c>
      <c r="Z5" s="76">
        <f>+IFERROR(INDEX('Phase III Pro Forma'!$F$206:$Z$206,1,MATCH('Cash Flow Roll-up'!Z$2,'Phase III Pro Forma'!$F$180:$Z$180,0)),0)</f>
        <v>0</v>
      </c>
    </row>
    <row r="6" spans="2:26">
      <c r="B6" s="543" t="s">
        <v>653</v>
      </c>
      <c r="C6" s="543"/>
      <c r="D6" s="543"/>
      <c r="E6" s="543"/>
      <c r="F6" s="545">
        <f t="shared" ref="F6:Z6" ca="1" si="2">+SUM(F3:F5)</f>
        <v>6503044.4939896166</v>
      </c>
      <c r="G6" s="545">
        <f t="shared" ca="1" si="2"/>
        <v>-232500406.62093925</v>
      </c>
      <c r="H6" s="545">
        <f t="shared" ca="1" si="2"/>
        <v>-166549414.1356709</v>
      </c>
      <c r="I6" s="545">
        <f t="shared" ca="1" si="2"/>
        <v>119351692.87997329</v>
      </c>
      <c r="J6" s="545">
        <f t="shared" ca="1" si="2"/>
        <v>137221682.93058118</v>
      </c>
      <c r="K6" s="545">
        <f t="shared" ca="1" si="2"/>
        <v>7499408.2264346648</v>
      </c>
      <c r="L6" s="545">
        <f t="shared" ca="1" si="2"/>
        <v>44547184.895911261</v>
      </c>
      <c r="M6" s="545">
        <f t="shared" ca="1" si="2"/>
        <v>23835982.52166196</v>
      </c>
      <c r="N6" s="545">
        <f t="shared" ca="1" si="2"/>
        <v>27686603.902108461</v>
      </c>
      <c r="O6" s="545">
        <f t="shared" ca="1" si="2"/>
        <v>29367815.58722464</v>
      </c>
      <c r="P6" s="545">
        <f t="shared" ca="1" si="2"/>
        <v>691792324.85486174</v>
      </c>
      <c r="Q6" s="545">
        <f t="shared" si="2"/>
        <v>0</v>
      </c>
      <c r="R6" s="545">
        <f t="shared" si="2"/>
        <v>0</v>
      </c>
      <c r="S6" s="545">
        <f t="shared" si="2"/>
        <v>0</v>
      </c>
      <c r="T6" s="545">
        <f t="shared" si="2"/>
        <v>0</v>
      </c>
      <c r="U6" s="545">
        <f t="shared" si="2"/>
        <v>0</v>
      </c>
      <c r="V6" s="545">
        <f t="shared" si="2"/>
        <v>0</v>
      </c>
      <c r="W6" s="545">
        <f t="shared" si="2"/>
        <v>0</v>
      </c>
      <c r="X6" s="545">
        <f t="shared" si="2"/>
        <v>0</v>
      </c>
      <c r="Y6" s="545">
        <f t="shared" si="2"/>
        <v>0</v>
      </c>
      <c r="Z6" s="545">
        <f t="shared" si="2"/>
        <v>0</v>
      </c>
    </row>
    <row r="7" spans="2:26"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>
      <c r="B8" s="672" t="s">
        <v>1</v>
      </c>
      <c r="C8" s="672"/>
      <c r="D8" s="673">
        <f ca="1">+IRR(F6:Z6)</f>
        <v>0.18483147207448614</v>
      </c>
    </row>
    <row r="9" spans="2:26">
      <c r="B9" s="674" t="s">
        <v>647</v>
      </c>
      <c r="C9" s="531"/>
      <c r="D9" s="791">
        <f ca="1">+SUM(F6:Z6)</f>
        <v>688755919.53613663</v>
      </c>
    </row>
    <row r="11" spans="2:26">
      <c r="B11" s="73" t="s">
        <v>654</v>
      </c>
    </row>
    <row r="12" spans="2:26">
      <c r="B12" s="15" t="s">
        <v>3</v>
      </c>
      <c r="D12" s="26">
        <f ca="1">+SUM(F12:Z12)</f>
        <v>333797569.70533115</v>
      </c>
      <c r="F12" s="16">
        <f ca="1">+IFERROR(INDEX('Phase I Pro Forma'!$F$353:$Z$353,1,MATCH('Cash Flow Roll-up'!F$2,'Phase I Pro Forma'!$F$284:$Z$284,0)),0)</f>
        <v>-54668480.506010383</v>
      </c>
      <c r="G12" s="16">
        <f ca="1">+IFERROR(INDEX('Phase I Pro Forma'!$F$353:$Z$353,1,MATCH('Cash Flow Roll-up'!G$2,'Phase I Pro Forma'!$F$284:$Z$284,0)),0)</f>
        <v>-133188821.77343926</v>
      </c>
      <c r="H12" s="16">
        <f ca="1">+IFERROR(INDEX('Phase I Pro Forma'!$F$353:$Z$353,1,MATCH('Cash Flow Roll-up'!H$2,'Phase I Pro Forma'!$F$284:$Z$284,0)),0)</f>
        <v>-121846910.56353053</v>
      </c>
      <c r="I12" s="16">
        <f ca="1">+IFERROR(INDEX('Phase I Pro Forma'!$F$353:$Z$353,1,MATCH('Cash Flow Roll-up'!I$2,'Phase I Pro Forma'!$F$284:$Z$284,0)),0)</f>
        <v>10327749.677353242</v>
      </c>
      <c r="J12" s="16">
        <f ca="1">+IFERROR(INDEX('Phase I Pro Forma'!$F$353:$Z$353,1,MATCH('Cash Flow Roll-up'!J$2,'Phase I Pro Forma'!$F$284:$Z$284,0)),0)</f>
        <v>22813196.383337062</v>
      </c>
      <c r="K12" s="16">
        <f ca="1">+IFERROR(INDEX('Phase I Pro Forma'!$F$353:$Z$353,1,MATCH('Cash Flow Roll-up'!K$2,'Phase I Pro Forma'!$F$284:$Z$284,0)),0)</f>
        <v>25832749.069519415</v>
      </c>
      <c r="L12" s="16">
        <f ca="1">+IFERROR(INDEX('Phase I Pro Forma'!$F$353:$Z$353,1,MATCH('Cash Flow Roll-up'!L$2,'Phase I Pro Forma'!$F$284:$Z$284,0)),0)</f>
        <v>27695102.520112015</v>
      </c>
      <c r="M12" s="16">
        <f ca="1">+IFERROR(INDEX('Phase I Pro Forma'!$F$353:$Z$353,1,MATCH('Cash Flow Roll-up'!M$2,'Phase I Pro Forma'!$F$284:$Z$284,0)),0)</f>
        <v>27912478.382217154</v>
      </c>
      <c r="N12" s="16">
        <f ca="1">+IFERROR(INDEX('Phase I Pro Forma'!$F$353:$Z$353,1,MATCH('Cash Flow Roll-up'!N$2,'Phase I Pro Forma'!$F$284:$Z$284,0)),0)</f>
        <v>28108638.494970564</v>
      </c>
      <c r="O12" s="16">
        <f ca="1">+IFERROR(INDEX('Phase I Pro Forma'!$F$353:$Z$353,1,MATCH('Cash Flow Roll-up'!O$2,'Phase I Pro Forma'!$F$284:$Z$284,0)),0)</f>
        <v>28324604.129802343</v>
      </c>
      <c r="P12" s="16">
        <f ca="1">+IFERROR(INDEX('Phase I Pro Forma'!$F$353:$Z$353,1,MATCH('Cash Flow Roll-up'!P$2,'Phase I Pro Forma'!$F$284:$Z$284,0)),0)</f>
        <v>472487263.8909995</v>
      </c>
      <c r="Q12" s="16">
        <f>+IFERROR(INDEX('Phase I Pro Forma'!$F$353:$Z$353,1,MATCH('Cash Flow Roll-up'!Q$2,'Phase I Pro Forma'!$F$284:$Z$284,0)),0)</f>
        <v>0</v>
      </c>
      <c r="R12" s="16">
        <f>+IFERROR(INDEX('Phase I Pro Forma'!$F$353:$Z$353,1,MATCH('Cash Flow Roll-up'!R$2,'Phase I Pro Forma'!$F$284:$Z$284,0)),0)</f>
        <v>0</v>
      </c>
      <c r="S12" s="16">
        <f>+IFERROR(INDEX('Phase I Pro Forma'!$F$353:$Z$353,1,MATCH('Cash Flow Roll-up'!S$2,'Phase I Pro Forma'!$F$284:$Z$284,0)),0)</f>
        <v>0</v>
      </c>
      <c r="T12" s="16">
        <f>+IFERROR(INDEX('Phase I Pro Forma'!$F$353:$Z$353,1,MATCH('Cash Flow Roll-up'!T$2,'Phase I Pro Forma'!$F$284:$Z$284,0)),0)</f>
        <v>0</v>
      </c>
      <c r="U12" s="16">
        <f>+IFERROR(INDEX('Phase I Pro Forma'!$F$353:$Z$353,1,MATCH('Cash Flow Roll-up'!U$2,'Phase I Pro Forma'!$F$284:$Z$284,0)),0)</f>
        <v>0</v>
      </c>
      <c r="V12" s="16">
        <f>+IFERROR(INDEX('Phase I Pro Forma'!$F$353:$Z$353,1,MATCH('Cash Flow Roll-up'!V$2,'Phase I Pro Forma'!$F$284:$Z$284,0)),0)</f>
        <v>0</v>
      </c>
      <c r="W12" s="16">
        <f>+IFERROR(INDEX('Phase I Pro Forma'!$F$353:$Z$353,1,MATCH('Cash Flow Roll-up'!W$2,'Phase I Pro Forma'!$F$284:$Z$284,0)),0)</f>
        <v>0</v>
      </c>
      <c r="X12" s="16">
        <f>+IFERROR(INDEX('Phase I Pro Forma'!$F$353:$Z$353,1,MATCH('Cash Flow Roll-up'!X$2,'Phase I Pro Forma'!$F$284:$Z$284,0)),0)</f>
        <v>0</v>
      </c>
      <c r="Y12" s="16">
        <f>+IFERROR(INDEX('Phase I Pro Forma'!$F$353:$Z$353,1,MATCH('Cash Flow Roll-up'!Y$2,'Phase I Pro Forma'!$F$284:$Z$284,0)),0)</f>
        <v>0</v>
      </c>
      <c r="Z12" s="16">
        <f>+IFERROR(INDEX('Phase I Pro Forma'!$F$353:$Z$353,1,MATCH('Cash Flow Roll-up'!Z$2,'Phase I Pro Forma'!$F$284:$Z$284,0)),0)</f>
        <v>0</v>
      </c>
    </row>
    <row r="13" spans="2:26">
      <c r="B13" s="15" t="s">
        <v>4</v>
      </c>
      <c r="D13" s="11">
        <f ca="1">+SUM(F13:Z13)</f>
        <v>471069355.61373395</v>
      </c>
      <c r="F13" s="76">
        <f>+IFERROR(INDEX('Phase II Pro Forma'!$F$285:$Z$285,1,MATCH('Cash Flow Roll-up'!F$2,'Phase II Pro Forma'!$F$216:$Z$216,0)),0)</f>
        <v>0</v>
      </c>
      <c r="G13" s="76">
        <f ca="1">+IFERROR(INDEX('Phase II Pro Forma'!$F$285:$Z$285,1,MATCH('Cash Flow Roll-up'!G$2,'Phase II Pro Forma'!$F$216:$Z$216,0)),0)</f>
        <v>-94010286</v>
      </c>
      <c r="H13" s="76">
        <f ca="1">+IFERROR(INDEX('Phase II Pro Forma'!$F$285:$Z$285,1,MATCH('Cash Flow Roll-up'!H$2,'Phase II Pro Forma'!$F$216:$Z$216,0)),0)</f>
        <v>-107620573.34481999</v>
      </c>
      <c r="I13" s="76">
        <f ca="1">+IFERROR(INDEX('Phase II Pro Forma'!$F$285:$Z$285,1,MATCH('Cash Flow Roll-up'!I$2,'Phase II Pro Forma'!$F$216:$Z$216,0)),0)</f>
        <v>-62639539.030235715</v>
      </c>
      <c r="J13" s="76">
        <f ca="1">+IFERROR(INDEX('Phase II Pro Forma'!$F$285:$Z$285,1,MATCH('Cash Flow Roll-up'!J$2,'Phase II Pro Forma'!$F$216:$Z$216,0)),0)</f>
        <v>12722649.675890135</v>
      </c>
      <c r="K13" s="76">
        <f ca="1">+IFERROR(INDEX('Phase II Pro Forma'!$F$285:$Z$285,1,MATCH('Cash Flow Roll-up'!K$2,'Phase II Pro Forma'!$F$216:$Z$216,0)),0)</f>
        <v>27545463.60349803</v>
      </c>
      <c r="L13" s="76">
        <f ca="1">+IFERROR(INDEX('Phase II Pro Forma'!$F$285:$Z$285,1,MATCH('Cash Flow Roll-up'!L$2,'Phase II Pro Forma'!$F$216:$Z$216,0)),0)</f>
        <v>29631908.037775218</v>
      </c>
      <c r="M13" s="76">
        <f ca="1">+IFERROR(INDEX('Phase II Pro Forma'!$F$285:$Z$285,1,MATCH('Cash Flow Roll-up'!M$2,'Phase II Pro Forma'!$F$216:$Z$216,0)),0)</f>
        <v>31874245.857691586</v>
      </c>
      <c r="N13" s="76">
        <f ca="1">+IFERROR(INDEX('Phase II Pro Forma'!$F$285:$Z$285,1,MATCH('Cash Flow Roll-up'!N$2,'Phase II Pro Forma'!$F$216:$Z$216,0)),0)</f>
        <v>32206626.86672001</v>
      </c>
      <c r="O13" s="76">
        <f ca="1">+IFERROR(INDEX('Phase II Pro Forma'!$F$285:$Z$285,1,MATCH('Cash Flow Roll-up'!O$2,'Phase II Pro Forma'!$F$216:$Z$216,0)),0)</f>
        <v>32548904.663848221</v>
      </c>
      <c r="P13" s="76">
        <f ca="1">+IFERROR(INDEX('Phase II Pro Forma'!$F$285:$Z$285,1,MATCH('Cash Flow Roll-up'!P$2,'Phase II Pro Forma'!$F$216:$Z$216,0)),0)</f>
        <v>568809955.28336644</v>
      </c>
      <c r="Q13" s="76">
        <f>+IFERROR(INDEX('Phase II Pro Forma'!$F$285:$Z$285,1,MATCH('Cash Flow Roll-up'!Q$2,'Phase II Pro Forma'!$F$216:$Z$216,0)),0)</f>
        <v>0</v>
      </c>
      <c r="R13" s="76">
        <f>+IFERROR(INDEX('Phase II Pro Forma'!$F$285:$Z$285,1,MATCH('Cash Flow Roll-up'!R$2,'Phase II Pro Forma'!$F$216:$Z$216,0)),0)</f>
        <v>0</v>
      </c>
      <c r="S13" s="76">
        <f>+IFERROR(INDEX('Phase II Pro Forma'!$F$285:$Z$285,1,MATCH('Cash Flow Roll-up'!S$2,'Phase II Pro Forma'!$F$216:$Z$216,0)),0)</f>
        <v>0</v>
      </c>
      <c r="T13" s="76">
        <f>+IFERROR(INDEX('Phase II Pro Forma'!$F$285:$Z$285,1,MATCH('Cash Flow Roll-up'!T$2,'Phase II Pro Forma'!$F$216:$Z$216,0)),0)</f>
        <v>0</v>
      </c>
      <c r="U13" s="76">
        <f>+IFERROR(INDEX('Phase II Pro Forma'!$F$285:$Z$285,1,MATCH('Cash Flow Roll-up'!U$2,'Phase II Pro Forma'!$F$216:$Z$216,0)),0)</f>
        <v>0</v>
      </c>
      <c r="V13" s="76">
        <f>+IFERROR(INDEX('Phase II Pro Forma'!$F$285:$Z$285,1,MATCH('Cash Flow Roll-up'!V$2,'Phase II Pro Forma'!$F$216:$Z$216,0)),0)</f>
        <v>0</v>
      </c>
      <c r="W13" s="76">
        <f>+IFERROR(INDEX('Phase II Pro Forma'!$F$285:$Z$285,1,MATCH('Cash Flow Roll-up'!W$2,'Phase II Pro Forma'!$F$216:$Z$216,0)),0)</f>
        <v>0</v>
      </c>
      <c r="X13" s="76">
        <f>+IFERROR(INDEX('Phase II Pro Forma'!$F$285:$Z$285,1,MATCH('Cash Flow Roll-up'!X$2,'Phase II Pro Forma'!$F$216:$Z$216,0)),0)</f>
        <v>0</v>
      </c>
      <c r="Y13" s="76">
        <f>+IFERROR(INDEX('Phase II Pro Forma'!$F$285:$Z$285,1,MATCH('Cash Flow Roll-up'!Y$2,'Phase II Pro Forma'!$F$216:$Z$216,0)),0)</f>
        <v>0</v>
      </c>
      <c r="Z13" s="76">
        <f>+IFERROR(INDEX('Phase II Pro Forma'!$F$285:$Z$285,1,MATCH('Cash Flow Roll-up'!Z$2,'Phase II Pro Forma'!$F$216:$Z$216,0)),0)</f>
        <v>0</v>
      </c>
    </row>
    <row r="14" spans="2:26">
      <c r="B14" s="15" t="s">
        <v>5</v>
      </c>
      <c r="D14" s="11">
        <f>+SUM(F14:Z14)</f>
        <v>0</v>
      </c>
      <c r="F14" s="76">
        <f>+IFERROR(INDEX('Phase III Pro Forma'!#REF!,1,MATCH('Cash Flow Roll-up'!F$2,'Phase III Pro Forma'!$F$180:$Z$180,0)),0)</f>
        <v>0</v>
      </c>
      <c r="G14" s="76">
        <f>+IFERROR(INDEX('Phase III Pro Forma'!#REF!,1,MATCH('Cash Flow Roll-up'!G$2,'Phase III Pro Forma'!$F$180:$Z$180,0)),0)</f>
        <v>0</v>
      </c>
      <c r="H14" s="76">
        <f>+IFERROR(INDEX('Phase III Pro Forma'!#REF!,1,MATCH('Cash Flow Roll-up'!H$2,'Phase III Pro Forma'!$F$180:$Z$180,0)),0)</f>
        <v>0</v>
      </c>
      <c r="I14" s="76">
        <f>+IFERROR(INDEX('Phase III Pro Forma'!#REF!,1,MATCH('Cash Flow Roll-up'!I$2,'Phase III Pro Forma'!$F$180:$Z$180,0)),0)</f>
        <v>0</v>
      </c>
      <c r="J14" s="76">
        <f>+IFERROR(INDEX('Phase III Pro Forma'!#REF!,1,MATCH('Cash Flow Roll-up'!J$2,'Phase III Pro Forma'!$F$180:$Z$180,0)),0)</f>
        <v>0</v>
      </c>
      <c r="K14" s="76">
        <f>+IFERROR(INDEX('Phase III Pro Forma'!#REF!,1,MATCH('Cash Flow Roll-up'!K$2,'Phase III Pro Forma'!$F$180:$Z$180,0)),0)</f>
        <v>0</v>
      </c>
      <c r="L14" s="76">
        <f>+IFERROR(INDEX('Phase III Pro Forma'!#REF!,1,MATCH('Cash Flow Roll-up'!L$2,'Phase III Pro Forma'!$F$180:$Z$180,0)),0)</f>
        <v>0</v>
      </c>
      <c r="M14" s="76">
        <f>+IFERROR(INDEX('Phase III Pro Forma'!#REF!,1,MATCH('Cash Flow Roll-up'!M$2,'Phase III Pro Forma'!$F$180:$Z$180,0)),0)</f>
        <v>0</v>
      </c>
      <c r="N14" s="76">
        <f>+IFERROR(INDEX('Phase III Pro Forma'!#REF!,1,MATCH('Cash Flow Roll-up'!N$2,'Phase III Pro Forma'!$F$180:$Z$180,0)),0)</f>
        <v>0</v>
      </c>
      <c r="O14" s="76">
        <f>+IFERROR(INDEX('Phase III Pro Forma'!#REF!,1,MATCH('Cash Flow Roll-up'!O$2,'Phase III Pro Forma'!$F$180:$Z$180,0)),0)</f>
        <v>0</v>
      </c>
      <c r="P14" s="76">
        <f>+IFERROR(INDEX('Phase III Pro Forma'!#REF!,1,MATCH('Cash Flow Roll-up'!P$2,'Phase III Pro Forma'!$F$180:$Z$180,0)),0)</f>
        <v>0</v>
      </c>
      <c r="Q14" s="76">
        <f>+IFERROR(INDEX('Phase III Pro Forma'!#REF!,1,MATCH('Cash Flow Roll-up'!Q$2,'Phase III Pro Forma'!$F$180:$Z$180,0)),0)</f>
        <v>0</v>
      </c>
      <c r="R14" s="76">
        <f>+IFERROR(INDEX('Phase III Pro Forma'!#REF!,1,MATCH('Cash Flow Roll-up'!R$2,'Phase III Pro Forma'!$F$180:$Z$180,0)),0)</f>
        <v>0</v>
      </c>
      <c r="S14" s="76">
        <f>+IFERROR(INDEX('Phase III Pro Forma'!#REF!,1,MATCH('Cash Flow Roll-up'!S$2,'Phase III Pro Forma'!$F$180:$Z$180,0)),0)</f>
        <v>0</v>
      </c>
      <c r="T14" s="76">
        <f>+IFERROR(INDEX('Phase III Pro Forma'!#REF!,1,MATCH('Cash Flow Roll-up'!T$2,'Phase III Pro Forma'!$F$180:$Z$180,0)),0)</f>
        <v>0</v>
      </c>
      <c r="U14" s="76">
        <f>+IFERROR(INDEX('Phase III Pro Forma'!#REF!,1,MATCH('Cash Flow Roll-up'!U$2,'Phase III Pro Forma'!$F$180:$Z$180,0)),0)</f>
        <v>0</v>
      </c>
      <c r="V14" s="76">
        <f>+IFERROR(INDEX('Phase III Pro Forma'!#REF!,1,MATCH('Cash Flow Roll-up'!V$2,'Phase III Pro Forma'!$F$180:$Z$180,0)),0)</f>
        <v>0</v>
      </c>
      <c r="W14" s="76">
        <f>+IFERROR(INDEX('Phase III Pro Forma'!#REF!,1,MATCH('Cash Flow Roll-up'!W$2,'Phase III Pro Forma'!$F$180:$Z$180,0)),0)</f>
        <v>0</v>
      </c>
      <c r="X14" s="76">
        <f>+IFERROR(INDEX('Phase III Pro Forma'!#REF!,1,MATCH('Cash Flow Roll-up'!X$2,'Phase III Pro Forma'!$F$180:$Z$180,0)),0)</f>
        <v>0</v>
      </c>
      <c r="Y14" s="76">
        <f>+IFERROR(INDEX('Phase III Pro Forma'!#REF!,1,MATCH('Cash Flow Roll-up'!Y$2,'Phase III Pro Forma'!$F$180:$Z$180,0)),0)</f>
        <v>0</v>
      </c>
      <c r="Z14" s="76">
        <f>+IFERROR(INDEX('Phase III Pro Forma'!#REF!,1,MATCH('Cash Flow Roll-up'!Z$2,'Phase III Pro Forma'!$F$180:$Z$180,0)),0)</f>
        <v>0</v>
      </c>
    </row>
    <row r="15" spans="2:26">
      <c r="B15" s="543" t="s">
        <v>655</v>
      </c>
      <c r="C15" s="543"/>
      <c r="D15" s="543"/>
      <c r="E15" s="543"/>
      <c r="F15" s="545">
        <f t="shared" ref="F15:Z15" ca="1" si="3">+SUM(F12:F14)</f>
        <v>-54668480.506010383</v>
      </c>
      <c r="G15" s="545">
        <f t="shared" ca="1" si="3"/>
        <v>-227199107.77343926</v>
      </c>
      <c r="H15" s="545">
        <f t="shared" ca="1" si="3"/>
        <v>-229467483.90835053</v>
      </c>
      <c r="I15" s="545">
        <f t="shared" ca="1" si="3"/>
        <v>-52311789.352882475</v>
      </c>
      <c r="J15" s="545">
        <f t="shared" ca="1" si="3"/>
        <v>35535846.059227198</v>
      </c>
      <c r="K15" s="545">
        <f t="shared" ca="1" si="3"/>
        <v>53378212.673017442</v>
      </c>
      <c r="L15" s="545">
        <f t="shared" ca="1" si="3"/>
        <v>57327010.557887234</v>
      </c>
      <c r="M15" s="545">
        <f t="shared" ca="1" si="3"/>
        <v>59786724.23990874</v>
      </c>
      <c r="N15" s="545">
        <f t="shared" ca="1" si="3"/>
        <v>60315265.361690573</v>
      </c>
      <c r="O15" s="545">
        <f t="shared" ca="1" si="3"/>
        <v>60873508.793650568</v>
      </c>
      <c r="P15" s="545">
        <f t="shared" ca="1" si="3"/>
        <v>1041297219.174366</v>
      </c>
      <c r="Q15" s="545">
        <f t="shared" si="3"/>
        <v>0</v>
      </c>
      <c r="R15" s="545">
        <f t="shared" si="3"/>
        <v>0</v>
      </c>
      <c r="S15" s="545">
        <f t="shared" si="3"/>
        <v>0</v>
      </c>
      <c r="T15" s="545">
        <f t="shared" si="3"/>
        <v>0</v>
      </c>
      <c r="U15" s="545">
        <f t="shared" si="3"/>
        <v>0</v>
      </c>
      <c r="V15" s="545">
        <f t="shared" si="3"/>
        <v>0</v>
      </c>
      <c r="W15" s="545">
        <f t="shared" si="3"/>
        <v>0</v>
      </c>
      <c r="X15" s="545">
        <f t="shared" si="3"/>
        <v>0</v>
      </c>
      <c r="Y15" s="545">
        <f t="shared" si="3"/>
        <v>0</v>
      </c>
      <c r="Z15" s="545">
        <f t="shared" si="3"/>
        <v>0</v>
      </c>
    </row>
    <row r="17" spans="2:26">
      <c r="B17" s="672" t="s">
        <v>2</v>
      </c>
      <c r="C17" s="672"/>
      <c r="D17" s="673">
        <f ca="1">+IRR(F15:Z15)</f>
        <v>0.12400440390409773</v>
      </c>
    </row>
    <row r="18" spans="2:26">
      <c r="B18" s="674" t="s">
        <v>647</v>
      </c>
      <c r="C18" s="531"/>
      <c r="D18" s="791">
        <f ca="1">+SUM(F15:Z15)</f>
        <v>804866925.31906509</v>
      </c>
    </row>
    <row r="20" spans="2:26" hidden="1">
      <c r="B20" s="73" t="s">
        <v>656</v>
      </c>
    </row>
    <row r="21" spans="2:26" hidden="1">
      <c r="B21" s="15" t="s">
        <v>3</v>
      </c>
      <c r="D21" s="26">
        <f>+SUM(F21:Z21)</f>
        <v>0</v>
      </c>
      <c r="F21" s="16">
        <f>+IFERROR(INDEX('Phase I Pro Forma'!#REF!,1,MATCH('Cash Flow Roll-up'!F$2,'Phase I Pro Forma'!$F$284:$Z$284,0)),0)</f>
        <v>0</v>
      </c>
      <c r="G21" s="16">
        <f>+IFERROR(INDEX('Phase I Pro Forma'!#REF!,1,MATCH('Cash Flow Roll-up'!G$2,'Phase I Pro Forma'!$F$284:$Z$284,0)),0)</f>
        <v>0</v>
      </c>
      <c r="H21" s="16">
        <f>+IFERROR(INDEX('Phase I Pro Forma'!#REF!,1,MATCH('Cash Flow Roll-up'!H$2,'Phase I Pro Forma'!$F$284:$Z$284,0)),0)</f>
        <v>0</v>
      </c>
      <c r="I21" s="16">
        <f>+IFERROR(INDEX('Phase I Pro Forma'!#REF!,1,MATCH('Cash Flow Roll-up'!I$2,'Phase I Pro Forma'!$F$284:$Z$284,0)),0)</f>
        <v>0</v>
      </c>
      <c r="J21" s="16">
        <f>+IFERROR(INDEX('Phase I Pro Forma'!#REF!,1,MATCH('Cash Flow Roll-up'!J$2,'Phase I Pro Forma'!$F$284:$Z$284,0)),0)</f>
        <v>0</v>
      </c>
      <c r="K21" s="16">
        <f>+IFERROR(INDEX('Phase I Pro Forma'!#REF!,1,MATCH('Cash Flow Roll-up'!K$2,'Phase I Pro Forma'!$F$284:$Z$284,0)),0)</f>
        <v>0</v>
      </c>
      <c r="L21" s="16">
        <f>+IFERROR(INDEX('Phase I Pro Forma'!#REF!,1,MATCH('Cash Flow Roll-up'!L$2,'Phase I Pro Forma'!$F$284:$Z$284,0)),0)</f>
        <v>0</v>
      </c>
      <c r="M21" s="16">
        <f>+IFERROR(INDEX('Phase I Pro Forma'!#REF!,1,MATCH('Cash Flow Roll-up'!M$2,'Phase I Pro Forma'!$F$284:$Z$284,0)),0)</f>
        <v>0</v>
      </c>
      <c r="N21" s="16">
        <f>+IFERROR(INDEX('Phase I Pro Forma'!#REF!,1,MATCH('Cash Flow Roll-up'!N$2,'Phase I Pro Forma'!$F$284:$Z$284,0)),0)</f>
        <v>0</v>
      </c>
      <c r="O21" s="16">
        <f>+IFERROR(INDEX('Phase I Pro Forma'!#REF!,1,MATCH('Cash Flow Roll-up'!O$2,'Phase I Pro Forma'!$F$284:$Z$284,0)),0)</f>
        <v>0</v>
      </c>
      <c r="P21" s="16">
        <f>+IFERROR(INDEX('Phase I Pro Forma'!#REF!,1,MATCH('Cash Flow Roll-up'!P$2,'Phase I Pro Forma'!$F$284:$Z$284,0)),0)</f>
        <v>0</v>
      </c>
      <c r="Q21" s="16">
        <f>+IFERROR(INDEX('Phase I Pro Forma'!#REF!,1,MATCH('Cash Flow Roll-up'!Q$2,'Phase I Pro Forma'!$F$284:$Z$284,0)),0)</f>
        <v>0</v>
      </c>
      <c r="R21" s="16">
        <f>+IFERROR(INDEX('Phase I Pro Forma'!#REF!,1,MATCH('Cash Flow Roll-up'!R$2,'Phase I Pro Forma'!$F$284:$Z$284,0)),0)</f>
        <v>0</v>
      </c>
      <c r="S21" s="16">
        <f>+IFERROR(INDEX('Phase I Pro Forma'!#REF!,1,MATCH('Cash Flow Roll-up'!S$2,'Phase I Pro Forma'!$F$284:$Z$284,0)),0)</f>
        <v>0</v>
      </c>
      <c r="T21" s="16">
        <f>+IFERROR(INDEX('Phase I Pro Forma'!#REF!,1,MATCH('Cash Flow Roll-up'!T$2,'Phase I Pro Forma'!$F$284:$Z$284,0)),0)</f>
        <v>0</v>
      </c>
      <c r="U21" s="16">
        <f>+IFERROR(INDEX('Phase I Pro Forma'!#REF!,1,MATCH('Cash Flow Roll-up'!U$2,'Phase I Pro Forma'!$F$284:$Z$284,0)),0)</f>
        <v>0</v>
      </c>
      <c r="V21" s="16">
        <f>+IFERROR(INDEX('Phase I Pro Forma'!#REF!,1,MATCH('Cash Flow Roll-up'!V$2,'Phase I Pro Forma'!$F$284:$Z$284,0)),0)</f>
        <v>0</v>
      </c>
      <c r="W21" s="16">
        <f>+IFERROR(INDEX('Phase I Pro Forma'!#REF!,1,MATCH('Cash Flow Roll-up'!W$2,'Phase I Pro Forma'!$F$284:$Z$284,0)),0)</f>
        <v>0</v>
      </c>
      <c r="X21" s="16">
        <f>+IFERROR(INDEX('Phase I Pro Forma'!#REF!,1,MATCH('Cash Flow Roll-up'!X$2,'Phase I Pro Forma'!$F$284:$Z$284,0)),0)</f>
        <v>0</v>
      </c>
      <c r="Y21" s="16">
        <f>+IFERROR(INDEX('Phase I Pro Forma'!#REF!,1,MATCH('Cash Flow Roll-up'!Y$2,'Phase I Pro Forma'!$F$284:$Z$284,0)),0)</f>
        <v>0</v>
      </c>
      <c r="Z21" s="16">
        <f>+IFERROR(INDEX('Phase I Pro Forma'!#REF!,1,MATCH('Cash Flow Roll-up'!Z$2,'Phase I Pro Forma'!$F$284:$Z$284,0)),0)</f>
        <v>0</v>
      </c>
    </row>
    <row r="22" spans="2:26" hidden="1">
      <c r="B22" s="15" t="s">
        <v>4</v>
      </c>
      <c r="D22" s="11">
        <f>+SUM(F22:Z22)</f>
        <v>0</v>
      </c>
      <c r="F22" s="76">
        <f>+IFERROR(INDEX('Phase II Pro Forma'!#REF!,1,MATCH('Cash Flow Roll-up'!F$2,'Phase II Pro Forma'!$F$216:$Z$216,0)),0)</f>
        <v>0</v>
      </c>
      <c r="G22" s="76">
        <f>+IFERROR(INDEX('Phase II Pro Forma'!#REF!,1,MATCH('Cash Flow Roll-up'!G$2,'Phase II Pro Forma'!$F$216:$Z$216,0)),0)</f>
        <v>0</v>
      </c>
      <c r="H22" s="76">
        <f>+IFERROR(INDEX('Phase II Pro Forma'!#REF!,1,MATCH('Cash Flow Roll-up'!H$2,'Phase II Pro Forma'!$F$216:$Z$216,0)),0)</f>
        <v>0</v>
      </c>
      <c r="I22" s="76">
        <f>+IFERROR(INDEX('Phase II Pro Forma'!#REF!,1,MATCH('Cash Flow Roll-up'!I$2,'Phase II Pro Forma'!$F$216:$Z$216,0)),0)</f>
        <v>0</v>
      </c>
      <c r="J22" s="76">
        <f>+IFERROR(INDEX('Phase II Pro Forma'!#REF!,1,MATCH('Cash Flow Roll-up'!J$2,'Phase II Pro Forma'!$F$216:$Z$216,0)),0)</f>
        <v>0</v>
      </c>
      <c r="K22" s="76">
        <f>+IFERROR(INDEX('Phase II Pro Forma'!#REF!,1,MATCH('Cash Flow Roll-up'!K$2,'Phase II Pro Forma'!$F$216:$Z$216,0)),0)</f>
        <v>0</v>
      </c>
      <c r="L22" s="76">
        <f>+IFERROR(INDEX('Phase II Pro Forma'!#REF!,1,MATCH('Cash Flow Roll-up'!L$2,'Phase II Pro Forma'!$F$216:$Z$216,0)),0)</f>
        <v>0</v>
      </c>
      <c r="M22" s="76">
        <f>+IFERROR(INDEX('Phase II Pro Forma'!#REF!,1,MATCH('Cash Flow Roll-up'!M$2,'Phase II Pro Forma'!$F$216:$Z$216,0)),0)</f>
        <v>0</v>
      </c>
      <c r="N22" s="76">
        <f>+IFERROR(INDEX('Phase II Pro Forma'!#REF!,1,MATCH('Cash Flow Roll-up'!N$2,'Phase II Pro Forma'!$F$216:$Z$216,0)),0)</f>
        <v>0</v>
      </c>
      <c r="O22" s="76">
        <f>+IFERROR(INDEX('Phase II Pro Forma'!#REF!,1,MATCH('Cash Flow Roll-up'!O$2,'Phase II Pro Forma'!$F$216:$Z$216,0)),0)</f>
        <v>0</v>
      </c>
      <c r="P22" s="76">
        <f>+IFERROR(INDEX('Phase II Pro Forma'!#REF!,1,MATCH('Cash Flow Roll-up'!P$2,'Phase II Pro Forma'!$F$216:$Z$216,0)),0)</f>
        <v>0</v>
      </c>
      <c r="Q22" s="76">
        <f>+IFERROR(INDEX('Phase II Pro Forma'!#REF!,1,MATCH('Cash Flow Roll-up'!Q$2,'Phase II Pro Forma'!$F$216:$Z$216,0)),0)</f>
        <v>0</v>
      </c>
      <c r="R22" s="76">
        <f>+IFERROR(INDEX('Phase II Pro Forma'!#REF!,1,MATCH('Cash Flow Roll-up'!R$2,'Phase II Pro Forma'!$F$216:$Z$216,0)),0)</f>
        <v>0</v>
      </c>
      <c r="S22" s="76">
        <f>+IFERROR(INDEX('Phase II Pro Forma'!#REF!,1,MATCH('Cash Flow Roll-up'!S$2,'Phase II Pro Forma'!$F$216:$Z$216,0)),0)</f>
        <v>0</v>
      </c>
      <c r="T22" s="76">
        <f>+IFERROR(INDEX('Phase II Pro Forma'!#REF!,1,MATCH('Cash Flow Roll-up'!T$2,'Phase II Pro Forma'!$F$216:$Z$216,0)),0)</f>
        <v>0</v>
      </c>
      <c r="U22" s="76">
        <f>+IFERROR(INDEX('Phase II Pro Forma'!#REF!,1,MATCH('Cash Flow Roll-up'!U$2,'Phase II Pro Forma'!$F$216:$Z$216,0)),0)</f>
        <v>0</v>
      </c>
      <c r="V22" s="76">
        <f>+IFERROR(INDEX('Phase II Pro Forma'!#REF!,1,MATCH('Cash Flow Roll-up'!V$2,'Phase II Pro Forma'!$F$216:$Z$216,0)),0)</f>
        <v>0</v>
      </c>
      <c r="W22" s="76">
        <f>+IFERROR(INDEX('Phase II Pro Forma'!#REF!,1,MATCH('Cash Flow Roll-up'!W$2,'Phase II Pro Forma'!$F$216:$Z$216,0)),0)</f>
        <v>0</v>
      </c>
      <c r="X22" s="76">
        <f>+IFERROR(INDEX('Phase II Pro Forma'!#REF!,1,MATCH('Cash Flow Roll-up'!X$2,'Phase II Pro Forma'!$F$216:$Z$216,0)),0)</f>
        <v>0</v>
      </c>
      <c r="Y22" s="76">
        <f>+IFERROR(INDEX('Phase II Pro Forma'!#REF!,1,MATCH('Cash Flow Roll-up'!Y$2,'Phase II Pro Forma'!$F$216:$Z$216,0)),0)</f>
        <v>0</v>
      </c>
      <c r="Z22" s="76">
        <f>+IFERROR(INDEX('Phase II Pro Forma'!#REF!,1,MATCH('Cash Flow Roll-up'!Z$2,'Phase II Pro Forma'!$F$216:$Z$216,0)),0)</f>
        <v>0</v>
      </c>
    </row>
    <row r="23" spans="2:26" hidden="1">
      <c r="B23" s="15" t="s">
        <v>5</v>
      </c>
      <c r="D23" s="11">
        <f>+SUM(F23:Z23)</f>
        <v>0</v>
      </c>
      <c r="F23" s="76">
        <f>+IFERROR(INDEX('Phase III Pro Forma'!#REF!,1,MATCH('Cash Flow Roll-up'!F$2,'Phase III Pro Forma'!$F$180:$Z$180,0)),0)</f>
        <v>0</v>
      </c>
      <c r="G23" s="76">
        <f>+IFERROR(INDEX('Phase III Pro Forma'!#REF!,1,MATCH('Cash Flow Roll-up'!G$2,'Phase III Pro Forma'!$F$180:$Z$180,0)),0)</f>
        <v>0</v>
      </c>
      <c r="H23" s="76">
        <f>+IFERROR(INDEX('Phase III Pro Forma'!#REF!,1,MATCH('Cash Flow Roll-up'!H$2,'Phase III Pro Forma'!$F$180:$Z$180,0)),0)</f>
        <v>0</v>
      </c>
      <c r="I23" s="76">
        <f>+IFERROR(INDEX('Phase III Pro Forma'!#REF!,1,MATCH('Cash Flow Roll-up'!I$2,'Phase III Pro Forma'!$F$180:$Z$180,0)),0)</f>
        <v>0</v>
      </c>
      <c r="J23" s="76">
        <f>+IFERROR(INDEX('Phase III Pro Forma'!#REF!,1,MATCH('Cash Flow Roll-up'!J$2,'Phase III Pro Forma'!$F$180:$Z$180,0)),0)</f>
        <v>0</v>
      </c>
      <c r="K23" s="76">
        <f>+IFERROR(INDEX('Phase III Pro Forma'!#REF!,1,MATCH('Cash Flow Roll-up'!K$2,'Phase III Pro Forma'!$F$180:$Z$180,0)),0)</f>
        <v>0</v>
      </c>
      <c r="L23" s="76">
        <f>+IFERROR(INDEX('Phase III Pro Forma'!#REF!,1,MATCH('Cash Flow Roll-up'!L$2,'Phase III Pro Forma'!$F$180:$Z$180,0)),0)</f>
        <v>0</v>
      </c>
      <c r="M23" s="76">
        <f>+IFERROR(INDEX('Phase III Pro Forma'!#REF!,1,MATCH('Cash Flow Roll-up'!M$2,'Phase III Pro Forma'!$F$180:$Z$180,0)),0)</f>
        <v>0</v>
      </c>
      <c r="N23" s="76">
        <f>+IFERROR(INDEX('Phase III Pro Forma'!#REF!,1,MATCH('Cash Flow Roll-up'!N$2,'Phase III Pro Forma'!$F$180:$Z$180,0)),0)</f>
        <v>0</v>
      </c>
      <c r="O23" s="76">
        <f>+IFERROR(INDEX('Phase III Pro Forma'!#REF!,1,MATCH('Cash Flow Roll-up'!O$2,'Phase III Pro Forma'!$F$180:$Z$180,0)),0)</f>
        <v>0</v>
      </c>
      <c r="P23" s="76">
        <f>+IFERROR(INDEX('Phase III Pro Forma'!#REF!,1,MATCH('Cash Flow Roll-up'!P$2,'Phase III Pro Forma'!$F$180:$Z$180,0)),0)</f>
        <v>0</v>
      </c>
      <c r="Q23" s="76">
        <f>+IFERROR(INDEX('Phase III Pro Forma'!#REF!,1,MATCH('Cash Flow Roll-up'!Q$2,'Phase III Pro Forma'!$F$180:$Z$180,0)),0)</f>
        <v>0</v>
      </c>
      <c r="R23" s="76">
        <f>+IFERROR(INDEX('Phase III Pro Forma'!#REF!,1,MATCH('Cash Flow Roll-up'!R$2,'Phase III Pro Forma'!$F$180:$Z$180,0)),0)</f>
        <v>0</v>
      </c>
      <c r="S23" s="76">
        <f>+IFERROR(INDEX('Phase III Pro Forma'!#REF!,1,MATCH('Cash Flow Roll-up'!S$2,'Phase III Pro Forma'!$F$180:$Z$180,0)),0)</f>
        <v>0</v>
      </c>
      <c r="T23" s="76">
        <f>+IFERROR(INDEX('Phase III Pro Forma'!#REF!,1,MATCH('Cash Flow Roll-up'!T$2,'Phase III Pro Forma'!$F$180:$Z$180,0)),0)</f>
        <v>0</v>
      </c>
      <c r="U23" s="76">
        <f>+IFERROR(INDEX('Phase III Pro Forma'!#REF!,1,MATCH('Cash Flow Roll-up'!U$2,'Phase III Pro Forma'!$F$180:$Z$180,0)),0)</f>
        <v>0</v>
      </c>
      <c r="V23" s="76">
        <f>+IFERROR(INDEX('Phase III Pro Forma'!#REF!,1,MATCH('Cash Flow Roll-up'!V$2,'Phase III Pro Forma'!$F$180:$Z$180,0)),0)</f>
        <v>0</v>
      </c>
      <c r="W23" s="76">
        <f>+IFERROR(INDEX('Phase III Pro Forma'!#REF!,1,MATCH('Cash Flow Roll-up'!W$2,'Phase III Pro Forma'!$F$180:$Z$180,0)),0)</f>
        <v>0</v>
      </c>
      <c r="X23" s="76">
        <f>+IFERROR(INDEX('Phase III Pro Forma'!#REF!,1,MATCH('Cash Flow Roll-up'!X$2,'Phase III Pro Forma'!$F$180:$Z$180,0)),0)</f>
        <v>0</v>
      </c>
      <c r="Y23" s="76">
        <f>+IFERROR(INDEX('Phase III Pro Forma'!#REF!,1,MATCH('Cash Flow Roll-up'!Y$2,'Phase III Pro Forma'!$F$180:$Z$180,0)),0)</f>
        <v>0</v>
      </c>
      <c r="Z23" s="76">
        <f>+IFERROR(INDEX('Phase III Pro Forma'!#REF!,1,MATCH('Cash Flow Roll-up'!Z$2,'Phase III Pro Forma'!$F$180:$Z$180,0)),0)</f>
        <v>0</v>
      </c>
    </row>
    <row r="24" spans="2:26" hidden="1">
      <c r="B24" s="543" t="s">
        <v>657</v>
      </c>
      <c r="C24" s="543"/>
      <c r="D24" s="543"/>
      <c r="E24" s="543"/>
      <c r="F24" s="545">
        <f t="shared" ref="F24:Z24" si="4">+SUM(F21:F23)</f>
        <v>0</v>
      </c>
      <c r="G24" s="545">
        <f t="shared" si="4"/>
        <v>0</v>
      </c>
      <c r="H24" s="545">
        <f t="shared" si="4"/>
        <v>0</v>
      </c>
      <c r="I24" s="545">
        <f t="shared" si="4"/>
        <v>0</v>
      </c>
      <c r="J24" s="545">
        <f t="shared" si="4"/>
        <v>0</v>
      </c>
      <c r="K24" s="545">
        <f t="shared" si="4"/>
        <v>0</v>
      </c>
      <c r="L24" s="545">
        <f t="shared" si="4"/>
        <v>0</v>
      </c>
      <c r="M24" s="545">
        <f t="shared" si="4"/>
        <v>0</v>
      </c>
      <c r="N24" s="545">
        <f t="shared" si="4"/>
        <v>0</v>
      </c>
      <c r="O24" s="545">
        <f t="shared" si="4"/>
        <v>0</v>
      </c>
      <c r="P24" s="545">
        <f t="shared" si="4"/>
        <v>0</v>
      </c>
      <c r="Q24" s="545">
        <f t="shared" si="4"/>
        <v>0</v>
      </c>
      <c r="R24" s="545">
        <f t="shared" si="4"/>
        <v>0</v>
      </c>
      <c r="S24" s="545">
        <f t="shared" si="4"/>
        <v>0</v>
      </c>
      <c r="T24" s="545">
        <f t="shared" si="4"/>
        <v>0</v>
      </c>
      <c r="U24" s="545">
        <f t="shared" si="4"/>
        <v>0</v>
      </c>
      <c r="V24" s="545">
        <f t="shared" si="4"/>
        <v>0</v>
      </c>
      <c r="W24" s="545">
        <f t="shared" si="4"/>
        <v>0</v>
      </c>
      <c r="X24" s="545">
        <f t="shared" si="4"/>
        <v>0</v>
      </c>
      <c r="Y24" s="545">
        <f t="shared" si="4"/>
        <v>0</v>
      </c>
      <c r="Z24" s="545">
        <f t="shared" si="4"/>
        <v>0</v>
      </c>
    </row>
    <row r="25" spans="2:26" hidden="1"/>
    <row r="26" spans="2:26" hidden="1">
      <c r="B26" s="672" t="s">
        <v>658</v>
      </c>
      <c r="C26" s="672"/>
      <c r="D26" s="673" t="e">
        <f>+IRR(F24:Z24)</f>
        <v>#NUM!</v>
      </c>
    </row>
    <row r="27" spans="2:26" hidden="1">
      <c r="B27" s="674" t="s">
        <v>659</v>
      </c>
      <c r="C27" s="531"/>
      <c r="D27" s="676" t="e">
        <f>+D26/(1-Assumptions!$M$192)</f>
        <v>#NUM!</v>
      </c>
    </row>
    <row r="28" spans="2:26" hidden="1"/>
    <row r="29" spans="2:26" hidden="1">
      <c r="B29" s="73" t="s">
        <v>660</v>
      </c>
    </row>
    <row r="30" spans="2:26" hidden="1">
      <c r="B30" s="15" t="s">
        <v>3</v>
      </c>
      <c r="D30" s="26">
        <f>+SUM(F30:Z30)</f>
        <v>0</v>
      </c>
      <c r="F30" s="16">
        <f>+IFERROR(INDEX('Phase I Pro Forma'!#REF!,1,MATCH('Cash Flow Roll-up'!F$2,'Phase I Pro Forma'!$F$284:$Z$284,0)),0)</f>
        <v>0</v>
      </c>
      <c r="G30" s="16">
        <f>+IFERROR(INDEX('Phase I Pro Forma'!#REF!,1,MATCH('Cash Flow Roll-up'!G$2,'Phase I Pro Forma'!$F$284:$Z$284,0)),0)</f>
        <v>0</v>
      </c>
      <c r="H30" s="16">
        <f>+IFERROR(INDEX('Phase I Pro Forma'!#REF!,1,MATCH('Cash Flow Roll-up'!H$2,'Phase I Pro Forma'!$F$284:$Z$284,0)),0)</f>
        <v>0</v>
      </c>
      <c r="I30" s="16">
        <f>+IFERROR(INDEX('Phase I Pro Forma'!#REF!,1,MATCH('Cash Flow Roll-up'!I$2,'Phase I Pro Forma'!$F$284:$Z$284,0)),0)</f>
        <v>0</v>
      </c>
      <c r="J30" s="16">
        <f>+IFERROR(INDEX('Phase I Pro Forma'!#REF!,1,MATCH('Cash Flow Roll-up'!J$2,'Phase I Pro Forma'!$F$284:$Z$284,0)),0)</f>
        <v>0</v>
      </c>
      <c r="K30" s="16">
        <f>+IFERROR(INDEX('Phase I Pro Forma'!#REF!,1,MATCH('Cash Flow Roll-up'!K$2,'Phase I Pro Forma'!$F$284:$Z$284,0)),0)</f>
        <v>0</v>
      </c>
      <c r="L30" s="16">
        <f>+IFERROR(INDEX('Phase I Pro Forma'!#REF!,1,MATCH('Cash Flow Roll-up'!L$2,'Phase I Pro Forma'!$F$284:$Z$284,0)),0)</f>
        <v>0</v>
      </c>
      <c r="M30" s="16">
        <f>+IFERROR(INDEX('Phase I Pro Forma'!#REF!,1,MATCH('Cash Flow Roll-up'!M$2,'Phase I Pro Forma'!$F$284:$Z$284,0)),0)</f>
        <v>0</v>
      </c>
      <c r="N30" s="16">
        <f>+IFERROR(INDEX('Phase I Pro Forma'!#REF!,1,MATCH('Cash Flow Roll-up'!N$2,'Phase I Pro Forma'!$F$284:$Z$284,0)),0)</f>
        <v>0</v>
      </c>
      <c r="O30" s="16">
        <f>+IFERROR(INDEX('Phase I Pro Forma'!#REF!,1,MATCH('Cash Flow Roll-up'!O$2,'Phase I Pro Forma'!$F$284:$Z$284,0)),0)</f>
        <v>0</v>
      </c>
      <c r="P30" s="16">
        <f>+IFERROR(INDEX('Phase I Pro Forma'!#REF!,1,MATCH('Cash Flow Roll-up'!P$2,'Phase I Pro Forma'!$F$284:$Z$284,0)),0)</f>
        <v>0</v>
      </c>
      <c r="Q30" s="16">
        <f>+IFERROR(INDEX('Phase I Pro Forma'!#REF!,1,MATCH('Cash Flow Roll-up'!Q$2,'Phase I Pro Forma'!$F$284:$Z$284,0)),0)</f>
        <v>0</v>
      </c>
      <c r="R30" s="16">
        <f>+IFERROR(INDEX('Phase I Pro Forma'!#REF!,1,MATCH('Cash Flow Roll-up'!R$2,'Phase I Pro Forma'!$F$284:$Z$284,0)),0)</f>
        <v>0</v>
      </c>
      <c r="S30" s="16">
        <f>+IFERROR(INDEX('Phase I Pro Forma'!#REF!,1,MATCH('Cash Flow Roll-up'!S$2,'Phase I Pro Forma'!$F$284:$Z$284,0)),0)</f>
        <v>0</v>
      </c>
      <c r="T30" s="16">
        <f>+IFERROR(INDEX('Phase I Pro Forma'!#REF!,1,MATCH('Cash Flow Roll-up'!T$2,'Phase I Pro Forma'!$F$284:$Z$284,0)),0)</f>
        <v>0</v>
      </c>
      <c r="U30" s="16">
        <f>+IFERROR(INDEX('Phase I Pro Forma'!#REF!,1,MATCH('Cash Flow Roll-up'!U$2,'Phase I Pro Forma'!$F$284:$Z$284,0)),0)</f>
        <v>0</v>
      </c>
      <c r="V30" s="16">
        <f>+IFERROR(INDEX('Phase I Pro Forma'!#REF!,1,MATCH('Cash Flow Roll-up'!V$2,'Phase I Pro Forma'!$F$284:$Z$284,0)),0)</f>
        <v>0</v>
      </c>
      <c r="W30" s="16">
        <f>+IFERROR(INDEX('Phase I Pro Forma'!#REF!,1,MATCH('Cash Flow Roll-up'!W$2,'Phase I Pro Forma'!$F$284:$Z$284,0)),0)</f>
        <v>0</v>
      </c>
      <c r="X30" s="16">
        <f>+IFERROR(INDEX('Phase I Pro Forma'!#REF!,1,MATCH('Cash Flow Roll-up'!X$2,'Phase I Pro Forma'!$F$284:$Z$284,0)),0)</f>
        <v>0</v>
      </c>
      <c r="Y30" s="16">
        <f>+IFERROR(INDEX('Phase I Pro Forma'!#REF!,1,MATCH('Cash Flow Roll-up'!Y$2,'Phase I Pro Forma'!$F$284:$Z$284,0)),0)</f>
        <v>0</v>
      </c>
      <c r="Z30" s="16">
        <f>+IFERROR(INDEX('Phase I Pro Forma'!#REF!,1,MATCH('Cash Flow Roll-up'!Z$2,'Phase I Pro Forma'!$F$284:$Z$284,0)),0)</f>
        <v>0</v>
      </c>
    </row>
    <row r="31" spans="2:26" hidden="1">
      <c r="B31" s="15" t="s">
        <v>4</v>
      </c>
      <c r="D31" s="11">
        <f>+SUM(F31:Z31)</f>
        <v>0</v>
      </c>
      <c r="F31" s="76">
        <f>+IFERROR(INDEX('Phase II Pro Forma'!#REF!,1,MATCH('Cash Flow Roll-up'!F$2,'Phase II Pro Forma'!$F$216:$Z$216,0)),0)</f>
        <v>0</v>
      </c>
      <c r="G31" s="76">
        <f>+IFERROR(INDEX('Phase II Pro Forma'!#REF!,1,MATCH('Cash Flow Roll-up'!G$2,'Phase II Pro Forma'!$F$216:$Z$216,0)),0)</f>
        <v>0</v>
      </c>
      <c r="H31" s="76">
        <f>+IFERROR(INDEX('Phase II Pro Forma'!#REF!,1,MATCH('Cash Flow Roll-up'!H$2,'Phase II Pro Forma'!$F$216:$Z$216,0)),0)</f>
        <v>0</v>
      </c>
      <c r="I31" s="76">
        <f>+IFERROR(INDEX('Phase II Pro Forma'!#REF!,1,MATCH('Cash Flow Roll-up'!I$2,'Phase II Pro Forma'!$F$216:$Z$216,0)),0)</f>
        <v>0</v>
      </c>
      <c r="J31" s="76">
        <f>+IFERROR(INDEX('Phase II Pro Forma'!#REF!,1,MATCH('Cash Flow Roll-up'!J$2,'Phase II Pro Forma'!$F$216:$Z$216,0)),0)</f>
        <v>0</v>
      </c>
      <c r="K31" s="76">
        <f>+IFERROR(INDEX('Phase II Pro Forma'!#REF!,1,MATCH('Cash Flow Roll-up'!K$2,'Phase II Pro Forma'!$F$216:$Z$216,0)),0)</f>
        <v>0</v>
      </c>
      <c r="L31" s="76">
        <f>+IFERROR(INDEX('Phase II Pro Forma'!#REF!,1,MATCH('Cash Flow Roll-up'!L$2,'Phase II Pro Forma'!$F$216:$Z$216,0)),0)</f>
        <v>0</v>
      </c>
      <c r="M31" s="76">
        <f>+IFERROR(INDEX('Phase II Pro Forma'!#REF!,1,MATCH('Cash Flow Roll-up'!M$2,'Phase II Pro Forma'!$F$216:$Z$216,0)),0)</f>
        <v>0</v>
      </c>
      <c r="N31" s="76">
        <f>+IFERROR(INDEX('Phase II Pro Forma'!#REF!,1,MATCH('Cash Flow Roll-up'!N$2,'Phase II Pro Forma'!$F$216:$Z$216,0)),0)</f>
        <v>0</v>
      </c>
      <c r="O31" s="76">
        <f>+IFERROR(INDEX('Phase II Pro Forma'!#REF!,1,MATCH('Cash Flow Roll-up'!O$2,'Phase II Pro Forma'!$F$216:$Z$216,0)),0)</f>
        <v>0</v>
      </c>
      <c r="P31" s="76">
        <f>+IFERROR(INDEX('Phase II Pro Forma'!#REF!,1,MATCH('Cash Flow Roll-up'!P$2,'Phase II Pro Forma'!$F$216:$Z$216,0)),0)</f>
        <v>0</v>
      </c>
      <c r="Q31" s="76">
        <f>+IFERROR(INDEX('Phase II Pro Forma'!#REF!,1,MATCH('Cash Flow Roll-up'!Q$2,'Phase II Pro Forma'!$F$216:$Z$216,0)),0)</f>
        <v>0</v>
      </c>
      <c r="R31" s="76">
        <f>+IFERROR(INDEX('Phase II Pro Forma'!#REF!,1,MATCH('Cash Flow Roll-up'!R$2,'Phase II Pro Forma'!$F$216:$Z$216,0)),0)</f>
        <v>0</v>
      </c>
      <c r="S31" s="76">
        <f>+IFERROR(INDEX('Phase II Pro Forma'!#REF!,1,MATCH('Cash Flow Roll-up'!S$2,'Phase II Pro Forma'!$F$216:$Z$216,0)),0)</f>
        <v>0</v>
      </c>
      <c r="T31" s="76">
        <f>+IFERROR(INDEX('Phase II Pro Forma'!#REF!,1,MATCH('Cash Flow Roll-up'!T$2,'Phase II Pro Forma'!$F$216:$Z$216,0)),0)</f>
        <v>0</v>
      </c>
      <c r="U31" s="76">
        <f>+IFERROR(INDEX('Phase II Pro Forma'!#REF!,1,MATCH('Cash Flow Roll-up'!U$2,'Phase II Pro Forma'!$F$216:$Z$216,0)),0)</f>
        <v>0</v>
      </c>
      <c r="V31" s="76">
        <f>+IFERROR(INDEX('Phase II Pro Forma'!#REF!,1,MATCH('Cash Flow Roll-up'!V$2,'Phase II Pro Forma'!$F$216:$Z$216,0)),0)</f>
        <v>0</v>
      </c>
      <c r="W31" s="76">
        <f>+IFERROR(INDEX('Phase II Pro Forma'!#REF!,1,MATCH('Cash Flow Roll-up'!W$2,'Phase II Pro Forma'!$F$216:$Z$216,0)),0)</f>
        <v>0</v>
      </c>
      <c r="X31" s="76">
        <f>+IFERROR(INDEX('Phase II Pro Forma'!#REF!,1,MATCH('Cash Flow Roll-up'!X$2,'Phase II Pro Forma'!$F$216:$Z$216,0)),0)</f>
        <v>0</v>
      </c>
      <c r="Y31" s="76">
        <f>+IFERROR(INDEX('Phase II Pro Forma'!#REF!,1,MATCH('Cash Flow Roll-up'!Y$2,'Phase II Pro Forma'!$F$216:$Z$216,0)),0)</f>
        <v>0</v>
      </c>
      <c r="Z31" s="76">
        <f>+IFERROR(INDEX('Phase II Pro Forma'!#REF!,1,MATCH('Cash Flow Roll-up'!Z$2,'Phase II Pro Forma'!$F$216:$Z$216,0)),0)</f>
        <v>0</v>
      </c>
    </row>
    <row r="32" spans="2:26" hidden="1">
      <c r="B32" s="15" t="s">
        <v>5</v>
      </c>
      <c r="D32" s="11">
        <f>+SUM(F32:Z32)</f>
        <v>0</v>
      </c>
      <c r="F32" s="76">
        <f>+IFERROR(INDEX('Phase III Pro Forma'!#REF!,1,MATCH('Cash Flow Roll-up'!F$2,'Phase III Pro Forma'!$F$180:$Z$180,0)),0)</f>
        <v>0</v>
      </c>
      <c r="G32" s="76">
        <f>+IFERROR(INDEX('Phase III Pro Forma'!#REF!,1,MATCH('Cash Flow Roll-up'!G$2,'Phase III Pro Forma'!$F$180:$Z$180,0)),0)</f>
        <v>0</v>
      </c>
      <c r="H32" s="76">
        <f>+IFERROR(INDEX('Phase III Pro Forma'!#REF!,1,MATCH('Cash Flow Roll-up'!H$2,'Phase III Pro Forma'!$F$180:$Z$180,0)),0)</f>
        <v>0</v>
      </c>
      <c r="I32" s="76">
        <f>+IFERROR(INDEX('Phase III Pro Forma'!#REF!,1,MATCH('Cash Flow Roll-up'!I$2,'Phase III Pro Forma'!$F$180:$Z$180,0)),0)</f>
        <v>0</v>
      </c>
      <c r="J32" s="76">
        <f>+IFERROR(INDEX('Phase III Pro Forma'!#REF!,1,MATCH('Cash Flow Roll-up'!J$2,'Phase III Pro Forma'!$F$180:$Z$180,0)),0)</f>
        <v>0</v>
      </c>
      <c r="K32" s="76">
        <f>+IFERROR(INDEX('Phase III Pro Forma'!#REF!,1,MATCH('Cash Flow Roll-up'!K$2,'Phase III Pro Forma'!$F$180:$Z$180,0)),0)</f>
        <v>0</v>
      </c>
      <c r="L32" s="76">
        <f>+IFERROR(INDEX('Phase III Pro Forma'!#REF!,1,MATCH('Cash Flow Roll-up'!L$2,'Phase III Pro Forma'!$F$180:$Z$180,0)),0)</f>
        <v>0</v>
      </c>
      <c r="M32" s="76">
        <f>+IFERROR(INDEX('Phase III Pro Forma'!#REF!,1,MATCH('Cash Flow Roll-up'!M$2,'Phase III Pro Forma'!$F$180:$Z$180,0)),0)</f>
        <v>0</v>
      </c>
      <c r="N32" s="76">
        <f>+IFERROR(INDEX('Phase III Pro Forma'!#REF!,1,MATCH('Cash Flow Roll-up'!N$2,'Phase III Pro Forma'!$F$180:$Z$180,0)),0)</f>
        <v>0</v>
      </c>
      <c r="O32" s="76">
        <f>+IFERROR(INDEX('Phase III Pro Forma'!#REF!,1,MATCH('Cash Flow Roll-up'!O$2,'Phase III Pro Forma'!$F$180:$Z$180,0)),0)</f>
        <v>0</v>
      </c>
      <c r="P32" s="76">
        <f>+IFERROR(INDEX('Phase III Pro Forma'!#REF!,1,MATCH('Cash Flow Roll-up'!P$2,'Phase III Pro Forma'!$F$180:$Z$180,0)),0)</f>
        <v>0</v>
      </c>
      <c r="Q32" s="76">
        <f>+IFERROR(INDEX('Phase III Pro Forma'!#REF!,1,MATCH('Cash Flow Roll-up'!Q$2,'Phase III Pro Forma'!$F$180:$Z$180,0)),0)</f>
        <v>0</v>
      </c>
      <c r="R32" s="76">
        <f>+IFERROR(INDEX('Phase III Pro Forma'!#REF!,1,MATCH('Cash Flow Roll-up'!R$2,'Phase III Pro Forma'!$F$180:$Z$180,0)),0)</f>
        <v>0</v>
      </c>
      <c r="S32" s="76">
        <f>+IFERROR(INDEX('Phase III Pro Forma'!#REF!,1,MATCH('Cash Flow Roll-up'!S$2,'Phase III Pro Forma'!$F$180:$Z$180,0)),0)</f>
        <v>0</v>
      </c>
      <c r="T32" s="76">
        <f>+IFERROR(INDEX('Phase III Pro Forma'!#REF!,1,MATCH('Cash Flow Roll-up'!T$2,'Phase III Pro Forma'!$F$180:$Z$180,0)),0)</f>
        <v>0</v>
      </c>
      <c r="U32" s="76">
        <f>+IFERROR(INDEX('Phase III Pro Forma'!#REF!,1,MATCH('Cash Flow Roll-up'!U$2,'Phase III Pro Forma'!$F$180:$Z$180,0)),0)</f>
        <v>0</v>
      </c>
      <c r="V32" s="76">
        <f>+IFERROR(INDEX('Phase III Pro Forma'!#REF!,1,MATCH('Cash Flow Roll-up'!V$2,'Phase III Pro Forma'!$F$180:$Z$180,0)),0)</f>
        <v>0</v>
      </c>
      <c r="W32" s="76">
        <f>+IFERROR(INDEX('Phase III Pro Forma'!#REF!,1,MATCH('Cash Flow Roll-up'!W$2,'Phase III Pro Forma'!$F$180:$Z$180,0)),0)</f>
        <v>0</v>
      </c>
      <c r="X32" s="76">
        <f>+IFERROR(INDEX('Phase III Pro Forma'!#REF!,1,MATCH('Cash Flow Roll-up'!X$2,'Phase III Pro Forma'!$F$180:$Z$180,0)),0)</f>
        <v>0</v>
      </c>
      <c r="Y32" s="76">
        <f>+IFERROR(INDEX('Phase III Pro Forma'!#REF!,1,MATCH('Cash Flow Roll-up'!Y$2,'Phase III Pro Forma'!$F$180:$Z$180,0)),0)</f>
        <v>0</v>
      </c>
      <c r="Z32" s="76">
        <f>+IFERROR(INDEX('Phase III Pro Forma'!#REF!,1,MATCH('Cash Flow Roll-up'!Z$2,'Phase III Pro Forma'!$F$180:$Z$180,0)),0)</f>
        <v>0</v>
      </c>
    </row>
    <row r="33" spans="2:26" hidden="1">
      <c r="B33" s="543" t="s">
        <v>657</v>
      </c>
      <c r="C33" s="543"/>
      <c r="D33" s="543"/>
      <c r="E33" s="543"/>
      <c r="F33" s="545">
        <f t="shared" ref="F33:Z33" si="5">+SUM(F30:F32)</f>
        <v>0</v>
      </c>
      <c r="G33" s="545">
        <f t="shared" si="5"/>
        <v>0</v>
      </c>
      <c r="H33" s="545">
        <f t="shared" si="5"/>
        <v>0</v>
      </c>
      <c r="I33" s="545">
        <f t="shared" si="5"/>
        <v>0</v>
      </c>
      <c r="J33" s="545">
        <f t="shared" si="5"/>
        <v>0</v>
      </c>
      <c r="K33" s="545">
        <f t="shared" si="5"/>
        <v>0</v>
      </c>
      <c r="L33" s="545">
        <f t="shared" si="5"/>
        <v>0</v>
      </c>
      <c r="M33" s="545">
        <f t="shared" si="5"/>
        <v>0</v>
      </c>
      <c r="N33" s="545">
        <f t="shared" si="5"/>
        <v>0</v>
      </c>
      <c r="O33" s="545">
        <f t="shared" si="5"/>
        <v>0</v>
      </c>
      <c r="P33" s="545">
        <f t="shared" si="5"/>
        <v>0</v>
      </c>
      <c r="Q33" s="545">
        <f t="shared" si="5"/>
        <v>0</v>
      </c>
      <c r="R33" s="545">
        <f t="shared" si="5"/>
        <v>0</v>
      </c>
      <c r="S33" s="545">
        <f t="shared" si="5"/>
        <v>0</v>
      </c>
      <c r="T33" s="545">
        <f t="shared" si="5"/>
        <v>0</v>
      </c>
      <c r="U33" s="545">
        <f t="shared" si="5"/>
        <v>0</v>
      </c>
      <c r="V33" s="545">
        <f t="shared" si="5"/>
        <v>0</v>
      </c>
      <c r="W33" s="545">
        <f t="shared" si="5"/>
        <v>0</v>
      </c>
      <c r="X33" s="545">
        <f t="shared" si="5"/>
        <v>0</v>
      </c>
      <c r="Y33" s="545">
        <f t="shared" si="5"/>
        <v>0</v>
      </c>
      <c r="Z33" s="545">
        <f t="shared" si="5"/>
        <v>0</v>
      </c>
    </row>
    <row r="34" spans="2:26" hidden="1"/>
    <row r="35" spans="2:26" hidden="1">
      <c r="B35" s="672" t="s">
        <v>658</v>
      </c>
      <c r="C35" s="672"/>
      <c r="D35" s="673"/>
    </row>
    <row r="36" spans="2:26" hidden="1">
      <c r="B36" s="674" t="s">
        <v>659</v>
      </c>
      <c r="C36" s="531"/>
      <c r="D36" s="676">
        <f>+D35/(1-Assumptions!$M$192)</f>
        <v>0</v>
      </c>
    </row>
    <row r="38" spans="2:26">
      <c r="B38" s="73" t="s">
        <v>661</v>
      </c>
    </row>
    <row r="39" spans="2:26">
      <c r="B39" s="243" t="s">
        <v>662</v>
      </c>
      <c r="C39" s="243"/>
      <c r="D39" s="243"/>
      <c r="E39" s="243"/>
      <c r="F39" s="244">
        <f ca="1">+IF(F3&lt;0,F3,0)</f>
        <v>0</v>
      </c>
      <c r="G39" s="244">
        <f t="shared" ref="G39:Z39" ca="1" si="6">+IF(G3&lt;0,G3,0)</f>
        <v>-138490120.62093925</v>
      </c>
      <c r="H39" s="244">
        <f t="shared" ca="1" si="6"/>
        <v>-127148209.41103053</v>
      </c>
      <c r="I39" s="244">
        <f t="shared" ca="1" si="6"/>
        <v>0</v>
      </c>
      <c r="J39" s="244">
        <f t="shared" ca="1" si="6"/>
        <v>0</v>
      </c>
      <c r="K39" s="244">
        <f t="shared" ca="1" si="6"/>
        <v>0</v>
      </c>
      <c r="L39" s="244">
        <f t="shared" ca="1" si="6"/>
        <v>0</v>
      </c>
      <c r="M39" s="244">
        <f t="shared" ca="1" si="6"/>
        <v>0</v>
      </c>
      <c r="N39" s="244">
        <f t="shared" ca="1" si="6"/>
        <v>0</v>
      </c>
      <c r="O39" s="244">
        <f t="shared" ca="1" si="6"/>
        <v>0</v>
      </c>
      <c r="P39" s="244">
        <f t="shared" ca="1" si="6"/>
        <v>0</v>
      </c>
      <c r="Q39" s="244">
        <f t="shared" si="6"/>
        <v>0</v>
      </c>
      <c r="R39" s="244">
        <f t="shared" si="6"/>
        <v>0</v>
      </c>
      <c r="S39" s="244">
        <f t="shared" si="6"/>
        <v>0</v>
      </c>
      <c r="T39" s="244">
        <f t="shared" si="6"/>
        <v>0</v>
      </c>
      <c r="U39" s="244">
        <f t="shared" si="6"/>
        <v>0</v>
      </c>
      <c r="V39" s="244">
        <f t="shared" si="6"/>
        <v>0</v>
      </c>
      <c r="W39" s="244">
        <f t="shared" si="6"/>
        <v>0</v>
      </c>
      <c r="X39" s="244">
        <f t="shared" si="6"/>
        <v>0</v>
      </c>
      <c r="Y39" s="244">
        <f t="shared" si="6"/>
        <v>0</v>
      </c>
      <c r="Z39" s="244">
        <f t="shared" si="6"/>
        <v>0</v>
      </c>
    </row>
    <row r="40" spans="2:26">
      <c r="B40" s="241" t="s">
        <v>663</v>
      </c>
      <c r="C40" s="241"/>
      <c r="D40" s="241"/>
      <c r="E40" s="241"/>
      <c r="F40" s="242">
        <f ca="1">+IF(F3&gt;0,MIN(F3,-SUM($F$39:$Z$39)-SUM($E40:E$40)),0)</f>
        <v>6503044.4939896166</v>
      </c>
      <c r="G40" s="242">
        <f ca="1">+IF(G3&gt;0,MIN(G3,-SUM($F$39:$Z$39)-SUM($E40:F$40)),0)</f>
        <v>0</v>
      </c>
      <c r="H40" s="242">
        <f ca="1">+IF(H3&gt;0,MIN(H3,-SUM($F$39:$Z$39)-SUM($E40:G$40)),0)</f>
        <v>0</v>
      </c>
      <c r="I40" s="242">
        <f ca="1">+IF(I3&gt;0,MIN(I3,-SUM($F$39:$Z$39)-SUM($E40:H$40)),0)</f>
        <v>169990408.86232302</v>
      </c>
      <c r="J40" s="242">
        <f ca="1">+IF(J3&gt;0,MIN(J3,-SUM($F$39:$Z$39)-SUM($E40:I$40)),0)</f>
        <v>275785.26228625188</v>
      </c>
      <c r="K40" s="242">
        <f ca="1">+IF(K3&gt;0,MIN(K3,-SUM($F$39:$Z$39)-SUM($E40:J$40)),0)</f>
        <v>3187886.3420144175</v>
      </c>
      <c r="L40" s="242">
        <f ca="1">+IF(L3&gt;0,MIN(L3,-SUM($F$39:$Z$39)-SUM($E40:K$40)),0)</f>
        <v>10717207.721793357</v>
      </c>
      <c r="M40" s="242">
        <f ca="1">+IF(M3&gt;0,MIN(M3,-SUM($F$39:$Z$39)-SUM($E40:L$40)),0)</f>
        <v>10934583.583898494</v>
      </c>
      <c r="N40" s="242">
        <f ca="1">+IF(N3&gt;0,MIN(N3,-SUM($F$39:$Z$39)-SUM($E40:M$40)),0)</f>
        <v>11130743.696651906</v>
      </c>
      <c r="O40" s="242">
        <f ca="1">+IF(O3&gt;0,MIN(O3,-SUM($F$39:$Z$39)-SUM($E40:N$40)),0)</f>
        <v>11346709.331483688</v>
      </c>
      <c r="P40" s="242">
        <f ca="1">+IF(P3&gt;0,MIN(P3,-SUM($F$39:$Z$39)-SUM($E40:O$40)),0)</f>
        <v>41551960.737529039</v>
      </c>
      <c r="Q40" s="242">
        <f>+IF(Q3&gt;0,MIN(Q3,-SUM($F$39:$Z$39)-SUM($E40:P$40)),0)</f>
        <v>0</v>
      </c>
      <c r="R40" s="242">
        <f>+IF(R3&gt;0,MIN(R3,-SUM($F$39:$Z$39)-SUM($E40:Q$40)),0)</f>
        <v>0</v>
      </c>
      <c r="S40" s="242">
        <f>+IF(S3&gt;0,MIN(S3,-SUM($F$39:$Z$39)-SUM($E40:R$40)),0)</f>
        <v>0</v>
      </c>
      <c r="T40" s="242">
        <f>+IF(T3&gt;0,MIN(T3,-SUM($F$39:$Z$39)-SUM($E40:S$40)),0)</f>
        <v>0</v>
      </c>
      <c r="U40" s="242">
        <f>+IF(U3&gt;0,MIN(U3,-SUM($F$39:$Z$39)-SUM($E40:T$40)),0)</f>
        <v>0</v>
      </c>
      <c r="V40" s="242">
        <f>+IF(V3&gt;0,MIN(V3,-SUM($F$39:$Z$39)-SUM($E40:U$40)),0)</f>
        <v>0</v>
      </c>
      <c r="W40" s="242">
        <f>+IF(W3&gt;0,MIN(W3,-SUM($F$39:$Z$39)-SUM($E40:V$40)),0)</f>
        <v>0</v>
      </c>
      <c r="X40" s="242">
        <f>+IF(X3&gt;0,MIN(X3,-SUM($F$39:$Z$39)-SUM($E40:W$40)),0)</f>
        <v>0</v>
      </c>
      <c r="Y40" s="242">
        <f>+IF(Y3&gt;0,MIN(Y3,-SUM($F$39:$Z$39)-SUM($E40:X$40)),0)</f>
        <v>0</v>
      </c>
      <c r="Z40" s="242">
        <f>+IF(Z3&gt;0,MIN(Z3,-SUM($F$39:$Z$39)-SUM($E40:Y$40)),0)</f>
        <v>0</v>
      </c>
    </row>
    <row r="41" spans="2:26">
      <c r="B41" s="243" t="s">
        <v>664</v>
      </c>
      <c r="C41" s="243"/>
      <c r="D41" s="243"/>
      <c r="E41" s="243"/>
      <c r="F41" s="244">
        <f>+IF(F4&lt;0,F4,0)</f>
        <v>0</v>
      </c>
      <c r="G41" s="244">
        <f t="shared" ref="G41:Z41" ca="1" si="7">+IF(G4&lt;0,G4,0)</f>
        <v>-94010286</v>
      </c>
      <c r="H41" s="244">
        <f t="shared" ca="1" si="7"/>
        <v>-39401204.724640369</v>
      </c>
      <c r="I41" s="244">
        <f t="shared" ca="1" si="7"/>
        <v>-39401204.724640369</v>
      </c>
      <c r="J41" s="244">
        <f t="shared" ca="1" si="7"/>
        <v>0</v>
      </c>
      <c r="K41" s="244">
        <f t="shared" ca="1" si="7"/>
        <v>0</v>
      </c>
      <c r="L41" s="244">
        <f t="shared" ca="1" si="7"/>
        <v>0</v>
      </c>
      <c r="M41" s="244">
        <f t="shared" ca="1" si="7"/>
        <v>0</v>
      </c>
      <c r="N41" s="244">
        <f t="shared" ca="1" si="7"/>
        <v>0</v>
      </c>
      <c r="O41" s="244">
        <f t="shared" ca="1" si="7"/>
        <v>0</v>
      </c>
      <c r="P41" s="244">
        <f t="shared" ca="1" si="7"/>
        <v>0</v>
      </c>
      <c r="Q41" s="244">
        <f t="shared" si="7"/>
        <v>0</v>
      </c>
      <c r="R41" s="244">
        <f t="shared" si="7"/>
        <v>0</v>
      </c>
      <c r="S41" s="244">
        <f t="shared" si="7"/>
        <v>0</v>
      </c>
      <c r="T41" s="244">
        <f t="shared" si="7"/>
        <v>0</v>
      </c>
      <c r="U41" s="244">
        <f t="shared" si="7"/>
        <v>0</v>
      </c>
      <c r="V41" s="244">
        <f t="shared" si="7"/>
        <v>0</v>
      </c>
      <c r="W41" s="244">
        <f t="shared" si="7"/>
        <v>0</v>
      </c>
      <c r="X41" s="244">
        <f t="shared" si="7"/>
        <v>0</v>
      </c>
      <c r="Y41" s="244">
        <f t="shared" si="7"/>
        <v>0</v>
      </c>
      <c r="Z41" s="244">
        <f t="shared" si="7"/>
        <v>0</v>
      </c>
    </row>
    <row r="42" spans="2:26">
      <c r="B42" s="241" t="s">
        <v>665</v>
      </c>
      <c r="C42" s="241"/>
      <c r="D42" s="241"/>
      <c r="E42" s="241"/>
      <c r="F42" s="242">
        <f>+IF(F4&gt;0,MIN(F4,-SUM($F$41:$Z$41)-SUM($E42:E$42)),0)</f>
        <v>0</v>
      </c>
      <c r="G42" s="242">
        <f ca="1">+IF(G4&gt;0,MIN(G4,-SUM($F$41:$Z$41)-SUM($E42:F$42)),0)</f>
        <v>0</v>
      </c>
      <c r="H42" s="242">
        <f ca="1">+IF(H4&gt;0,MIN(H4,-SUM($F$41:$Z$41)-SUM($E42:G$42)),0)</f>
        <v>0</v>
      </c>
      <c r="I42" s="242">
        <f ca="1">+IF(I4&gt;0,MIN(I4,-SUM($F$41:$Z$41)-SUM($E42:H$42)),0)</f>
        <v>0</v>
      </c>
      <c r="J42" s="242">
        <f ca="1">+IF(J4&gt;0,MIN(J4,-SUM($F$41:$Z$41)-SUM($E42:I$42)),0)</f>
        <v>172812695.44928074</v>
      </c>
      <c r="K42" s="242">
        <f ca="1">+IF(K4&gt;0,MIN(K4,-SUM($F$41:$Z$41)-SUM($E42:J$42)),0)</f>
        <v>0</v>
      </c>
      <c r="L42" s="242">
        <f ca="1">+IF(L4&gt;0,MIN(L4,-SUM($F$41:$Z$41)-SUM($E42:K$42)),0)</f>
        <v>0</v>
      </c>
      <c r="M42" s="242">
        <f ca="1">+IF(M4&gt;0,MIN(M4,-SUM($F$41:$Z$41)-SUM($E42:L$42)),0)</f>
        <v>0</v>
      </c>
      <c r="N42" s="242">
        <f ca="1">+IF(N4&gt;0,MIN(N4,-SUM($F$41:$Z$41)-SUM($E42:M$42)),0)</f>
        <v>0</v>
      </c>
      <c r="O42" s="242">
        <f ca="1">+IF(O4&gt;0,MIN(O4,-SUM($F$41:$Z$41)-SUM($E42:N$42)),0)</f>
        <v>0</v>
      </c>
      <c r="P42" s="242">
        <f ca="1">+IF(P4&gt;0,MIN(P4,-SUM($F$41:$Z$41)-SUM($E42:O$42)),0)</f>
        <v>0</v>
      </c>
      <c r="Q42" s="242">
        <f>+IF(Q4&gt;0,MIN(Q4,-SUM($F$41:$Z$41)-SUM($E42:P$42)),0)</f>
        <v>0</v>
      </c>
      <c r="R42" s="242">
        <f>+IF(R4&gt;0,MIN(R4,-SUM($F$41:$Z$41)-SUM($E42:Q$42)),0)</f>
        <v>0</v>
      </c>
      <c r="S42" s="242">
        <f>+IF(S4&gt;0,MIN(S4,-SUM($F$41:$Z$41)-SUM($E42:R$42)),0)</f>
        <v>0</v>
      </c>
      <c r="T42" s="242">
        <f>+IF(T4&gt;0,MIN(T4,-SUM($F$41:$Z$41)-SUM($E42:S$42)),0)</f>
        <v>0</v>
      </c>
      <c r="U42" s="242">
        <f>+IF(U4&gt;0,MIN(U4,-SUM($F$41:$Z$41)-SUM($E42:T$42)),0)</f>
        <v>0</v>
      </c>
      <c r="V42" s="242">
        <f>+IF(V4&gt;0,MIN(V4,-SUM($F$41:$Z$41)-SUM($E42:U$42)),0)</f>
        <v>0</v>
      </c>
      <c r="W42" s="242">
        <f>+IF(W4&gt;0,MIN(W4,-SUM($F$41:$Z$41)-SUM($E42:V$42)),0)</f>
        <v>0</v>
      </c>
      <c r="X42" s="242">
        <f>+IF(X4&gt;0,MIN(X4,-SUM($F$41:$Z$41)-SUM($E42:W$42)),0)</f>
        <v>0</v>
      </c>
      <c r="Y42" s="242">
        <f>+IF(Y4&gt;0,MIN(Y4,-SUM($F$41:$Z$41)-SUM($E42:X$42)),0)</f>
        <v>0</v>
      </c>
      <c r="Z42" s="242">
        <f>+IF(Z4&gt;0,MIN(Z4,-SUM($F$41:$Z$41)-SUM($E42:Y$42)),0)</f>
        <v>0</v>
      </c>
    </row>
    <row r="43" spans="2:26">
      <c r="B43" s="243" t="s">
        <v>666</v>
      </c>
      <c r="C43" s="243"/>
      <c r="D43" s="243"/>
      <c r="E43" s="243"/>
      <c r="F43" s="244">
        <f>+IF(F5&lt;0,F5,0)</f>
        <v>0</v>
      </c>
      <c r="G43" s="244">
        <f t="shared" ref="G43:Z43" si="8">+IF(G5&lt;0,G5,0)</f>
        <v>0</v>
      </c>
      <c r="H43" s="244">
        <f t="shared" si="8"/>
        <v>0</v>
      </c>
      <c r="I43" s="244">
        <f t="shared" ca="1" si="8"/>
        <v>-11237511.257709347</v>
      </c>
      <c r="J43" s="244">
        <f t="shared" ca="1" si="8"/>
        <v>-68589212.879671752</v>
      </c>
      <c r="K43" s="244">
        <f t="shared" ca="1" si="8"/>
        <v>0</v>
      </c>
      <c r="L43" s="244">
        <f t="shared" ca="1" si="8"/>
        <v>0</v>
      </c>
      <c r="M43" s="244">
        <f t="shared" ca="1" si="8"/>
        <v>0</v>
      </c>
      <c r="N43" s="244">
        <f t="shared" si="8"/>
        <v>0</v>
      </c>
      <c r="O43" s="244">
        <f t="shared" si="8"/>
        <v>0</v>
      </c>
      <c r="P43" s="244">
        <f t="shared" si="8"/>
        <v>0</v>
      </c>
      <c r="Q43" s="244">
        <f t="shared" si="8"/>
        <v>0</v>
      </c>
      <c r="R43" s="244">
        <f t="shared" si="8"/>
        <v>0</v>
      </c>
      <c r="S43" s="244">
        <f t="shared" si="8"/>
        <v>0</v>
      </c>
      <c r="T43" s="244">
        <f t="shared" si="8"/>
        <v>0</v>
      </c>
      <c r="U43" s="244">
        <f t="shared" si="8"/>
        <v>0</v>
      </c>
      <c r="V43" s="244">
        <f t="shared" si="8"/>
        <v>0</v>
      </c>
      <c r="W43" s="244">
        <f t="shared" si="8"/>
        <v>0</v>
      </c>
      <c r="X43" s="244">
        <f t="shared" si="8"/>
        <v>0</v>
      </c>
      <c r="Y43" s="244">
        <f t="shared" si="8"/>
        <v>0</v>
      </c>
      <c r="Z43" s="244">
        <f t="shared" si="8"/>
        <v>0</v>
      </c>
    </row>
    <row r="44" spans="2:26">
      <c r="B44" s="241" t="s">
        <v>667</v>
      </c>
      <c r="C44" s="241"/>
      <c r="D44" s="241"/>
      <c r="E44" s="241"/>
      <c r="F44" s="242">
        <f>+IF(F5&gt;0,MIN(F5,-SUM($F$43:$Z$43)-SUM($E44:E$44)),0)</f>
        <v>0</v>
      </c>
      <c r="G44" s="242">
        <f>+IF(G5&gt;0,MIN(G5,-SUM($F$43:$Z$43)-SUM($E44:F$44)),0)</f>
        <v>0</v>
      </c>
      <c r="H44" s="242">
        <f>+IF(H5&gt;0,MIN(H5,-SUM($F$43:$Z$43)-SUM($E44:G$44)),0)</f>
        <v>0</v>
      </c>
      <c r="I44" s="242">
        <f ca="1">+IF(I5&gt;0,MIN(I5,-SUM($F$43:$Z$43)-SUM($E44:H$44)),0)</f>
        <v>0</v>
      </c>
      <c r="J44" s="242">
        <f ca="1">+IF(J5&gt;0,MIN(J5,-SUM($F$43:$Z$43)-SUM($E44:I$44)),0)</f>
        <v>0</v>
      </c>
      <c r="K44" s="242">
        <f ca="1">+IF(K5&gt;0,MIN(K5,-SUM($F$43:$Z$43)-SUM($E44:J$44)),0)</f>
        <v>0</v>
      </c>
      <c r="L44" s="242">
        <f ca="1">+IF(L5&gt;0,MIN(L5,-SUM($F$43:$Z$43)-SUM($E44:K$44)),0)</f>
        <v>27432010.855420474</v>
      </c>
      <c r="M44" s="242">
        <f ca="1">+IF(M5&gt;0,MIN(M5,-SUM($F$43:$Z$43)-SUM($E44:L$44)),0)</f>
        <v>4261094.7991504502</v>
      </c>
      <c r="N44" s="242">
        <f ca="1">+IF(N5&gt;0,MIN(N5,-SUM($F$43:$Z$43)-SUM($E44:M$44)),0)</f>
        <v>7583175.0578151103</v>
      </c>
      <c r="O44" s="242">
        <f ca="1">+IF(O5&gt;0,MIN(O5,-SUM($F$43:$Z$43)-SUM($E44:N$44)),0)</f>
        <v>8706143.3109712992</v>
      </c>
      <c r="P44" s="242">
        <f ca="1">+IF(P5&gt;0,MIN(P5,-SUM($F$43:$Z$43)-SUM($E44:O$44)),0)</f>
        <v>31844300.114023775</v>
      </c>
      <c r="Q44" s="242">
        <f>+IF(Q5&gt;0,MIN(Q5,-SUM($F$43:$Z$43)-SUM($E44:P$44)),0)</f>
        <v>0</v>
      </c>
      <c r="R44" s="242">
        <f>+IF(R5&gt;0,MIN(R5,-SUM($F$43:$Z$43)-SUM($E44:Q$44)),0)</f>
        <v>0</v>
      </c>
      <c r="S44" s="242">
        <f>+IF(S5&gt;0,MIN(S5,-SUM($F$43:$Z$43)-SUM($E44:R$44)),0)</f>
        <v>0</v>
      </c>
      <c r="T44" s="242">
        <f>+IF(T5&gt;0,MIN(T5,-SUM($F$43:$Z$43)-SUM($E44:S$44)),0)</f>
        <v>0</v>
      </c>
      <c r="U44" s="242">
        <f>+IF(U5&gt;0,MIN(U5,-SUM($F$43:$Z$43)-SUM($E44:T$44)),0)</f>
        <v>0</v>
      </c>
      <c r="V44" s="242">
        <f>+IF(V5&gt;0,MIN(V5,-SUM($F$43:$Z$43)-SUM($E44:U$44)),0)</f>
        <v>0</v>
      </c>
      <c r="W44" s="242">
        <f>+IF(W5&gt;0,MIN(W5,-SUM($F$43:$Z$43)-SUM($E44:V$44)),0)</f>
        <v>0</v>
      </c>
      <c r="X44" s="242">
        <f>+IF(X5&gt;0,MIN(X5,-SUM($F$43:$Z$43)-SUM($E44:W$44)),0)</f>
        <v>0</v>
      </c>
      <c r="Y44" s="242">
        <f>+IF(Y5&gt;0,MIN(Y5,-SUM($F$43:$Z$43)-SUM($E44:X$44)),0)</f>
        <v>0</v>
      </c>
      <c r="Z44" s="242">
        <f>+IF(Z5&gt;0,MIN(Z5,-SUM($F$43:$Z$43)-SUM($E44:Y$44)),0)</f>
        <v>0</v>
      </c>
    </row>
    <row r="45" spans="2:26">
      <c r="B45" s="55" t="s">
        <v>668</v>
      </c>
      <c r="C45" s="55"/>
      <c r="D45" s="55"/>
      <c r="E45" s="55"/>
      <c r="F45" s="56">
        <f ca="1">+IF(F6&lt;0,F6,0)</f>
        <v>0</v>
      </c>
      <c r="G45" s="56">
        <f t="shared" ref="G45:Z45" ca="1" si="9">+IF(G6&lt;0,G6,0)</f>
        <v>-232500406.62093925</v>
      </c>
      <c r="H45" s="56">
        <f t="shared" ca="1" si="9"/>
        <v>-166549414.1356709</v>
      </c>
      <c r="I45" s="56">
        <f t="shared" ca="1" si="9"/>
        <v>0</v>
      </c>
      <c r="J45" s="56">
        <f t="shared" ca="1" si="9"/>
        <v>0</v>
      </c>
      <c r="K45" s="56">
        <f t="shared" ca="1" si="9"/>
        <v>0</v>
      </c>
      <c r="L45" s="56">
        <f t="shared" ca="1" si="9"/>
        <v>0</v>
      </c>
      <c r="M45" s="56">
        <f t="shared" ca="1" si="9"/>
        <v>0</v>
      </c>
      <c r="N45" s="56">
        <f t="shared" ca="1" si="9"/>
        <v>0</v>
      </c>
      <c r="O45" s="56">
        <f t="shared" ca="1" si="9"/>
        <v>0</v>
      </c>
      <c r="P45" s="56">
        <f t="shared" ca="1" si="9"/>
        <v>0</v>
      </c>
      <c r="Q45" s="56">
        <f t="shared" si="9"/>
        <v>0</v>
      </c>
      <c r="R45" s="56">
        <f t="shared" si="9"/>
        <v>0</v>
      </c>
      <c r="S45" s="56">
        <f t="shared" si="9"/>
        <v>0</v>
      </c>
      <c r="T45" s="56">
        <f t="shared" si="9"/>
        <v>0</v>
      </c>
      <c r="U45" s="56">
        <f t="shared" si="9"/>
        <v>0</v>
      </c>
      <c r="V45" s="56">
        <f t="shared" si="9"/>
        <v>0</v>
      </c>
      <c r="W45" s="56">
        <f t="shared" si="9"/>
        <v>0</v>
      </c>
      <c r="X45" s="56">
        <f t="shared" si="9"/>
        <v>0</v>
      </c>
      <c r="Y45" s="56">
        <f t="shared" si="9"/>
        <v>0</v>
      </c>
      <c r="Z45" s="56">
        <f t="shared" si="9"/>
        <v>0</v>
      </c>
    </row>
    <row r="46" spans="2:26">
      <c r="B46" s="57" t="s">
        <v>669</v>
      </c>
      <c r="C46" s="57"/>
      <c r="D46" s="57"/>
      <c r="E46" s="57"/>
      <c r="F46" s="246">
        <f ca="1">+IF(F6&gt;0,MIN(F6,-SUM($F$45:$Z$45)-SUM($E$46:E46)),0)</f>
        <v>6503044.4939896166</v>
      </c>
      <c r="G46" s="246">
        <f ca="1">+IF(G6&gt;0,MIN(G6,-SUM($F$45:$Z$45)-SUM($E$46:F46)),0)</f>
        <v>0</v>
      </c>
      <c r="H46" s="246">
        <f ca="1">+IF(H6&gt;0,MIN(H6,-SUM($F$45:$Z$45)-SUM($E$46:G46)),0)</f>
        <v>0</v>
      </c>
      <c r="I46" s="246">
        <f ca="1">+IF(I6&gt;0,MIN(I6,-SUM($F$45:$Z$45)-SUM($E$46:H46)),0)</f>
        <v>119351692.87997329</v>
      </c>
      <c r="J46" s="246">
        <f ca="1">+IF(J6&gt;0,MIN(J6,-SUM($F$45:$Z$45)-SUM($E$46:I46)),0)</f>
        <v>137221682.93058118</v>
      </c>
      <c r="K46" s="246">
        <f ca="1">+IF(K6&gt;0,MIN(K6,-SUM($F$45:$Z$45)-SUM($E$46:J46)),0)</f>
        <v>7499408.2264346648</v>
      </c>
      <c r="L46" s="246">
        <f ca="1">+IF(L6&gt;0,MIN(L6,-SUM($F$45:$Z$45)-SUM($E$46:K46)),0)</f>
        <v>44547184.895911261</v>
      </c>
      <c r="M46" s="246">
        <f ca="1">+IF(M6&gt;0,MIN(M6,-SUM($F$45:$Z$45)-SUM($E$46:L46)),0)</f>
        <v>23835982.52166196</v>
      </c>
      <c r="N46" s="246">
        <f ca="1">+IF(N6&gt;0,MIN(N6,-SUM($F$45:$Z$45)-SUM($E$46:M46)),0)</f>
        <v>27686603.902108461</v>
      </c>
      <c r="O46" s="246">
        <f ca="1">+IF(O6&gt;0,MIN(O6,-SUM($F$45:$Z$45)-SUM($E$46:N46)),0)</f>
        <v>29367815.58722464</v>
      </c>
      <c r="P46" s="246">
        <f ca="1">+IF(P6&gt;0,MIN(P6,-SUM($F$45:$Z$45)-SUM($E$46:O46)),0)</f>
        <v>3036405.3187250495</v>
      </c>
      <c r="Q46" s="246">
        <f>+IF(Q6&gt;0,MIN(Q6,-SUM($F$45:$Z$45)-SUM($E$46:P46)),0)</f>
        <v>0</v>
      </c>
      <c r="R46" s="246">
        <f>+IF(R6&gt;0,MIN(R6,-SUM($F$45:$Z$45)-SUM($E$46:Q46)),0)</f>
        <v>0</v>
      </c>
      <c r="S46" s="246">
        <f>+IF(S6&gt;0,MIN(S6,-SUM($F$45:$Z$45)-SUM($E$46:R46)),0)</f>
        <v>0</v>
      </c>
      <c r="T46" s="246">
        <f>+IF(T6&gt;0,MIN(T6,-SUM($F$45:$Z$45)-SUM($E$46:S46)),0)</f>
        <v>0</v>
      </c>
      <c r="U46" s="246">
        <f>+IF(U6&gt;0,MIN(U6,-SUM($F$45:$Z$45)-SUM($E$46:T46)),0)</f>
        <v>0</v>
      </c>
      <c r="V46" s="246">
        <f>+IF(V6&gt;0,MIN(V6,-SUM($F$45:$Z$45)-SUM($E$46:U46)),0)</f>
        <v>0</v>
      </c>
      <c r="W46" s="246">
        <f>+IF(W6&gt;0,MIN(W6,-SUM($F$45:$Z$45)-SUM($E$46:V46)),0)</f>
        <v>0</v>
      </c>
      <c r="X46" s="246">
        <f>+IF(X6&gt;0,MIN(X6,-SUM($F$45:$Z$45)-SUM($E$46:W46)),0)</f>
        <v>0</v>
      </c>
      <c r="Y46" s="246">
        <f>+IF(Y6&gt;0,MIN(Y6,-SUM($F$45:$Z$45)-SUM($E$46:X46)),0)</f>
        <v>0</v>
      </c>
      <c r="Z46" s="246">
        <f>+IF(Z6&gt;0,MIN(Z6,-SUM($F$45:$Z$45)-SUM($E$46:Y46)),0)</f>
        <v>0</v>
      </c>
    </row>
    <row r="47" spans="2:26">
      <c r="B47" s="247" t="s">
        <v>670</v>
      </c>
      <c r="C47" s="82"/>
      <c r="D47" s="82"/>
      <c r="E47" s="82"/>
      <c r="F47" s="245">
        <f>+F2</f>
        <v>44561</v>
      </c>
      <c r="G47" s="245">
        <f t="shared" ref="G47:Z47" si="10">+G2</f>
        <v>44926</v>
      </c>
      <c r="H47" s="245">
        <f t="shared" si="10"/>
        <v>45291</v>
      </c>
      <c r="I47" s="245">
        <f t="shared" si="10"/>
        <v>45657</v>
      </c>
      <c r="J47" s="245">
        <f t="shared" si="10"/>
        <v>46022</v>
      </c>
      <c r="K47" s="245">
        <f t="shared" si="10"/>
        <v>46387</v>
      </c>
      <c r="L47" s="245">
        <f t="shared" si="10"/>
        <v>46752</v>
      </c>
      <c r="M47" s="245">
        <f t="shared" si="10"/>
        <v>47118</v>
      </c>
      <c r="N47" s="245">
        <f t="shared" si="10"/>
        <v>47483</v>
      </c>
      <c r="O47" s="245">
        <f t="shared" si="10"/>
        <v>47848</v>
      </c>
      <c r="P47" s="245">
        <f t="shared" si="10"/>
        <v>48213</v>
      </c>
      <c r="Q47" s="245">
        <f t="shared" si="10"/>
        <v>48579</v>
      </c>
      <c r="R47" s="245">
        <f t="shared" si="10"/>
        <v>48944</v>
      </c>
      <c r="S47" s="245">
        <f t="shared" si="10"/>
        <v>49309</v>
      </c>
      <c r="T47" s="245">
        <f t="shared" si="10"/>
        <v>49674</v>
      </c>
      <c r="U47" s="245">
        <f t="shared" si="10"/>
        <v>50040</v>
      </c>
      <c r="V47" s="245">
        <f t="shared" si="10"/>
        <v>50405</v>
      </c>
      <c r="W47" s="245">
        <f t="shared" si="10"/>
        <v>50770</v>
      </c>
      <c r="X47" s="245">
        <f t="shared" si="10"/>
        <v>51135</v>
      </c>
      <c r="Y47" s="245">
        <f t="shared" si="10"/>
        <v>51501</v>
      </c>
      <c r="Z47" s="245">
        <f t="shared" si="10"/>
        <v>51866</v>
      </c>
    </row>
    <row r="48" spans="2:26">
      <c r="B48" s="82" t="s">
        <v>3</v>
      </c>
      <c r="C48" s="82"/>
      <c r="D48" s="82"/>
      <c r="E48" s="82"/>
      <c r="F48" s="167">
        <f ca="1">-SUM($F39:F40)</f>
        <v>-6503044.4939896166</v>
      </c>
      <c r="G48" s="167">
        <f ca="1">-SUM($F39:G40)</f>
        <v>131987076.12694964</v>
      </c>
      <c r="H48" s="167">
        <f ca="1">-SUM($F39:H40)</f>
        <v>259135285.53798017</v>
      </c>
      <c r="I48" s="167">
        <f ca="1">-SUM($F39:I40)</f>
        <v>89144876.675657153</v>
      </c>
      <c r="J48" s="167">
        <f ca="1">-SUM($F39:J40)</f>
        <v>88869091.413370907</v>
      </c>
      <c r="K48" s="167">
        <f ca="1">-SUM($F39:K40)</f>
        <v>85681205.07135649</v>
      </c>
      <c r="L48" s="167">
        <f ca="1">-SUM($F39:L40)</f>
        <v>74963997.349563137</v>
      </c>
      <c r="M48" s="167">
        <f ca="1">-SUM($F39:M40)</f>
        <v>64029413.765664645</v>
      </c>
      <c r="N48" s="167">
        <f ca="1">-SUM($F39:N40)</f>
        <v>52898670.069012739</v>
      </c>
      <c r="O48" s="167">
        <f ca="1">-SUM($F39:O40)</f>
        <v>41551960.737529054</v>
      </c>
      <c r="P48" s="167">
        <f ca="1">-SUM($F39:P40)</f>
        <v>0</v>
      </c>
      <c r="Q48" s="167">
        <f ca="1">-SUM($F39:Q40)</f>
        <v>1.4901161193847656E-8</v>
      </c>
      <c r="R48" s="167">
        <f ca="1">-SUM($F39:R40)</f>
        <v>1.4901161193847656E-8</v>
      </c>
      <c r="S48" s="167">
        <f ca="1">-SUM($F39:S40)</f>
        <v>1.4901161193847656E-8</v>
      </c>
      <c r="T48" s="167">
        <f ca="1">-SUM($F39:T40)</f>
        <v>1.4901161193847656E-8</v>
      </c>
      <c r="U48" s="167">
        <f ca="1">-SUM($F39:U40)</f>
        <v>1.4901161193847656E-8</v>
      </c>
      <c r="V48" s="167">
        <f ca="1">-SUM($F39:V40)</f>
        <v>1.4901161193847656E-8</v>
      </c>
      <c r="W48" s="167">
        <f ca="1">-SUM($F39:W40)</f>
        <v>1.4901161193847656E-8</v>
      </c>
      <c r="X48" s="167">
        <f ca="1">-SUM($F39:X40)</f>
        <v>1.4901161193847656E-8</v>
      </c>
      <c r="Y48" s="167">
        <f ca="1">-SUM($F39:Y40)</f>
        <v>1.4901161193847656E-8</v>
      </c>
      <c r="Z48" s="167">
        <f ca="1">-SUM($F39:Z40)</f>
        <v>1.4901161193847656E-8</v>
      </c>
    </row>
    <row r="49" spans="2:26">
      <c r="B49" s="82" t="s">
        <v>4</v>
      </c>
      <c r="C49" s="82"/>
      <c r="D49" s="82"/>
      <c r="E49" s="82"/>
      <c r="F49" s="167">
        <f>-SUM($F41:F42)</f>
        <v>0</v>
      </c>
      <c r="G49" s="167">
        <f ca="1">-SUM($F41:G42)</f>
        <v>94010286</v>
      </c>
      <c r="H49" s="167">
        <f ca="1">-SUM($F41:H42)</f>
        <v>133411490.72464037</v>
      </c>
      <c r="I49" s="167">
        <f ca="1">-SUM($F41:I42)</f>
        <v>172812695.44928074</v>
      </c>
      <c r="J49" s="167">
        <f ca="1">-SUM($F41:J42)</f>
        <v>0</v>
      </c>
      <c r="K49" s="167">
        <f ca="1">-SUM($F41:K42)</f>
        <v>0</v>
      </c>
      <c r="L49" s="167">
        <f ca="1">-SUM($F41:L42)</f>
        <v>0</v>
      </c>
      <c r="M49" s="167">
        <f ca="1">-SUM($F41:M42)</f>
        <v>0</v>
      </c>
      <c r="N49" s="167">
        <f ca="1">-SUM($F41:N42)</f>
        <v>0</v>
      </c>
      <c r="O49" s="167">
        <f ca="1">-SUM($F41:O42)</f>
        <v>0</v>
      </c>
      <c r="P49" s="167">
        <f ca="1">-SUM($F41:P42)</f>
        <v>0</v>
      </c>
      <c r="Q49" s="167">
        <f ca="1">-SUM($F41:Q42)</f>
        <v>0</v>
      </c>
      <c r="R49" s="167">
        <f ca="1">-SUM($F41:R42)</f>
        <v>0</v>
      </c>
      <c r="S49" s="167">
        <f ca="1">-SUM($F41:S42)</f>
        <v>0</v>
      </c>
      <c r="T49" s="167">
        <f ca="1">-SUM($F41:T42)</f>
        <v>0</v>
      </c>
      <c r="U49" s="167">
        <f ca="1">-SUM($F41:U42)</f>
        <v>0</v>
      </c>
      <c r="V49" s="167">
        <f ca="1">-SUM($F41:V42)</f>
        <v>0</v>
      </c>
      <c r="W49" s="167">
        <f ca="1">-SUM($F41:W42)</f>
        <v>0</v>
      </c>
      <c r="X49" s="167">
        <f ca="1">-SUM($F41:X42)</f>
        <v>0</v>
      </c>
      <c r="Y49" s="167">
        <f ca="1">-SUM($F41:Y42)</f>
        <v>0</v>
      </c>
      <c r="Z49" s="167">
        <f ca="1">-SUM($F41:Z42)</f>
        <v>0</v>
      </c>
    </row>
    <row r="50" spans="2:26">
      <c r="B50" s="82" t="s">
        <v>5</v>
      </c>
      <c r="C50" s="82"/>
      <c r="D50" s="82"/>
      <c r="E50" s="82"/>
      <c r="F50" s="167">
        <f>-SUM($F43:F44)</f>
        <v>0</v>
      </c>
      <c r="G50" s="167">
        <f>-SUM($F43:G44)</f>
        <v>0</v>
      </c>
      <c r="H50" s="167">
        <f>-SUM($F43:H44)</f>
        <v>0</v>
      </c>
      <c r="I50" s="167">
        <f ca="1">-SUM($F43:I44)</f>
        <v>11237511.257709347</v>
      </c>
      <c r="J50" s="167">
        <f ca="1">-SUM($F43:J44)</f>
        <v>79826724.137381107</v>
      </c>
      <c r="K50" s="167">
        <f ca="1">-SUM($F43:K44)</f>
        <v>79826724.137381107</v>
      </c>
      <c r="L50" s="167">
        <f ca="1">-SUM($F43:L44)</f>
        <v>52394713.281960636</v>
      </c>
      <c r="M50" s="167">
        <f ca="1">-SUM($F43:M44)</f>
        <v>48133618.482810184</v>
      </c>
      <c r="N50" s="167">
        <f ca="1">-SUM($F43:N44)</f>
        <v>40550443.424995072</v>
      </c>
      <c r="O50" s="167">
        <f ca="1">-SUM($F43:O44)</f>
        <v>31844300.114023775</v>
      </c>
      <c r="P50" s="167">
        <f ca="1">-SUM($F43:P44)</f>
        <v>0</v>
      </c>
      <c r="Q50" s="167">
        <f ca="1">-SUM($F43:Q44)</f>
        <v>0</v>
      </c>
      <c r="R50" s="167">
        <f ca="1">-SUM($F43:R44)</f>
        <v>0</v>
      </c>
      <c r="S50" s="167">
        <f ca="1">-SUM($F43:S44)</f>
        <v>0</v>
      </c>
      <c r="T50" s="167">
        <f ca="1">-SUM($F43:T44)</f>
        <v>0</v>
      </c>
      <c r="U50" s="167">
        <f ca="1">-SUM($F43:U44)</f>
        <v>0</v>
      </c>
      <c r="V50" s="167">
        <f ca="1">-SUM($F43:V44)</f>
        <v>0</v>
      </c>
      <c r="W50" s="167">
        <f ca="1">-SUM($F43:W44)</f>
        <v>0</v>
      </c>
      <c r="X50" s="167">
        <f ca="1">-SUM($F43:X44)</f>
        <v>0</v>
      </c>
      <c r="Y50" s="167">
        <f ca="1">-SUM($F43:Y44)</f>
        <v>0</v>
      </c>
      <c r="Z50" s="167">
        <f ca="1">-SUM($F43:Z44)</f>
        <v>0</v>
      </c>
    </row>
    <row r="51" spans="2:26">
      <c r="B51" s="82" t="s">
        <v>671</v>
      </c>
      <c r="C51" s="82"/>
      <c r="D51" s="82"/>
      <c r="E51" s="82"/>
      <c r="F51" s="167">
        <f ca="1">-SUM($F45:F46)</f>
        <v>-6503044.4939896166</v>
      </c>
      <c r="G51" s="167">
        <f ca="1">-SUM($F45:G46)</f>
        <v>225997362.12694964</v>
      </c>
      <c r="H51" s="167">
        <f ca="1">-SUM($F45:H46)</f>
        <v>392546776.26262057</v>
      </c>
      <c r="I51" s="167">
        <f ca="1">-SUM($F45:I46)</f>
        <v>273195083.38264728</v>
      </c>
      <c r="J51" s="167">
        <f ca="1">-SUM($F45:J46)</f>
        <v>135973400.45206609</v>
      </c>
      <c r="K51" s="167">
        <f ca="1">-SUM($F45:K46)</f>
        <v>128473992.22563143</v>
      </c>
      <c r="L51" s="167">
        <f ca="1">-SUM($F45:L46)</f>
        <v>83926807.329720169</v>
      </c>
      <c r="M51" s="167">
        <f ca="1">-SUM($F45:M46)</f>
        <v>60090824.80805821</v>
      </c>
      <c r="N51" s="167">
        <f ca="1">-SUM($F45:N46)</f>
        <v>32404220.905949749</v>
      </c>
      <c r="O51" s="167">
        <f ca="1">-SUM($F45:O46)</f>
        <v>3036405.3187251091</v>
      </c>
      <c r="P51" s="167">
        <f ca="1">-SUM($F45:P46)</f>
        <v>5.9604644775390625E-8</v>
      </c>
      <c r="Q51" s="167">
        <f ca="1">-SUM($F45:Q46)</f>
        <v>5.9604644775390625E-8</v>
      </c>
      <c r="R51" s="167">
        <f ca="1">-SUM($F45:R46)</f>
        <v>5.9604644775390625E-8</v>
      </c>
      <c r="S51" s="167">
        <f ca="1">-SUM($F45:S46)</f>
        <v>5.9604644775390625E-8</v>
      </c>
      <c r="T51" s="167">
        <f ca="1">-SUM($F45:T46)</f>
        <v>5.9604644775390625E-8</v>
      </c>
      <c r="U51" s="167">
        <f ca="1">-SUM($F45:U46)</f>
        <v>5.9604644775390625E-8</v>
      </c>
      <c r="V51" s="167">
        <f ca="1">-SUM($F45:V46)</f>
        <v>5.9604644775390625E-8</v>
      </c>
      <c r="W51" s="167">
        <f ca="1">-SUM($F45:W46)</f>
        <v>5.9604644775390625E-8</v>
      </c>
      <c r="X51" s="167">
        <f ca="1">-SUM($F45:X46)</f>
        <v>5.9604644775390625E-8</v>
      </c>
      <c r="Y51" s="167">
        <f ca="1">-SUM($F45:Y46)</f>
        <v>5.9604644775390625E-8</v>
      </c>
      <c r="Z51" s="167">
        <f ca="1">-SUM($F45:Z46)</f>
        <v>5.9604644775390625E-8</v>
      </c>
    </row>
    <row r="54" spans="2:26">
      <c r="C54" s="21" t="s">
        <v>672</v>
      </c>
      <c r="D54" s="21" t="s">
        <v>673</v>
      </c>
    </row>
    <row r="55" spans="2:26">
      <c r="B55" s="21" t="s">
        <v>3</v>
      </c>
      <c r="C55" s="53">
        <v>0.1</v>
      </c>
      <c r="D55" s="53">
        <v>0.124</v>
      </c>
      <c r="E55" s="53" t="s">
        <v>246</v>
      </c>
    </row>
    <row r="56" spans="2:26">
      <c r="B56" s="21" t="s">
        <v>4</v>
      </c>
      <c r="C56" s="53">
        <v>0.151</v>
      </c>
      <c r="D56" s="53">
        <v>0.248</v>
      </c>
      <c r="E56" s="53" t="s">
        <v>246</v>
      </c>
    </row>
    <row r="57" spans="2:26">
      <c r="B57" s="21" t="s">
        <v>5</v>
      </c>
      <c r="C57" s="53">
        <v>0.104</v>
      </c>
      <c r="D57" s="53">
        <v>0.223</v>
      </c>
      <c r="E57" s="53" t="s">
        <v>246</v>
      </c>
    </row>
    <row r="58" spans="2:26">
      <c r="B58" s="21" t="s">
        <v>210</v>
      </c>
      <c r="C58" s="53">
        <v>0.12</v>
      </c>
      <c r="D58" s="53">
        <v>0.185</v>
      </c>
      <c r="E58" s="53" t="s">
        <v>766</v>
      </c>
    </row>
    <row r="59" spans="2:26">
      <c r="C59" s="21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3:AU23"/>
  <sheetViews>
    <sheetView showGridLines="0" zoomScale="50" zoomScaleNormal="50" workbookViewId="0">
      <selection activeCell="E18" sqref="E18"/>
    </sheetView>
  </sheetViews>
  <sheetFormatPr defaultColWidth="14.453125" defaultRowHeight="16" customHeight="1"/>
  <cols>
    <col min="1" max="1" width="8.7265625" style="21" customWidth="1"/>
    <col min="2" max="2" width="17.7265625" style="21" customWidth="1"/>
    <col min="3" max="4" width="8.7265625" style="21" customWidth="1"/>
    <col min="5" max="5" width="18" style="21" customWidth="1"/>
    <col min="6" max="6" width="16.26953125" style="21" customWidth="1"/>
    <col min="7" max="7" width="16.81640625" style="21" bestFit="1" customWidth="1"/>
    <col min="8" max="8" width="14.81640625" style="21" bestFit="1" customWidth="1"/>
    <col min="9" max="13" width="14.453125" style="21"/>
    <col min="14" max="15" width="14.81640625" style="21" bestFit="1" customWidth="1"/>
    <col min="16" max="16384" width="14.453125" style="21"/>
  </cols>
  <sheetData>
    <row r="3" spans="2:47" ht="16" customHeight="1">
      <c r="B3" s="73" t="s">
        <v>674</v>
      </c>
      <c r="F3" s="75"/>
      <c r="G3" s="75">
        <f>+'Cash Flow Roll-up'!F2</f>
        <v>44561</v>
      </c>
      <c r="H3" s="75">
        <f>+EOMONTH(G3,12)</f>
        <v>44926</v>
      </c>
      <c r="I3" s="75">
        <f t="shared" ref="I3:AB3" si="0">+EOMONTH(H3,12)</f>
        <v>45291</v>
      </c>
      <c r="J3" s="75">
        <f t="shared" si="0"/>
        <v>45657</v>
      </c>
      <c r="K3" s="75">
        <f t="shared" si="0"/>
        <v>46022</v>
      </c>
      <c r="L3" s="75">
        <f t="shared" si="0"/>
        <v>46387</v>
      </c>
      <c r="M3" s="75">
        <f t="shared" si="0"/>
        <v>46752</v>
      </c>
      <c r="N3" s="75">
        <f t="shared" si="0"/>
        <v>47118</v>
      </c>
      <c r="O3" s="75">
        <f t="shared" si="0"/>
        <v>47483</v>
      </c>
      <c r="P3" s="75">
        <f t="shared" si="0"/>
        <v>47848</v>
      </c>
      <c r="Q3" s="75">
        <f t="shared" si="0"/>
        <v>48213</v>
      </c>
      <c r="R3" s="75">
        <f t="shared" si="0"/>
        <v>48579</v>
      </c>
      <c r="S3" s="75">
        <f t="shared" si="0"/>
        <v>48944</v>
      </c>
      <c r="T3" s="75">
        <f t="shared" si="0"/>
        <v>49309</v>
      </c>
      <c r="U3" s="75">
        <f t="shared" si="0"/>
        <v>49674</v>
      </c>
      <c r="V3" s="75">
        <f t="shared" si="0"/>
        <v>50040</v>
      </c>
      <c r="W3" s="75">
        <f t="shared" si="0"/>
        <v>50405</v>
      </c>
      <c r="X3" s="75">
        <f t="shared" si="0"/>
        <v>50770</v>
      </c>
      <c r="Y3" s="75">
        <f t="shared" si="0"/>
        <v>51135</v>
      </c>
      <c r="Z3" s="75">
        <f t="shared" si="0"/>
        <v>51501</v>
      </c>
      <c r="AA3" s="75">
        <f t="shared" si="0"/>
        <v>51866</v>
      </c>
      <c r="AB3" s="75">
        <f t="shared" si="0"/>
        <v>52231</v>
      </c>
      <c r="AC3" s="75">
        <f t="shared" ref="AC3" si="1">+EOMONTH(AB3,12)</f>
        <v>52596</v>
      </c>
      <c r="AD3" s="75">
        <f t="shared" ref="AD3" si="2">+EOMONTH(AC3,12)</f>
        <v>52962</v>
      </c>
      <c r="AE3" s="75">
        <f t="shared" ref="AE3" si="3">+EOMONTH(AD3,12)</f>
        <v>53327</v>
      </c>
      <c r="AF3" s="75">
        <f t="shared" ref="AF3" si="4">+EOMONTH(AE3,12)</f>
        <v>53692</v>
      </c>
      <c r="AG3" s="75">
        <f t="shared" ref="AG3" si="5">+EOMONTH(AF3,12)</f>
        <v>54057</v>
      </c>
      <c r="AH3" s="75">
        <f t="shared" ref="AH3" si="6">+EOMONTH(AG3,12)</f>
        <v>54423</v>
      </c>
      <c r="AI3" s="75">
        <f t="shared" ref="AI3" si="7">+EOMONTH(AH3,12)</f>
        <v>54788</v>
      </c>
      <c r="AJ3" s="75">
        <f t="shared" ref="AJ3" si="8">+EOMONTH(AI3,12)</f>
        <v>55153</v>
      </c>
      <c r="AK3" s="75">
        <f t="shared" ref="AK3" si="9">+EOMONTH(AJ3,12)</f>
        <v>55518</v>
      </c>
      <c r="AL3" s="75">
        <f t="shared" ref="AL3" si="10">+EOMONTH(AK3,12)</f>
        <v>55884</v>
      </c>
      <c r="AM3" s="75">
        <f t="shared" ref="AM3" si="11">+EOMONTH(AL3,12)</f>
        <v>56249</v>
      </c>
      <c r="AN3" s="75">
        <f t="shared" ref="AN3" si="12">+EOMONTH(AM3,12)</f>
        <v>56614</v>
      </c>
      <c r="AO3" s="75">
        <f t="shared" ref="AO3" si="13">+EOMONTH(AN3,12)</f>
        <v>56979</v>
      </c>
      <c r="AP3" s="75">
        <f t="shared" ref="AP3" si="14">+EOMONTH(AO3,12)</f>
        <v>57345</v>
      </c>
      <c r="AQ3" s="75">
        <f t="shared" ref="AQ3" si="15">+EOMONTH(AP3,12)</f>
        <v>57710</v>
      </c>
      <c r="AR3" s="75">
        <f t="shared" ref="AR3" si="16">+EOMONTH(AQ3,12)</f>
        <v>58075</v>
      </c>
      <c r="AS3" s="75">
        <f t="shared" ref="AS3" si="17">+EOMONTH(AR3,12)</f>
        <v>58440</v>
      </c>
      <c r="AT3" s="75">
        <f t="shared" ref="AT3" si="18">+EOMONTH(AS3,12)</f>
        <v>58806</v>
      </c>
      <c r="AU3" s="75">
        <f t="shared" ref="AU3" si="19">+EOMONTH(AT3,12)</f>
        <v>59171</v>
      </c>
    </row>
    <row r="4" spans="2:47" ht="16" customHeight="1">
      <c r="B4" s="15" t="s">
        <v>675</v>
      </c>
      <c r="D4" s="26"/>
      <c r="F4" s="16">
        <f t="shared" ref="F4:F9" si="20">+NPV($E$11,G4:AU4)</f>
        <v>8249407.5330174891</v>
      </c>
      <c r="G4" s="76">
        <f>+SUMIF(Assumptions!$F$22:$H$22,'Public Benefits'!G$3,Infrastructure!$G$6:$I$6)+SUMIF(Assumptions!$F$24:$H$24,'Public Benefits'!G$3,Infrastructure!$G$7:$I$7)</f>
        <v>3885480</v>
      </c>
      <c r="H4" s="76">
        <f>+SUMIF(Assumptions!$F$22:$H$22,'Public Benefits'!H$3,Infrastructure!$G$6:$I$6)+SUMIF(Assumptions!$F$24:$H$24,'Public Benefits'!H$3,Infrastructure!$G$7:$I$7)</f>
        <v>3718097.9999999995</v>
      </c>
      <c r="I4" s="76">
        <f>+SUMIF(Assumptions!$F$22:$H$22,'Public Benefits'!I$3,Infrastructure!$G$6:$I$6)+SUMIF(Assumptions!$F$24:$H$24,'Public Benefits'!I$3,Infrastructure!$G$7:$I$7)</f>
        <v>686681.99999999988</v>
      </c>
      <c r="J4" s="76">
        <f>+SUMIF(Assumptions!$F$22:$H$22,'Public Benefits'!J$3,Infrastructure!$G$6:$I$6)+SUMIF(Assumptions!$F$24:$H$24,'Public Benefits'!J$3,Infrastructure!$G$7:$I$7)</f>
        <v>1346183.9999999998</v>
      </c>
      <c r="K4" s="76">
        <f>+SUMIF(Assumptions!$F$22:$H$22,'Public Benefits'!K$3,Infrastructure!$G$6:$I$6)+SUMIF(Assumptions!$F$24:$H$24,'Public Benefits'!K$3,Infrastructure!$G$7:$I$7)</f>
        <v>336545.99999999994</v>
      </c>
      <c r="L4" s="76">
        <f>+SUMIF(Assumptions!$F$22:$H$22,'Public Benefits'!L$3,Infrastructure!$G$6:$I$6)+SUMIF(Assumptions!$F$24:$H$24,'Public Benefits'!L$3,Infrastructure!$G$7:$I$7)</f>
        <v>0</v>
      </c>
      <c r="M4" s="76">
        <f>+SUMIF(Assumptions!$F$22:$H$22,'Public Benefits'!M$3,Infrastructure!$G$6:$I$6)+SUMIF(Assumptions!$F$24:$H$24,'Public Benefits'!M$3,Infrastructure!$G$7:$I$7)</f>
        <v>0</v>
      </c>
      <c r="N4" s="76">
        <f>+SUMIF(Assumptions!$F$22:$H$22,'Public Benefits'!N$3,Infrastructure!$G$6:$I$6)+SUMIF(Assumptions!$F$24:$H$24,'Public Benefits'!N$3,Infrastructure!$G$7:$I$7)</f>
        <v>0</v>
      </c>
      <c r="O4" s="76">
        <f>+SUMIF(Assumptions!$F$22:$H$22,'Public Benefits'!O$3,Infrastructure!$G$6:$I$6)+SUMIF(Assumptions!$F$24:$H$24,'Public Benefits'!O$3,Infrastructure!$G$7:$I$7)</f>
        <v>0</v>
      </c>
      <c r="P4" s="76">
        <f>+SUMIF(Assumptions!$F$22:$H$22,'Public Benefits'!P$3,Infrastructure!$G$6:$I$6)+SUMIF(Assumptions!$F$24:$H$24,'Public Benefits'!P$3,Infrastructure!$G$7:$I$7)</f>
        <v>0</v>
      </c>
      <c r="Q4" s="76">
        <f>+SUMIF(Assumptions!$F$22:$H$22,'Public Benefits'!Q$3,Infrastructure!$G$6:$I$6)+SUMIF(Assumptions!$F$24:$H$24,'Public Benefits'!Q$3,Infrastructure!$G$7:$I$7)</f>
        <v>0</v>
      </c>
      <c r="R4" s="76">
        <f>+SUMIF(Assumptions!$F$22:$H$22,'Public Benefits'!R$3,Infrastructure!$G$6:$I$6)+SUMIF(Assumptions!$F$24:$H$24,'Public Benefits'!R$3,Infrastructure!$G$7:$I$7)</f>
        <v>0</v>
      </c>
      <c r="S4" s="76">
        <f>+SUMIF(Assumptions!$F$22:$H$22,'Public Benefits'!S$3,Infrastructure!$G$6:$I$6)+SUMIF(Assumptions!$F$24:$H$24,'Public Benefits'!S$3,Infrastructure!$G$7:$I$7)</f>
        <v>0</v>
      </c>
      <c r="T4" s="76">
        <f>+SUMIF(Assumptions!$F$22:$H$22,'Public Benefits'!T$3,Infrastructure!$G$6:$I$6)+SUMIF(Assumptions!$F$24:$H$24,'Public Benefits'!T$3,Infrastructure!$G$7:$I$7)</f>
        <v>0</v>
      </c>
      <c r="U4" s="76">
        <f>+SUMIF(Assumptions!$F$22:$H$22,'Public Benefits'!U$3,Infrastructure!$G$6:$I$6)+SUMIF(Assumptions!$F$24:$H$24,'Public Benefits'!U$3,Infrastructure!$G$7:$I$7)</f>
        <v>0</v>
      </c>
      <c r="V4" s="76">
        <f>+SUMIF(Assumptions!$F$22:$H$22,'Public Benefits'!V$3,Infrastructure!$G$6:$I$6)+SUMIF(Assumptions!$F$24:$H$24,'Public Benefits'!V$3,Infrastructure!$G$7:$I$7)</f>
        <v>0</v>
      </c>
      <c r="W4" s="76">
        <f>+SUMIF(Assumptions!$F$22:$H$22,'Public Benefits'!W$3,Infrastructure!$G$6:$I$6)+SUMIF(Assumptions!$F$24:$H$24,'Public Benefits'!W$3,Infrastructure!$G$7:$I$7)</f>
        <v>0</v>
      </c>
      <c r="X4" s="76">
        <f>+SUMIF(Assumptions!$F$22:$H$22,'Public Benefits'!X$3,Infrastructure!$G$6:$I$6)+SUMIF(Assumptions!$F$24:$H$24,'Public Benefits'!X$3,Infrastructure!$G$7:$I$7)</f>
        <v>0</v>
      </c>
      <c r="Y4" s="76">
        <f>+SUMIF(Assumptions!$F$22:$H$22,'Public Benefits'!Y$3,Infrastructure!$G$6:$I$6)+SUMIF(Assumptions!$F$24:$H$24,'Public Benefits'!Y$3,Infrastructure!$G$7:$I$7)</f>
        <v>0</v>
      </c>
      <c r="Z4" s="76">
        <f>+SUMIF(Assumptions!$F$22:$H$22,'Public Benefits'!Z$3,Infrastructure!$G$6:$I$6)+SUMIF(Assumptions!$F$24:$H$24,'Public Benefits'!Z$3,Infrastructure!$G$7:$I$7)</f>
        <v>0</v>
      </c>
      <c r="AA4" s="76">
        <f>+SUMIF(Assumptions!$F$22:$H$22,'Public Benefits'!AA$3,Infrastructure!$G$6:$I$6)+SUMIF(Assumptions!$F$24:$H$24,'Public Benefits'!AA$3,Infrastructure!$G$7:$I$7)</f>
        <v>0</v>
      </c>
      <c r="AB4" s="76">
        <f>+SUMIF(Assumptions!$F$22:$H$22,'Public Benefits'!AB$3,Infrastructure!$G$6:$I$6)+SUMIF(Assumptions!$F$24:$H$24,'Public Benefits'!AB$3,Infrastructure!$G$7:$I$7)</f>
        <v>0</v>
      </c>
      <c r="AC4" s="76">
        <f>+SUMIF(Assumptions!$F$22:$H$22,'Public Benefits'!AC$3,Infrastructure!$G$6:$I$6)+SUMIF(Assumptions!$F$24:$H$24,'Public Benefits'!AC$3,Infrastructure!$G$7:$I$7)</f>
        <v>0</v>
      </c>
      <c r="AD4" s="76">
        <f>+SUMIF(Assumptions!$F$22:$H$22,'Public Benefits'!AD$3,Infrastructure!$G$6:$I$6)+SUMIF(Assumptions!$F$24:$H$24,'Public Benefits'!AD$3,Infrastructure!$G$7:$I$7)</f>
        <v>0</v>
      </c>
      <c r="AE4" s="76">
        <f>+SUMIF(Assumptions!$F$22:$H$22,'Public Benefits'!AE$3,Infrastructure!$G$6:$I$6)+SUMIF(Assumptions!$F$24:$H$24,'Public Benefits'!AE$3,Infrastructure!$G$7:$I$7)</f>
        <v>0</v>
      </c>
      <c r="AF4" s="76">
        <f>+SUMIF(Assumptions!$F$22:$H$22,'Public Benefits'!AF$3,Infrastructure!$G$6:$I$6)+SUMIF(Assumptions!$F$24:$H$24,'Public Benefits'!AF$3,Infrastructure!$G$7:$I$7)</f>
        <v>0</v>
      </c>
      <c r="AG4" s="76">
        <f>+SUMIF(Assumptions!$F$22:$H$22,'Public Benefits'!AG$3,Infrastructure!$G$6:$I$6)+SUMIF(Assumptions!$F$24:$H$24,'Public Benefits'!AG$3,Infrastructure!$G$7:$I$7)</f>
        <v>0</v>
      </c>
      <c r="AH4" s="76">
        <f>+SUMIF(Assumptions!$F$22:$H$22,'Public Benefits'!AH$3,Infrastructure!$G$6:$I$6)+SUMIF(Assumptions!$F$24:$H$24,'Public Benefits'!AH$3,Infrastructure!$G$7:$I$7)</f>
        <v>0</v>
      </c>
      <c r="AI4" s="76">
        <f>+SUMIF(Assumptions!$F$22:$H$22,'Public Benefits'!AI$3,Infrastructure!$G$6:$I$6)+SUMIF(Assumptions!$F$24:$H$24,'Public Benefits'!AI$3,Infrastructure!$G$7:$I$7)</f>
        <v>0</v>
      </c>
      <c r="AJ4" s="76">
        <f>+SUMIF(Assumptions!$F$22:$H$22,'Public Benefits'!AJ$3,Infrastructure!$G$6:$I$6)+SUMIF(Assumptions!$F$24:$H$24,'Public Benefits'!AJ$3,Infrastructure!$G$7:$I$7)</f>
        <v>0</v>
      </c>
      <c r="AK4" s="76">
        <f>+SUMIF(Assumptions!$F$22:$H$22,'Public Benefits'!AK$3,Infrastructure!$G$6:$I$6)+SUMIF(Assumptions!$F$24:$H$24,'Public Benefits'!AK$3,Infrastructure!$G$7:$I$7)</f>
        <v>0</v>
      </c>
      <c r="AL4" s="76">
        <f>+SUMIF(Assumptions!$F$22:$H$22,'Public Benefits'!AL$3,Infrastructure!$G$6:$I$6)+SUMIF(Assumptions!$F$24:$H$24,'Public Benefits'!AL$3,Infrastructure!$G$7:$I$7)</f>
        <v>0</v>
      </c>
      <c r="AM4" s="76">
        <f>+SUMIF(Assumptions!$F$22:$H$22,'Public Benefits'!AM$3,Infrastructure!$G$6:$I$6)+SUMIF(Assumptions!$F$24:$H$24,'Public Benefits'!AM$3,Infrastructure!$G$7:$I$7)</f>
        <v>0</v>
      </c>
      <c r="AN4" s="76">
        <f>+SUMIF(Assumptions!$F$22:$H$22,'Public Benefits'!AN$3,Infrastructure!$G$6:$I$6)+SUMIF(Assumptions!$F$24:$H$24,'Public Benefits'!AN$3,Infrastructure!$G$7:$I$7)</f>
        <v>0</v>
      </c>
      <c r="AO4" s="76">
        <f>+SUMIF(Assumptions!$F$22:$H$22,'Public Benefits'!AO$3,Infrastructure!$G$6:$I$6)+SUMIF(Assumptions!$F$24:$H$24,'Public Benefits'!AO$3,Infrastructure!$G$7:$I$7)</f>
        <v>0</v>
      </c>
      <c r="AP4" s="76">
        <f>+SUMIF(Assumptions!$F$22:$H$22,'Public Benefits'!AP$3,Infrastructure!$G$6:$I$6)+SUMIF(Assumptions!$F$24:$H$24,'Public Benefits'!AP$3,Infrastructure!$G$7:$I$7)</f>
        <v>0</v>
      </c>
      <c r="AQ4" s="76">
        <f>+SUMIF(Assumptions!$F$22:$H$22,'Public Benefits'!AQ$3,Infrastructure!$G$6:$I$6)+SUMIF(Assumptions!$F$24:$H$24,'Public Benefits'!AQ$3,Infrastructure!$G$7:$I$7)</f>
        <v>0</v>
      </c>
      <c r="AR4" s="76">
        <f>+SUMIF(Assumptions!$F$22:$H$22,'Public Benefits'!AR$3,Infrastructure!$G$6:$I$6)+SUMIF(Assumptions!$F$24:$H$24,'Public Benefits'!AR$3,Infrastructure!$G$7:$I$7)</f>
        <v>0</v>
      </c>
      <c r="AS4" s="76">
        <f>+SUMIF(Assumptions!$F$22:$H$22,'Public Benefits'!AS$3,Infrastructure!$G$6:$I$6)+SUMIF(Assumptions!$F$24:$H$24,'Public Benefits'!AS$3,Infrastructure!$G$7:$I$7)</f>
        <v>0</v>
      </c>
      <c r="AT4" s="76">
        <f>+SUMIF(Assumptions!$F$22:$H$22,'Public Benefits'!AT$3,Infrastructure!$G$6:$I$6)+SUMIF(Assumptions!$F$24:$H$24,'Public Benefits'!AT$3,Infrastructure!$G$7:$I$7)</f>
        <v>0</v>
      </c>
      <c r="AU4" s="76">
        <f>+SUMIF(Assumptions!$F$22:$H$22,'Public Benefits'!AU$3,Infrastructure!$G$6:$I$6)+SUMIF(Assumptions!$F$24:$H$24,'Public Benefits'!AU$3,Infrastructure!$G$7:$I$7)</f>
        <v>0</v>
      </c>
    </row>
    <row r="5" spans="2:47" ht="16" customHeight="1">
      <c r="B5" s="15" t="s">
        <v>406</v>
      </c>
      <c r="D5" s="11"/>
      <c r="F5" s="16">
        <f t="shared" si="20"/>
        <v>0</v>
      </c>
      <c r="G5" s="76">
        <f>+IF(G$3=Assumptions!$H$22,Infrastructure!$I$16,0)</f>
        <v>0</v>
      </c>
      <c r="H5" s="76">
        <f>+IF(H$3=Assumptions!$H$22,Infrastructure!$I$16,0)</f>
        <v>0</v>
      </c>
      <c r="I5" s="76">
        <f>+IF(I$3=Assumptions!$H$22,Infrastructure!$I$16,0)</f>
        <v>0</v>
      </c>
      <c r="J5" s="76">
        <f>+IF(J$3=Assumptions!$H$22,Infrastructure!$I$16,0)</f>
        <v>0</v>
      </c>
      <c r="K5" s="76">
        <f>+IF(K$3=Assumptions!$H$22,Infrastructure!$I$16,0)</f>
        <v>0</v>
      </c>
      <c r="L5" s="76">
        <f>+IF(L$3=Assumptions!$H$22,Infrastructure!$I$16,0)</f>
        <v>0</v>
      </c>
      <c r="M5" s="76">
        <f>+IF(M$3=Assumptions!$H$22,Infrastructure!$I$16,0)</f>
        <v>0</v>
      </c>
      <c r="N5" s="76">
        <f>+IF(N$3=Assumptions!$H$22,Infrastructure!$I$16,0)</f>
        <v>0</v>
      </c>
      <c r="O5" s="76">
        <f>+IF(O$3=Assumptions!$H$22,Infrastructure!$I$16,0)</f>
        <v>0</v>
      </c>
      <c r="P5" s="76">
        <f>+IF(P$3=Assumptions!$H$22,Infrastructure!$I$16,0)</f>
        <v>0</v>
      </c>
      <c r="Q5" s="76">
        <f>+IF(Q$3=Assumptions!$H$22,Infrastructure!$I$16,0)</f>
        <v>0</v>
      </c>
      <c r="R5" s="76">
        <f>+IF(R$3=Assumptions!$H$22,Infrastructure!$I$16,0)</f>
        <v>0</v>
      </c>
      <c r="S5" s="76">
        <f>+IF(S$3=Assumptions!$H$22,Infrastructure!$I$16,0)</f>
        <v>0</v>
      </c>
      <c r="T5" s="76">
        <f>+IF(T$3=Assumptions!$H$22,Infrastructure!$I$16,0)</f>
        <v>0</v>
      </c>
      <c r="U5" s="76">
        <f>+IF(U$3=Assumptions!$H$22,Infrastructure!$I$16,0)</f>
        <v>0</v>
      </c>
      <c r="V5" s="76">
        <f>+IF(V$3=Assumptions!$H$22,Infrastructure!$I$16,0)</f>
        <v>0</v>
      </c>
      <c r="W5" s="76">
        <f>+IF(W$3=Assumptions!$H$22,Infrastructure!$I$16,0)</f>
        <v>0</v>
      </c>
      <c r="X5" s="76">
        <f>+IF(X$3=Assumptions!$H$22,Infrastructure!$I$16,0)</f>
        <v>0</v>
      </c>
      <c r="Y5" s="76">
        <f>+IF(Y$3=Assumptions!$H$22,Infrastructure!$I$16,0)</f>
        <v>0</v>
      </c>
      <c r="Z5" s="76">
        <f>+IF(Z$3=Assumptions!$H$22,Infrastructure!$I$16,0)</f>
        <v>0</v>
      </c>
      <c r="AA5" s="76">
        <f>+IF(AA$3=Assumptions!$H$22,Infrastructure!$I$16,0)</f>
        <v>0</v>
      </c>
      <c r="AB5" s="76">
        <f>+IF(AB$3=Assumptions!$H$22,Infrastructure!$I$16,0)</f>
        <v>0</v>
      </c>
      <c r="AC5" s="76">
        <f>+IF(AC$3=Assumptions!$H$22,Infrastructure!$I$16,0)</f>
        <v>0</v>
      </c>
      <c r="AD5" s="76">
        <f>+IF(AD$3=Assumptions!$H$22,Infrastructure!$I$16,0)</f>
        <v>0</v>
      </c>
      <c r="AE5" s="76">
        <f>+IF(AE$3=Assumptions!$H$22,Infrastructure!$I$16,0)</f>
        <v>0</v>
      </c>
      <c r="AF5" s="76">
        <f>+IF(AF$3=Assumptions!$H$22,Infrastructure!$I$16,0)</f>
        <v>0</v>
      </c>
      <c r="AG5" s="76">
        <f>+IF(AG$3=Assumptions!$H$22,Infrastructure!$I$16,0)</f>
        <v>0</v>
      </c>
      <c r="AH5" s="76">
        <f>+IF(AH$3=Assumptions!$H$22,Infrastructure!$I$16,0)</f>
        <v>0</v>
      </c>
      <c r="AI5" s="76">
        <f>+IF(AI$3=Assumptions!$H$22,Infrastructure!$I$16,0)</f>
        <v>0</v>
      </c>
      <c r="AJ5" s="76">
        <f>+IF(AJ$3=Assumptions!$H$22,Infrastructure!$I$16,0)</f>
        <v>0</v>
      </c>
      <c r="AK5" s="76">
        <f>+IF(AK$3=Assumptions!$H$22,Infrastructure!$I$16,0)</f>
        <v>0</v>
      </c>
      <c r="AL5" s="76">
        <f>+IF(AL$3=Assumptions!$H$22,Infrastructure!$I$16,0)</f>
        <v>0</v>
      </c>
      <c r="AM5" s="76">
        <f>+IF(AM$3=Assumptions!$H$22,Infrastructure!$I$16,0)</f>
        <v>0</v>
      </c>
      <c r="AN5" s="76">
        <f>+IF(AN$3=Assumptions!$H$22,Infrastructure!$I$16,0)</f>
        <v>0</v>
      </c>
      <c r="AO5" s="76">
        <f>+IF(AO$3=Assumptions!$H$22,Infrastructure!$I$16,0)</f>
        <v>0</v>
      </c>
      <c r="AP5" s="76">
        <f>+IF(AP$3=Assumptions!$H$22,Infrastructure!$I$16,0)</f>
        <v>0</v>
      </c>
      <c r="AQ5" s="76">
        <f>+IF(AQ$3=Assumptions!$H$22,Infrastructure!$I$16,0)</f>
        <v>0</v>
      </c>
      <c r="AR5" s="76">
        <f>+IF(AR$3=Assumptions!$H$22,Infrastructure!$I$16,0)</f>
        <v>0</v>
      </c>
      <c r="AS5" s="76">
        <f>+IF(AS$3=Assumptions!$H$22,Infrastructure!$I$16,0)</f>
        <v>0</v>
      </c>
      <c r="AT5" s="76">
        <f>+IF(AT$3=Assumptions!$H$22,Infrastructure!$I$16,0)</f>
        <v>0</v>
      </c>
      <c r="AU5" s="76">
        <f>+IF(AU$3=Assumptions!$H$22,Infrastructure!$I$16,0)</f>
        <v>0</v>
      </c>
    </row>
    <row r="6" spans="2:47" ht="16" customHeight="1">
      <c r="B6" s="15" t="s">
        <v>676</v>
      </c>
      <c r="D6" s="11"/>
      <c r="F6" s="16">
        <f t="shared" si="20"/>
        <v>0</v>
      </c>
      <c r="G6" s="76">
        <f>+IF(G$3=Assumptions!$F$24,Assumptions!$F$142*Budget!$D$40,0)</f>
        <v>0</v>
      </c>
      <c r="H6" s="76">
        <f>+IF(H$3=Assumptions!$F$24,Assumptions!$F$142*Budget!$D$40,0)</f>
        <v>0</v>
      </c>
      <c r="I6" s="76">
        <f>+IF(I$3=Assumptions!$F$24,Assumptions!$F$142*Budget!$D$40,0)</f>
        <v>0</v>
      </c>
      <c r="J6" s="76">
        <f>+IF(J$3=Assumptions!$F$24,Assumptions!$F$142*Budget!$D$40,0)</f>
        <v>0</v>
      </c>
      <c r="K6" s="76">
        <f>+IF(K$3=Assumptions!$F$24,Assumptions!$F$142*Budget!$D$40,0)</f>
        <v>0</v>
      </c>
      <c r="L6" s="76">
        <f>+IF(L$3=Assumptions!$F$24,Assumptions!$F$142*Budget!$D$40,0)</f>
        <v>0</v>
      </c>
      <c r="M6" s="76">
        <f>+IF(M$3=Assumptions!$F$24,Assumptions!$F$142*Budget!$D$40,0)</f>
        <v>0</v>
      </c>
      <c r="N6" s="76">
        <f>+IF(N$3=Assumptions!$F$24,Assumptions!$F$142*Budget!$D$40,0)</f>
        <v>0</v>
      </c>
      <c r="O6" s="76">
        <f>+IF(O$3=Assumptions!$F$24,Assumptions!$F$142*Budget!$D$40,0)</f>
        <v>0</v>
      </c>
      <c r="P6" s="76">
        <f>+IF(P$3=Assumptions!$F$24,Assumptions!$F$142*Budget!$D$40,0)</f>
        <v>0</v>
      </c>
      <c r="Q6" s="76">
        <f>+IF(Q$3=Assumptions!$F$24,Assumptions!$F$142*Budget!$D$40,0)</f>
        <v>0</v>
      </c>
      <c r="R6" s="76">
        <f>+IF(R$3=Assumptions!$F$24,Assumptions!$F$142*Budget!$D$40,0)</f>
        <v>0</v>
      </c>
      <c r="S6" s="76">
        <f>+IF(S$3=Assumptions!$F$24,Assumptions!$F$142*Budget!$D$40,0)</f>
        <v>0</v>
      </c>
      <c r="T6" s="76">
        <f>+IF(T$3=Assumptions!$F$24,Assumptions!$F$142*Budget!$D$40,0)</f>
        <v>0</v>
      </c>
      <c r="U6" s="76">
        <f>+IF(U$3=Assumptions!$F$24,Assumptions!$F$142*Budget!$D$40,0)</f>
        <v>0</v>
      </c>
      <c r="V6" s="76">
        <f>+IF(V$3=Assumptions!$F$24,Assumptions!$F$142*Budget!$D$40,0)</f>
        <v>0</v>
      </c>
      <c r="W6" s="76">
        <f>+IF(W$3=Assumptions!$F$24,Assumptions!$F$142*Budget!$D$40,0)</f>
        <v>0</v>
      </c>
      <c r="X6" s="76">
        <f>+IF(X$3=Assumptions!$F$24,Assumptions!$F$142*Budget!$D$40,0)</f>
        <v>0</v>
      </c>
      <c r="Y6" s="76">
        <f>+IF(Y$3=Assumptions!$F$24,Assumptions!$F$142*Budget!$D$40,0)</f>
        <v>0</v>
      </c>
      <c r="Z6" s="76">
        <f>+IF(Z$3=Assumptions!$F$24,Assumptions!$F$142*Budget!$D$40,0)</f>
        <v>0</v>
      </c>
      <c r="AA6" s="76">
        <f>+IF(AA$3=Assumptions!$F$24,Assumptions!$F$142*Budget!$D$40,0)</f>
        <v>0</v>
      </c>
      <c r="AB6" s="76">
        <f>+IF(AB$3=Assumptions!$F$24,Assumptions!$F$142*Budget!$D$40,0)</f>
        <v>0</v>
      </c>
      <c r="AC6" s="76">
        <f>+IF(AC$3=Assumptions!$F$24,Assumptions!$F$142*Budget!$D$40,0)</f>
        <v>0</v>
      </c>
      <c r="AD6" s="76">
        <f>+IF(AD$3=Assumptions!$F$24,Assumptions!$F$142*Budget!$D$40,0)</f>
        <v>0</v>
      </c>
      <c r="AE6" s="76">
        <f>+IF(AE$3=Assumptions!$F$24,Assumptions!$F$142*Budget!$D$40,0)</f>
        <v>0</v>
      </c>
      <c r="AF6" s="76">
        <f>+IF(AF$3=Assumptions!$F$24,Assumptions!$F$142*Budget!$D$40,0)</f>
        <v>0</v>
      </c>
      <c r="AG6" s="76">
        <f>+IF(AG$3=Assumptions!$F$24,Assumptions!$F$142*Budget!$D$40,0)</f>
        <v>0</v>
      </c>
      <c r="AH6" s="76">
        <f>+IF(AH$3=Assumptions!$F$24,Assumptions!$F$142*Budget!$D$40,0)</f>
        <v>0</v>
      </c>
      <c r="AI6" s="76">
        <f>+IF(AI$3=Assumptions!$F$24,Assumptions!$F$142*Budget!$D$40,0)</f>
        <v>0</v>
      </c>
      <c r="AJ6" s="76">
        <f>+IF(AJ$3=Assumptions!$F$24,Assumptions!$F$142*Budget!$D$40,0)</f>
        <v>0</v>
      </c>
      <c r="AK6" s="76">
        <f>+IF(AK$3=Assumptions!$F$24,Assumptions!$F$142*Budget!$D$40,0)</f>
        <v>0</v>
      </c>
      <c r="AL6" s="76">
        <f>+IF(AL$3=Assumptions!$F$24,Assumptions!$F$142*Budget!$D$40,0)</f>
        <v>0</v>
      </c>
      <c r="AM6" s="76">
        <f>+IF(AM$3=Assumptions!$F$24,Assumptions!$F$142*Budget!$D$40,0)</f>
        <v>0</v>
      </c>
      <c r="AN6" s="76">
        <f>+IF(AN$3=Assumptions!$F$24,Assumptions!$F$142*Budget!$D$40,0)</f>
        <v>0</v>
      </c>
      <c r="AO6" s="76">
        <f>+IF(AO$3=Assumptions!$F$24,Assumptions!$F$142*Budget!$D$40,0)</f>
        <v>0</v>
      </c>
      <c r="AP6" s="76">
        <f>+IF(AP$3=Assumptions!$F$24,Assumptions!$F$142*Budget!$D$40,0)</f>
        <v>0</v>
      </c>
      <c r="AQ6" s="76">
        <f>+IF(AQ$3=Assumptions!$F$24,Assumptions!$F$142*Budget!$D$40,0)</f>
        <v>0</v>
      </c>
      <c r="AR6" s="76">
        <f>+IF(AR$3=Assumptions!$F$24,Assumptions!$F$142*Budget!$D$40,0)</f>
        <v>0</v>
      </c>
      <c r="AS6" s="76">
        <f>+IF(AS$3=Assumptions!$F$24,Assumptions!$F$142*Budget!$D$40,0)</f>
        <v>0</v>
      </c>
      <c r="AT6" s="76">
        <f>+IF(AT$3=Assumptions!$F$24,Assumptions!$F$142*Budget!$D$40,0)</f>
        <v>0</v>
      </c>
      <c r="AU6" s="76">
        <f>+IF(AU$3=Assumptions!$F$24,Assumptions!$F$142*Budget!$D$40,0)</f>
        <v>0</v>
      </c>
    </row>
    <row r="7" spans="2:47" ht="16" customHeight="1">
      <c r="B7" s="15" t="s">
        <v>677</v>
      </c>
      <c r="D7" s="11"/>
      <c r="F7" s="1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0</v>
      </c>
      <c r="AP7" s="76">
        <f t="shared" ref="AP7:AS7" si="21">+AP15-AP14</f>
        <v>0</v>
      </c>
      <c r="AQ7" s="76">
        <v>0</v>
      </c>
      <c r="AR7" s="76">
        <v>0</v>
      </c>
      <c r="AS7" s="76">
        <f t="shared" si="21"/>
        <v>0</v>
      </c>
      <c r="AT7" s="76">
        <v>0</v>
      </c>
      <c r="AU7" s="76">
        <v>0</v>
      </c>
    </row>
    <row r="8" spans="2:47" ht="16" customHeight="1">
      <c r="B8" s="15" t="s">
        <v>678</v>
      </c>
      <c r="D8" s="11"/>
      <c r="F8" s="16">
        <f t="shared" si="20"/>
        <v>10.022849866519786</v>
      </c>
      <c r="G8" s="76">
        <f>+G19-G18</f>
        <v>0</v>
      </c>
      <c r="H8" s="76">
        <f t="shared" ref="H8:AU8" si="22">+H19-H18</f>
        <v>0</v>
      </c>
      <c r="I8" s="76">
        <f t="shared" si="22"/>
        <v>0</v>
      </c>
      <c r="J8" s="76">
        <f t="shared" si="22"/>
        <v>1.67</v>
      </c>
      <c r="K8" s="76">
        <f t="shared" si="22"/>
        <v>3.34</v>
      </c>
      <c r="L8" s="76">
        <f t="shared" si="22"/>
        <v>3.34</v>
      </c>
      <c r="M8" s="76">
        <f t="shared" si="22"/>
        <v>3.5070000000000006</v>
      </c>
      <c r="N8" s="76">
        <f t="shared" si="22"/>
        <v>3.5070000000000006</v>
      </c>
      <c r="O8" s="76">
        <f t="shared" si="22"/>
        <v>3.5070000000000006</v>
      </c>
      <c r="P8" s="76">
        <f t="shared" si="22"/>
        <v>0</v>
      </c>
      <c r="Q8" s="76">
        <f t="shared" si="22"/>
        <v>0</v>
      </c>
      <c r="R8" s="76">
        <f t="shared" si="22"/>
        <v>0</v>
      </c>
      <c r="S8" s="76">
        <f t="shared" si="22"/>
        <v>0</v>
      </c>
      <c r="T8" s="76">
        <f t="shared" si="22"/>
        <v>0</v>
      </c>
      <c r="U8" s="76">
        <f t="shared" si="22"/>
        <v>0</v>
      </c>
      <c r="V8" s="76">
        <f t="shared" si="22"/>
        <v>0</v>
      </c>
      <c r="W8" s="76">
        <f t="shared" si="22"/>
        <v>0</v>
      </c>
      <c r="X8" s="76">
        <f t="shared" si="22"/>
        <v>0</v>
      </c>
      <c r="Y8" s="76">
        <f t="shared" si="22"/>
        <v>0</v>
      </c>
      <c r="Z8" s="76">
        <f t="shared" si="22"/>
        <v>0</v>
      </c>
      <c r="AA8" s="76">
        <f t="shared" si="22"/>
        <v>0</v>
      </c>
      <c r="AB8" s="76">
        <f t="shared" si="22"/>
        <v>0</v>
      </c>
      <c r="AC8" s="76">
        <f t="shared" si="22"/>
        <v>0</v>
      </c>
      <c r="AD8" s="76">
        <f t="shared" si="22"/>
        <v>0</v>
      </c>
      <c r="AE8" s="76">
        <f t="shared" si="22"/>
        <v>0</v>
      </c>
      <c r="AF8" s="76">
        <f t="shared" si="22"/>
        <v>0</v>
      </c>
      <c r="AG8" s="76">
        <f t="shared" si="22"/>
        <v>0</v>
      </c>
      <c r="AH8" s="76">
        <f t="shared" si="22"/>
        <v>0</v>
      </c>
      <c r="AI8" s="76">
        <f t="shared" si="22"/>
        <v>0</v>
      </c>
      <c r="AJ8" s="76">
        <f t="shared" si="22"/>
        <v>0</v>
      </c>
      <c r="AK8" s="76">
        <f t="shared" si="22"/>
        <v>0</v>
      </c>
      <c r="AL8" s="76">
        <f t="shared" si="22"/>
        <v>0</v>
      </c>
      <c r="AM8" s="76">
        <f t="shared" si="22"/>
        <v>0</v>
      </c>
      <c r="AN8" s="76">
        <f t="shared" si="22"/>
        <v>0</v>
      </c>
      <c r="AO8" s="76">
        <f t="shared" si="22"/>
        <v>0</v>
      </c>
      <c r="AP8" s="76">
        <f t="shared" si="22"/>
        <v>0</v>
      </c>
      <c r="AQ8" s="76">
        <f t="shared" si="22"/>
        <v>0</v>
      </c>
      <c r="AR8" s="76">
        <f t="shared" si="22"/>
        <v>0</v>
      </c>
      <c r="AS8" s="76">
        <f t="shared" si="22"/>
        <v>0</v>
      </c>
      <c r="AT8" s="76">
        <f t="shared" si="22"/>
        <v>0</v>
      </c>
      <c r="AU8" s="76">
        <f t="shared" si="22"/>
        <v>0</v>
      </c>
    </row>
    <row r="9" spans="2:47" ht="16" customHeight="1">
      <c r="B9" s="15" t="s">
        <v>679</v>
      </c>
      <c r="D9" s="11"/>
      <c r="F9" s="16">
        <f t="shared" si="20"/>
        <v>29887385.88387429</v>
      </c>
      <c r="G9" s="76">
        <f>+G23-G22</f>
        <v>0</v>
      </c>
      <c r="H9" s="76">
        <f t="shared" ref="H9:AU9" si="23">+H23-H22</f>
        <v>0</v>
      </c>
      <c r="I9" s="76">
        <f t="shared" si="23"/>
        <v>0</v>
      </c>
      <c r="J9" s="76">
        <f t="shared" si="23"/>
        <v>144169.9691749507</v>
      </c>
      <c r="K9" s="76">
        <f t="shared" si="23"/>
        <v>1433295.9396246737</v>
      </c>
      <c r="L9" s="76">
        <f t="shared" si="23"/>
        <v>2623504.3906768453</v>
      </c>
      <c r="M9" s="76">
        <f t="shared" si="23"/>
        <v>4406993.9392783716</v>
      </c>
      <c r="N9" s="76">
        <f t="shared" si="23"/>
        <v>6260152.7137820283</v>
      </c>
      <c r="O9" s="76">
        <f t="shared" si="23"/>
        <v>6384236.6536442395</v>
      </c>
      <c r="P9" s="76">
        <f t="shared" si="23"/>
        <v>6186442.9833009467</v>
      </c>
      <c r="Q9" s="76">
        <f t="shared" si="23"/>
        <v>6309109.5304985084</v>
      </c>
      <c r="R9" s="76">
        <f t="shared" si="23"/>
        <v>6434229.4086400196</v>
      </c>
      <c r="S9" s="76">
        <f t="shared" si="23"/>
        <v>6561851.6843443606</v>
      </c>
      <c r="T9" s="76">
        <f t="shared" si="23"/>
        <v>6692026.4055627882</v>
      </c>
      <c r="U9" s="76">
        <f t="shared" si="23"/>
        <v>6824804.6212055869</v>
      </c>
      <c r="V9" s="76">
        <f t="shared" si="23"/>
        <v>6960238.4011612348</v>
      </c>
      <c r="W9" s="76">
        <f t="shared" si="23"/>
        <v>7098380.8567160023</v>
      </c>
      <c r="X9" s="76">
        <f t="shared" si="23"/>
        <v>7239286.1613818668</v>
      </c>
      <c r="Y9" s="76">
        <f t="shared" si="23"/>
        <v>7383009.5721410438</v>
      </c>
      <c r="Z9" s="76">
        <f t="shared" si="23"/>
        <v>7529607.4511154043</v>
      </c>
      <c r="AA9" s="76">
        <f t="shared" si="23"/>
        <v>7679137.2876692545</v>
      </c>
      <c r="AB9" s="76">
        <f t="shared" si="23"/>
        <v>0</v>
      </c>
      <c r="AC9" s="76">
        <f t="shared" si="23"/>
        <v>0</v>
      </c>
      <c r="AD9" s="76">
        <f t="shared" si="23"/>
        <v>0</v>
      </c>
      <c r="AE9" s="76">
        <f t="shared" si="23"/>
        <v>0</v>
      </c>
      <c r="AF9" s="76">
        <f t="shared" si="23"/>
        <v>0</v>
      </c>
      <c r="AG9" s="76">
        <f t="shared" si="23"/>
        <v>0</v>
      </c>
      <c r="AH9" s="76">
        <f t="shared" si="23"/>
        <v>0</v>
      </c>
      <c r="AI9" s="76">
        <f t="shared" si="23"/>
        <v>0</v>
      </c>
      <c r="AJ9" s="76">
        <f t="shared" si="23"/>
        <v>0</v>
      </c>
      <c r="AK9" s="76">
        <f t="shared" si="23"/>
        <v>0</v>
      </c>
      <c r="AL9" s="76">
        <f t="shared" si="23"/>
        <v>0</v>
      </c>
      <c r="AM9" s="76">
        <f t="shared" si="23"/>
        <v>0</v>
      </c>
      <c r="AN9" s="76">
        <f t="shared" si="23"/>
        <v>0</v>
      </c>
      <c r="AO9" s="76">
        <f t="shared" si="23"/>
        <v>0</v>
      </c>
      <c r="AP9" s="76">
        <f t="shared" si="23"/>
        <v>0</v>
      </c>
      <c r="AQ9" s="76">
        <f t="shared" si="23"/>
        <v>0</v>
      </c>
      <c r="AR9" s="76">
        <f t="shared" si="23"/>
        <v>0</v>
      </c>
      <c r="AS9" s="76">
        <f t="shared" si="23"/>
        <v>0</v>
      </c>
      <c r="AT9" s="76">
        <f t="shared" si="23"/>
        <v>0</v>
      </c>
      <c r="AU9" s="76">
        <f t="shared" si="23"/>
        <v>0</v>
      </c>
    </row>
    <row r="10" spans="2:47" ht="16" customHeight="1">
      <c r="B10" s="543" t="s">
        <v>210</v>
      </c>
      <c r="C10" s="543"/>
      <c r="D10" s="543"/>
      <c r="E10" s="543"/>
      <c r="F10" s="545"/>
      <c r="G10" s="545">
        <f t="shared" ref="G10:AA10" si="24">+SUM(G4:G9)</f>
        <v>3885480</v>
      </c>
      <c r="H10" s="545">
        <f t="shared" si="24"/>
        <v>3718097.9999999995</v>
      </c>
      <c r="I10" s="545">
        <f t="shared" si="24"/>
        <v>686681.99999999988</v>
      </c>
      <c r="J10" s="545">
        <f t="shared" si="24"/>
        <v>1490355.6391749503</v>
      </c>
      <c r="K10" s="545">
        <f t="shared" si="24"/>
        <v>1769845.2796246735</v>
      </c>
      <c r="L10" s="545">
        <f t="shared" si="24"/>
        <v>2623507.7306768452</v>
      </c>
      <c r="M10" s="545">
        <f t="shared" si="24"/>
        <v>4406997.4462783718</v>
      </c>
      <c r="N10" s="545">
        <f t="shared" si="24"/>
        <v>6260156.2207820285</v>
      </c>
      <c r="O10" s="545">
        <f t="shared" si="24"/>
        <v>6384240.1606442397</v>
      </c>
      <c r="P10" s="545">
        <f t="shared" si="24"/>
        <v>6186442.9833009467</v>
      </c>
      <c r="Q10" s="545">
        <f t="shared" si="24"/>
        <v>6309109.5304985084</v>
      </c>
      <c r="R10" s="545">
        <f t="shared" si="24"/>
        <v>6434229.4086400196</v>
      </c>
      <c r="S10" s="545">
        <f t="shared" si="24"/>
        <v>6561851.6843443606</v>
      </c>
      <c r="T10" s="545">
        <f t="shared" si="24"/>
        <v>6692026.4055627882</v>
      </c>
      <c r="U10" s="545">
        <f t="shared" si="24"/>
        <v>6824804.6212055869</v>
      </c>
      <c r="V10" s="545">
        <f t="shared" si="24"/>
        <v>6960238.4011612348</v>
      </c>
      <c r="W10" s="545">
        <f t="shared" si="24"/>
        <v>7098380.8567160023</v>
      </c>
      <c r="X10" s="545">
        <f t="shared" si="24"/>
        <v>7239286.1613818668</v>
      </c>
      <c r="Y10" s="545">
        <f t="shared" si="24"/>
        <v>7383009.5721410438</v>
      </c>
      <c r="Z10" s="545">
        <f t="shared" si="24"/>
        <v>7529607.4511154043</v>
      </c>
      <c r="AA10" s="545">
        <f t="shared" si="24"/>
        <v>7679137.2876692545</v>
      </c>
      <c r="AB10" s="545">
        <f t="shared" ref="AB10:AU10" si="25">+SUM(AB4:AB9)</f>
        <v>0</v>
      </c>
      <c r="AC10" s="545">
        <f t="shared" si="25"/>
        <v>0</v>
      </c>
      <c r="AD10" s="545">
        <f t="shared" si="25"/>
        <v>0</v>
      </c>
      <c r="AE10" s="545">
        <f t="shared" si="25"/>
        <v>0</v>
      </c>
      <c r="AF10" s="545">
        <f t="shared" si="25"/>
        <v>0</v>
      </c>
      <c r="AG10" s="545">
        <f t="shared" si="25"/>
        <v>0</v>
      </c>
      <c r="AH10" s="545">
        <f t="shared" si="25"/>
        <v>0</v>
      </c>
      <c r="AI10" s="545">
        <f t="shared" si="25"/>
        <v>0</v>
      </c>
      <c r="AJ10" s="545">
        <f t="shared" si="25"/>
        <v>0</v>
      </c>
      <c r="AK10" s="545">
        <f t="shared" si="25"/>
        <v>0</v>
      </c>
      <c r="AL10" s="545">
        <f t="shared" si="25"/>
        <v>0</v>
      </c>
      <c r="AM10" s="545">
        <f t="shared" si="25"/>
        <v>0</v>
      </c>
      <c r="AN10" s="545">
        <f t="shared" si="25"/>
        <v>0</v>
      </c>
      <c r="AO10" s="545">
        <f t="shared" si="25"/>
        <v>0</v>
      </c>
      <c r="AP10" s="545">
        <f t="shared" si="25"/>
        <v>0</v>
      </c>
      <c r="AQ10" s="545">
        <f t="shared" si="25"/>
        <v>0</v>
      </c>
      <c r="AR10" s="545">
        <f t="shared" si="25"/>
        <v>0</v>
      </c>
      <c r="AS10" s="545">
        <f t="shared" si="25"/>
        <v>0</v>
      </c>
      <c r="AT10" s="545">
        <f t="shared" si="25"/>
        <v>0</v>
      </c>
      <c r="AU10" s="545">
        <f t="shared" si="25"/>
        <v>0</v>
      </c>
    </row>
    <row r="11" spans="2:47" ht="16" customHeight="1">
      <c r="B11" s="54" t="s">
        <v>405</v>
      </c>
      <c r="C11" s="54"/>
      <c r="D11" s="54"/>
      <c r="E11" s="236">
        <v>0.1</v>
      </c>
      <c r="F11" s="235">
        <f>+NPV(E11,G10:AU10)</f>
        <v>38136803.439741649</v>
      </c>
      <c r="AB11" s="99"/>
    </row>
    <row r="12" spans="2:47" ht="16" customHeight="1">
      <c r="AB12" s="99"/>
    </row>
    <row r="13" spans="2:47" ht="16" customHeight="1">
      <c r="B13" s="73" t="s">
        <v>680</v>
      </c>
      <c r="AB13" s="99"/>
    </row>
    <row r="14" spans="2:47" ht="16" customHeight="1">
      <c r="B14" s="15" t="s">
        <v>681</v>
      </c>
      <c r="G14" s="76">
        <f>+SUMIF('Phase III Pro Forma'!$F$74:$Z$74,'Public Benefits'!G$3,'Phase III Pro Forma'!$F$82:$Z$82)</f>
        <v>0</v>
      </c>
      <c r="H14" s="76">
        <f>+SUMIF('Phase III Pro Forma'!$F$74:$Z$74,'Public Benefits'!H$3,'Phase III Pro Forma'!$F$82:$Z$82)</f>
        <v>0</v>
      </c>
      <c r="I14" s="76">
        <f>+SUMIF('Phase III Pro Forma'!$F$74:$Z$74,'Public Benefits'!I$3,'Phase III Pro Forma'!$F$82:$Z$82)</f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2:47" ht="16" customHeight="1">
      <c r="B15" s="15" t="s">
        <v>682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2:47" ht="16" customHeight="1">
      <c r="AB16" s="99"/>
    </row>
    <row r="17" spans="2:47" ht="16" customHeight="1">
      <c r="B17" s="73" t="s">
        <v>683</v>
      </c>
      <c r="AB17" s="99"/>
    </row>
    <row r="18" spans="2:47" ht="16" customHeight="1">
      <c r="B18" s="15" t="s">
        <v>681</v>
      </c>
      <c r="G18" s="76">
        <f>+SUMIF('Phase I Pro Forma'!$F$74:$Z$74,'Public Benefits'!G$3,'Phase I Pro Forma'!$F$82:$Z$82)</f>
        <v>0</v>
      </c>
      <c r="H18" s="76">
        <f>+SUMIF('Phase I Pro Forma'!$F$74:$Z$74,'Public Benefits'!H$3,'Phase I Pro Forma'!$F$82:$Z$82)</f>
        <v>0</v>
      </c>
      <c r="I18" s="76">
        <f>+SUMIF('Phase I Pro Forma'!$F$74:$Z$74,'Public Benefits'!I$3,'Phase I Pro Forma'!$F$82:$Z$82)</f>
        <v>0</v>
      </c>
      <c r="J18" s="76">
        <f>+SUMIF('Phase I Pro Forma'!$F$74:$Z$74,'Public Benefits'!J$3,'Phase I Pro Forma'!$F$82:$Z$82)</f>
        <v>0.5</v>
      </c>
      <c r="K18" s="76">
        <f>+SUMIF('Phase I Pro Forma'!$F$74:$Z$74,'Public Benefits'!K$3,'Phase I Pro Forma'!$F$82:$Z$82)</f>
        <v>1</v>
      </c>
      <c r="L18" s="76">
        <f>+SUMIF('Phase I Pro Forma'!$F$74:$Z$74,'Public Benefits'!L$3,'Phase I Pro Forma'!$F$82:$Z$82)</f>
        <v>1</v>
      </c>
      <c r="M18" s="76">
        <f>+SUMIF('Phase I Pro Forma'!$F$74:$Z$74,'Public Benefits'!M$3,'Phase I Pro Forma'!$F$82:$Z$82)</f>
        <v>1.05</v>
      </c>
      <c r="N18" s="76">
        <f>+SUMIF('Phase I Pro Forma'!$F$74:$Z$74,'Public Benefits'!N$3,'Phase I Pro Forma'!$F$82:$Z$82)</f>
        <v>1.05</v>
      </c>
      <c r="O18" s="76">
        <f>+SUMIF('Phase I Pro Forma'!$F$74:$Z$74,'Public Benefits'!O$3,'Phase I Pro Forma'!$F$82:$Z$82)</f>
        <v>1.05</v>
      </c>
      <c r="P18" s="76">
        <f>+SUMIF('Phase I Pro Forma'!$F$74:$Z$74,'Public Benefits'!P$3,'Phase I Pro Forma'!$F$82:$Z$82)</f>
        <v>0</v>
      </c>
      <c r="Q18" s="76">
        <f>+SUMIF('Phase I Pro Forma'!$F$74:$Z$74,'Public Benefits'!Q$3,'Phase I Pro Forma'!$F$82:$Z$82)</f>
        <v>0</v>
      </c>
      <c r="R18" s="76">
        <f>+SUMIF('Phase I Pro Forma'!$F$74:$Z$74,'Public Benefits'!R$3,'Phase I Pro Forma'!$F$82:$Z$82)</f>
        <v>0</v>
      </c>
      <c r="S18" s="76">
        <f>+SUMIF('Phase I Pro Forma'!$F$74:$Z$74,'Public Benefits'!S$3,'Phase I Pro Forma'!$F$82:$Z$82)</f>
        <v>0</v>
      </c>
      <c r="T18" s="76">
        <f>+SUMIF('Phase I Pro Forma'!$F$74:$Z$74,'Public Benefits'!T$3,'Phase I Pro Forma'!$F$82:$Z$82)</f>
        <v>0</v>
      </c>
      <c r="U18" s="76">
        <f>+SUMIF('Phase I Pro Forma'!$F$74:$Z$74,'Public Benefits'!U$3,'Phase I Pro Forma'!$F$82:$Z$82)</f>
        <v>0</v>
      </c>
      <c r="V18" s="76">
        <f>+SUMIF('Phase I Pro Forma'!$F$74:$Z$74,'Public Benefits'!V$3,'Phase I Pro Forma'!$F$82:$Z$82)</f>
        <v>0</v>
      </c>
      <c r="W18" s="76">
        <f>+SUMIF('Phase I Pro Forma'!$F$74:$Z$74,'Public Benefits'!W$3,'Phase I Pro Forma'!$F$82:$Z$82)</f>
        <v>0</v>
      </c>
      <c r="X18" s="76">
        <f>+SUMIF('Phase I Pro Forma'!$F$74:$Z$74,'Public Benefits'!X$3,'Phase I Pro Forma'!$F$82:$Z$82)</f>
        <v>0</v>
      </c>
      <c r="Y18" s="76">
        <f>+SUMIF('Phase I Pro Forma'!$F$74:$Z$74,'Public Benefits'!Y$3,'Phase I Pro Forma'!$F$82:$Z$82)</f>
        <v>0</v>
      </c>
      <c r="Z18" s="76">
        <f>+SUMIF('Phase I Pro Forma'!$F$74:$Z$74,'Public Benefits'!Z$3,'Phase I Pro Forma'!$F$82:$Z$82)</f>
        <v>0</v>
      </c>
      <c r="AA18" s="76">
        <f>+SUMIF('Phase I Pro Forma'!$F$74:$Z$74,'Public Benefits'!AA$3,'Phase I Pro Forma'!$F$82:$Z$82)</f>
        <v>0</v>
      </c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2:47" ht="16" customHeight="1">
      <c r="B19" s="15" t="s">
        <v>682</v>
      </c>
      <c r="G19" s="76">
        <f>+G18*(Assumptions!$F$161/Assumptions!$F$151)</f>
        <v>0</v>
      </c>
      <c r="H19" s="76">
        <f>+H18*(Assumptions!$F$161/Assumptions!$F$151)</f>
        <v>0</v>
      </c>
      <c r="I19" s="76">
        <f>+I18*(Assumptions!$F$161/Assumptions!$F$151)</f>
        <v>0</v>
      </c>
      <c r="J19" s="76">
        <f>+J18*(Assumptions!$F$161/Assumptions!$F$151)</f>
        <v>2.17</v>
      </c>
      <c r="K19" s="76">
        <f>+K18*(Assumptions!$F$161/Assumptions!$F$151)</f>
        <v>4.34</v>
      </c>
      <c r="L19" s="76">
        <f>+L18*(Assumptions!$F$161/Assumptions!$F$151)</f>
        <v>4.34</v>
      </c>
      <c r="M19" s="76">
        <f>+M18*(Assumptions!$F$161/Assumptions!$F$151)</f>
        <v>4.5570000000000004</v>
      </c>
      <c r="N19" s="76">
        <f>+N18*(Assumptions!$F$161/Assumptions!$F$151)</f>
        <v>4.5570000000000004</v>
      </c>
      <c r="O19" s="76">
        <f>+O18*(Assumptions!$F$161/Assumptions!$F$151)</f>
        <v>4.5570000000000004</v>
      </c>
      <c r="P19" s="76">
        <f>+P18*(Assumptions!$F$161/Assumptions!$F$151)</f>
        <v>0</v>
      </c>
      <c r="Q19" s="76">
        <f>+Q18*(Assumptions!$F$161/Assumptions!$F$151)</f>
        <v>0</v>
      </c>
      <c r="R19" s="76">
        <f>+R18*(Assumptions!$F$161/Assumptions!$F$151)</f>
        <v>0</v>
      </c>
      <c r="S19" s="76">
        <f>+S18*(Assumptions!$F$161/Assumptions!$F$151)</f>
        <v>0</v>
      </c>
      <c r="T19" s="76">
        <f>+T18*(Assumptions!$F$161/Assumptions!$F$151)</f>
        <v>0</v>
      </c>
      <c r="U19" s="76">
        <f>+U18*(Assumptions!$F$161/Assumptions!$F$151)</f>
        <v>0</v>
      </c>
      <c r="V19" s="76">
        <f>+V18*(Assumptions!$F$161/Assumptions!$F$151)</f>
        <v>0</v>
      </c>
      <c r="W19" s="76">
        <f>+W18*(Assumptions!$F$161/Assumptions!$F$151)</f>
        <v>0</v>
      </c>
      <c r="X19" s="76">
        <f>+X18*(Assumptions!$F$161/Assumptions!$F$151)</f>
        <v>0</v>
      </c>
      <c r="Y19" s="76">
        <f>+Y18*(Assumptions!$F$161/Assumptions!$F$151)</f>
        <v>0</v>
      </c>
      <c r="Z19" s="76">
        <f>+Z18*(Assumptions!$F$161/Assumptions!$F$151)</f>
        <v>0</v>
      </c>
      <c r="AA19" s="76">
        <f>+AA18*(Assumptions!$F$161/Assumptions!$F$151)</f>
        <v>0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2:47" ht="16" customHeight="1">
      <c r="AB20" s="99"/>
    </row>
    <row r="21" spans="2:47" ht="16" customHeight="1">
      <c r="B21" s="73" t="s">
        <v>684</v>
      </c>
      <c r="AB21" s="99"/>
    </row>
    <row r="22" spans="2:47" ht="16" customHeight="1">
      <c r="B22" s="15" t="s">
        <v>685</v>
      </c>
      <c r="G22" s="76">
        <f>+SUMIF('Phase I Pro Forma'!$F$74:$Z$74,'Public Benefits'!G$3,'Phase I Pro Forma'!$F$26:$Z$26)+SUMIF('Phase II Pro Forma'!$F$73:$Z$73,'Public Benefits'!G$3,'Phase II Pro Forma'!$F$25:$Z$25)+SUMIF('Phase III Pro Forma'!$F$74:$Z$74,'Public Benefits'!G$3,'Phase III Pro Forma'!$F$26:$Z$26)</f>
        <v>0</v>
      </c>
      <c r="H22" s="76">
        <f>+SUMIF('Phase I Pro Forma'!$F$74:$Z$74,'Public Benefits'!H$3,'Phase I Pro Forma'!$F$26:$Z$26)+SUMIF('Phase II Pro Forma'!$F$73:$Z$73,'Public Benefits'!H$3,'Phase II Pro Forma'!$F$25:$Z$25)+SUMIF('Phase III Pro Forma'!$F$74:$Z$74,'Public Benefits'!H$3,'Phase III Pro Forma'!$F$26:$Z$26)</f>
        <v>0</v>
      </c>
      <c r="I22" s="76">
        <f>+SUMIF('Phase I Pro Forma'!$F$74:$Z$74,'Public Benefits'!I$3,'Phase I Pro Forma'!$F$26:$Z$26)+SUMIF('Phase II Pro Forma'!$F$73:$Z$73,'Public Benefits'!I$3,'Phase II Pro Forma'!$F$25:$Z$25)+SUMIF('Phase III Pro Forma'!$F$74:$Z$74,'Public Benefits'!I$3,'Phase III Pro Forma'!$F$26:$Z$26)</f>
        <v>0</v>
      </c>
      <c r="J22" s="76">
        <f>+SUMIF('Phase I Pro Forma'!$F$74:$Z$74,'Public Benefits'!J$3,'Phase I Pro Forma'!$F$26:$Z$26)+SUMIF('Phase II Pro Forma'!$F$73:$Z$73,'Public Benefits'!J$3,'Phase II Pro Forma'!$F$25:$Z$25)+SUMIF('Phase III Pro Forma'!$F$74:$Z$74,'Public Benefits'!J$3,'Phase III Pro Forma'!$F$26:$Z$26)</f>
        <v>109327.20645204032</v>
      </c>
      <c r="K22" s="76">
        <f>+SUMIF('Phase I Pro Forma'!$F$74:$Z$74,'Public Benefits'!K$3,'Phase I Pro Forma'!$F$26:$Z$26)+SUMIF('Phase II Pro Forma'!$F$73:$Z$73,'Public Benefits'!K$3,'Phase II Pro Forma'!$F$25:$Z$25)+SUMIF('Phase III Pro Forma'!$F$74:$Z$74,'Public Benefits'!K$3,'Phase III Pro Forma'!$F$26:$Z$26)</f>
        <v>1086899.3174859043</v>
      </c>
      <c r="L22" s="76">
        <f>+SUMIF('Phase I Pro Forma'!$F$74:$Z$74,'Public Benefits'!L$3,'Phase I Pro Forma'!$F$26:$Z$26)+SUMIF('Phase II Pro Forma'!$F$73:$Z$73,'Public Benefits'!L$3,'Phase II Pro Forma'!$F$25:$Z$25)+SUMIF('Phase III Pro Forma'!$F$74:$Z$74,'Public Benefits'!L$3,'Phase III Pro Forma'!$F$26:$Z$26)</f>
        <v>1989460.133679464</v>
      </c>
      <c r="M22" s="76">
        <f>+SUMIF('Phase I Pro Forma'!$F$74:$Z$74,'Public Benefits'!M$3,'Phase I Pro Forma'!$F$26:$Z$26)+SUMIF('Phase II Pro Forma'!$F$73:$Z$73,'Public Benefits'!M$3,'Phase II Pro Forma'!$F$25:$Z$25)+SUMIF('Phase III Pro Forma'!$F$74:$Z$74,'Public Benefits'!M$3,'Phase III Pro Forma'!$F$26:$Z$26)</f>
        <v>3341918.8405853515</v>
      </c>
      <c r="N22" s="76">
        <f>+SUMIF('Phase I Pro Forma'!$F$74:$Z$74,'Public Benefits'!N$3,'Phase I Pro Forma'!$F$26:$Z$26)+SUMIF('Phase II Pro Forma'!$F$73:$Z$73,'Public Benefits'!N$3,'Phase II Pro Forma'!$F$25:$Z$25)+SUMIF('Phase III Pro Forma'!$F$74:$Z$74,'Public Benefits'!N$3,'Phase III Pro Forma'!$F$26:$Z$26)</f>
        <v>4747209.2286460893</v>
      </c>
      <c r="O22" s="76">
        <f>+SUMIF('Phase I Pro Forma'!$F$74:$Z$74,'Public Benefits'!O$3,'Phase I Pro Forma'!$F$26:$Z$26)+SUMIF('Phase II Pro Forma'!$F$73:$Z$73,'Public Benefits'!O$3,'Phase II Pro Forma'!$F$25:$Z$25)+SUMIF('Phase III Pro Forma'!$F$74:$Z$74,'Public Benefits'!O$3,'Phase III Pro Forma'!$F$26:$Z$26)</f>
        <v>4841304.7645495236</v>
      </c>
      <c r="P22" s="76">
        <f>+SUMIF('Phase I Pro Forma'!$F$74:$Z$74,'Public Benefits'!P$3,'Phase I Pro Forma'!$F$26:$Z$26)+SUMIF('Phase II Pro Forma'!$F$73:$Z$73,'Public Benefits'!P$3,'Phase II Pro Forma'!$F$25:$Z$25)+SUMIF('Phase III Pro Forma'!$F$74:$Z$74,'Public Benefits'!P$3,'Phase III Pro Forma'!$F$26:$Z$26)</f>
        <v>4691313.5454608463</v>
      </c>
      <c r="Q22" s="76">
        <f>+SUMIF('Phase I Pro Forma'!$F$74:$Z$74,'Public Benefits'!Q$3,'Phase I Pro Forma'!$F$26:$Z$26)+SUMIF('Phase II Pro Forma'!$F$73:$Z$73,'Public Benefits'!Q$3,'Phase II Pro Forma'!$F$25:$Z$25)+SUMIF('Phase III Pro Forma'!$F$74:$Z$74,'Public Benefits'!Q$3,'Phase III Pro Forma'!$F$26:$Z$26)</f>
        <v>4784334.2418442424</v>
      </c>
      <c r="R22" s="76">
        <f>+SUMIF('Phase I Pro Forma'!$F$74:$Z$74,'Public Benefits'!R$3,'Phase I Pro Forma'!$F$26:$Z$26)+SUMIF('Phase II Pro Forma'!$F$73:$Z$73,'Public Benefits'!R$3,'Phase II Pro Forma'!$F$25:$Z$25)+SUMIF('Phase III Pro Forma'!$F$74:$Z$74,'Public Benefits'!R$3,'Phase III Pro Forma'!$F$26:$Z$26)</f>
        <v>4879215.3521553054</v>
      </c>
      <c r="S22" s="76">
        <f>+SUMIF('Phase I Pro Forma'!$F$74:$Z$74,'Public Benefits'!S$3,'Phase I Pro Forma'!$F$26:$Z$26)+SUMIF('Phase II Pro Forma'!$F$73:$Z$73,'Public Benefits'!S$3,'Phase II Pro Forma'!$F$25:$Z$25)+SUMIF('Phase III Pro Forma'!$F$74:$Z$74,'Public Benefits'!S$3,'Phase III Pro Forma'!$F$26:$Z$26)</f>
        <v>4975994.0846725907</v>
      </c>
      <c r="T22" s="76">
        <f>+SUMIF('Phase I Pro Forma'!$F$74:$Z$74,'Public Benefits'!T$3,'Phase I Pro Forma'!$F$26:$Z$26)+SUMIF('Phase II Pro Forma'!$F$73:$Z$73,'Public Benefits'!T$3,'Phase II Pro Forma'!$F$25:$Z$25)+SUMIF('Phase III Pro Forma'!$F$74:$Z$74,'Public Benefits'!T$3,'Phase III Pro Forma'!$F$26:$Z$26)</f>
        <v>5074708.3918402214</v>
      </c>
      <c r="U22" s="76">
        <f>+SUMIF('Phase I Pro Forma'!$F$74:$Z$74,'Public Benefits'!U$3,'Phase I Pro Forma'!$F$26:$Z$26)+SUMIF('Phase II Pro Forma'!$F$73:$Z$73,'Public Benefits'!U$3,'Phase II Pro Forma'!$F$25:$Z$25)+SUMIF('Phase III Pro Forma'!$F$74:$Z$74,'Public Benefits'!U$3,'Phase III Pro Forma'!$F$26:$Z$26)</f>
        <v>5175396.9851512052</v>
      </c>
      <c r="V22" s="76">
        <f>+SUMIF('Phase I Pro Forma'!$F$74:$Z$74,'Public Benefits'!V$3,'Phase I Pro Forma'!$F$26:$Z$26)+SUMIF('Phase II Pro Forma'!$F$73:$Z$73,'Public Benefits'!V$3,'Phase II Pro Forma'!$F$25:$Z$25)+SUMIF('Phase III Pro Forma'!$F$74:$Z$74,'Public Benefits'!V$3,'Phase III Pro Forma'!$F$26:$Z$26)</f>
        <v>5278099.3503284045</v>
      </c>
      <c r="W22" s="76">
        <f>+SUMIF('Phase I Pro Forma'!$F$74:$Z$74,'Public Benefits'!W$3,'Phase I Pro Forma'!$F$26:$Z$26)+SUMIF('Phase II Pro Forma'!$F$73:$Z$73,'Public Benefits'!W$3,'Phase II Pro Forma'!$F$25:$Z$25)+SUMIF('Phase III Pro Forma'!$F$74:$Z$74,'Public Benefits'!W$3,'Phase III Pro Forma'!$F$26:$Z$26)</f>
        <v>5382855.7628091527</v>
      </c>
      <c r="X22" s="76">
        <f>+SUMIF('Phase I Pro Forma'!$F$74:$Z$74,'Public Benefits'!X$3,'Phase I Pro Forma'!$F$26:$Z$26)+SUMIF('Phase II Pro Forma'!$F$73:$Z$73,'Public Benefits'!X$3,'Phase II Pro Forma'!$F$25:$Z$25)+SUMIF('Phase III Pro Forma'!$F$74:$Z$74,'Public Benefits'!X$3,'Phase III Pro Forma'!$F$26:$Z$26)</f>
        <v>5489707.3035395164</v>
      </c>
      <c r="Y22" s="76">
        <f>+SUMIF('Phase I Pro Forma'!$F$74:$Z$74,'Public Benefits'!Y$3,'Phase I Pro Forma'!$F$26:$Z$26)+SUMIF('Phase II Pro Forma'!$F$73:$Z$73,'Public Benefits'!Y$3,'Phase II Pro Forma'!$F$25:$Z$25)+SUMIF('Phase III Pro Forma'!$F$74:$Z$74,'Public Benefits'!Y$3,'Phase III Pro Forma'!$F$26:$Z$26)</f>
        <v>5598695.875084484</v>
      </c>
      <c r="Z22" s="76">
        <f>+SUMIF('Phase I Pro Forma'!$F$74:$Z$74,'Public Benefits'!Z$3,'Phase I Pro Forma'!$F$26:$Z$26)+SUMIF('Phase II Pro Forma'!$F$73:$Z$73,'Public Benefits'!Z$3,'Phase II Pro Forma'!$F$25:$Z$25)+SUMIF('Phase III Pro Forma'!$F$74:$Z$74,'Public Benefits'!Z$3,'Phase III Pro Forma'!$F$26:$Z$26)</f>
        <v>5709864.218060351</v>
      </c>
      <c r="AA22" s="76">
        <f>+SUMIF('Phase I Pro Forma'!$F$74:$Z$74,'Public Benefits'!AA$3,'Phase I Pro Forma'!$F$26:$Z$26)+SUMIF('Phase II Pro Forma'!$F$73:$Z$73,'Public Benefits'!AA$3,'Phase II Pro Forma'!$F$25:$Z$25)+SUMIF('Phase III Pro Forma'!$F$74:$Z$74,'Public Benefits'!AA$3,'Phase III Pro Forma'!$F$26:$Z$26)</f>
        <v>5823255.9278957378</v>
      </c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2:47" ht="16" customHeight="1">
      <c r="B23" s="15" t="s">
        <v>682</v>
      </c>
      <c r="G23" s="76">
        <f>+G22*AVERAGE(Assumptions!$F$63,Assumptions!$F$67,Assumptions!$F$71,Assumptions!$F$75,Assumptions!$F$79)/AVERAGE(Assumptions!$F$36,Assumptions!$F$40,Assumptions!$F$44,Assumptions!$F$48,Assumptions!$F$52)</f>
        <v>0</v>
      </c>
      <c r="H23" s="76">
        <f>+H22*AVERAGE(Assumptions!$F$63,Assumptions!$F$67,Assumptions!$F$71,Assumptions!$F$75,Assumptions!$F$79)/AVERAGE(Assumptions!$F$36,Assumptions!$F$40,Assumptions!$F$44,Assumptions!$F$48,Assumptions!$F$52)</f>
        <v>0</v>
      </c>
      <c r="I23" s="76">
        <f>+I22*AVERAGE(Assumptions!$F$63,Assumptions!$F$67,Assumptions!$F$71,Assumptions!$F$75,Assumptions!$F$79)/AVERAGE(Assumptions!$F$36,Assumptions!$F$40,Assumptions!$F$44,Assumptions!$F$48,Assumptions!$F$52)</f>
        <v>0</v>
      </c>
      <c r="J23" s="76">
        <f>+J22*AVERAGE(Assumptions!$F$63,Assumptions!$F$67,Assumptions!$F$71,Assumptions!$F$75,Assumptions!$F$79)/AVERAGE(Assumptions!$F$36,Assumptions!$F$40,Assumptions!$F$44,Assumptions!$F$48,Assumptions!$F$52)</f>
        <v>253497.17562699103</v>
      </c>
      <c r="K23" s="76">
        <f>+K22*AVERAGE(Assumptions!$F$63,Assumptions!$F$67,Assumptions!$F$71,Assumptions!$F$75,Assumptions!$F$79)/AVERAGE(Assumptions!$F$36,Assumptions!$F$40,Assumptions!$F$44,Assumptions!$F$48,Assumptions!$F$52)</f>
        <v>2520195.257110578</v>
      </c>
      <c r="L23" s="76">
        <f>+L22*AVERAGE(Assumptions!$F$63,Assumptions!$F$67,Assumptions!$F$71,Assumptions!$F$75,Assumptions!$F$79)/AVERAGE(Assumptions!$F$36,Assumptions!$F$40,Assumptions!$F$44,Assumptions!$F$48,Assumptions!$F$52)</f>
        <v>4612964.5243563093</v>
      </c>
      <c r="M23" s="76">
        <f>+M22*AVERAGE(Assumptions!$F$63,Assumptions!$F$67,Assumptions!$F$71,Assumptions!$F$75,Assumptions!$F$79)/AVERAGE(Assumptions!$F$36,Assumptions!$F$40,Assumptions!$F$44,Assumptions!$F$48,Assumptions!$F$52)</f>
        <v>7748912.7798637236</v>
      </c>
      <c r="N23" s="76">
        <f>+N22*AVERAGE(Assumptions!$F$63,Assumptions!$F$67,Assumptions!$F$71,Assumptions!$F$75,Assumptions!$F$79)/AVERAGE(Assumptions!$F$36,Assumptions!$F$40,Assumptions!$F$44,Assumptions!$F$48,Assumptions!$F$52)</f>
        <v>11007361.942428118</v>
      </c>
      <c r="O23" s="76">
        <f>+O22*AVERAGE(Assumptions!$F$63,Assumptions!$F$67,Assumptions!$F$71,Assumptions!$F$75,Assumptions!$F$79)/AVERAGE(Assumptions!$F$36,Assumptions!$F$40,Assumptions!$F$44,Assumptions!$F$48,Assumptions!$F$52)</f>
        <v>11225541.418193763</v>
      </c>
      <c r="P23" s="76">
        <f>+P22*AVERAGE(Assumptions!$F$63,Assumptions!$F$67,Assumptions!$F$71,Assumptions!$F$75,Assumptions!$F$79)/AVERAGE(Assumptions!$F$36,Assumptions!$F$40,Assumptions!$F$44,Assumptions!$F$48,Assumptions!$F$52)</f>
        <v>10877756.528761793</v>
      </c>
      <c r="Q23" s="76">
        <f>+Q22*AVERAGE(Assumptions!$F$63,Assumptions!$F$67,Assumptions!$F$71,Assumptions!$F$75,Assumptions!$F$79)/AVERAGE(Assumptions!$F$36,Assumptions!$F$40,Assumptions!$F$44,Assumptions!$F$48,Assumptions!$F$52)</f>
        <v>11093443.772342751</v>
      </c>
      <c r="R23" s="76">
        <f>+R22*AVERAGE(Assumptions!$F$63,Assumptions!$F$67,Assumptions!$F$71,Assumptions!$F$75,Assumptions!$F$79)/AVERAGE(Assumptions!$F$36,Assumptions!$F$40,Assumptions!$F$44,Assumptions!$F$48,Assumptions!$F$52)</f>
        <v>11313444.760795325</v>
      </c>
      <c r="S23" s="76">
        <f>+S22*AVERAGE(Assumptions!$F$63,Assumptions!$F$67,Assumptions!$F$71,Assumptions!$F$75,Assumptions!$F$79)/AVERAGE(Assumptions!$F$36,Assumptions!$F$40,Assumptions!$F$44,Assumptions!$F$48,Assumptions!$F$52)</f>
        <v>11537845.769016951</v>
      </c>
      <c r="T23" s="76">
        <f>+T22*AVERAGE(Assumptions!$F$63,Assumptions!$F$67,Assumptions!$F$71,Assumptions!$F$75,Assumptions!$F$79)/AVERAGE(Assumptions!$F$36,Assumptions!$F$40,Assumptions!$F$44,Assumptions!$F$48,Assumptions!$F$52)</f>
        <v>11766734.79740301</v>
      </c>
      <c r="U23" s="76">
        <f>+U22*AVERAGE(Assumptions!$F$63,Assumptions!$F$67,Assumptions!$F$71,Assumptions!$F$75,Assumptions!$F$79)/AVERAGE(Assumptions!$F$36,Assumptions!$F$40,Assumptions!$F$44,Assumptions!$F$48,Assumptions!$F$52)</f>
        <v>12000201.606356792</v>
      </c>
      <c r="V23" s="76">
        <f>+V22*AVERAGE(Assumptions!$F$63,Assumptions!$F$67,Assumptions!$F$71,Assumptions!$F$75,Assumptions!$F$79)/AVERAGE(Assumptions!$F$36,Assumptions!$F$40,Assumptions!$F$44,Assumptions!$F$48,Assumptions!$F$52)</f>
        <v>12238337.751489639</v>
      </c>
      <c r="W23" s="76">
        <f>+W22*AVERAGE(Assumptions!$F$63,Assumptions!$F$67,Assumptions!$F$71,Assumptions!$F$75,Assumptions!$F$79)/AVERAGE(Assumptions!$F$36,Assumptions!$F$40,Assumptions!$F$44,Assumptions!$F$48,Assumptions!$F$52)</f>
        <v>12481236.619525155</v>
      </c>
      <c r="X23" s="76">
        <f>+X22*AVERAGE(Assumptions!$F$63,Assumptions!$F$67,Assumptions!$F$71,Assumptions!$F$75,Assumptions!$F$79)/AVERAGE(Assumptions!$F$36,Assumptions!$F$40,Assumptions!$F$44,Assumptions!$F$48,Assumptions!$F$52)</f>
        <v>12728993.464921383</v>
      </c>
      <c r="Y23" s="76">
        <f>+Y22*AVERAGE(Assumptions!$F$63,Assumptions!$F$67,Assumptions!$F$71,Assumptions!$F$75,Assumptions!$F$79)/AVERAGE(Assumptions!$F$36,Assumptions!$F$40,Assumptions!$F$44,Assumptions!$F$48,Assumptions!$F$52)</f>
        <v>12981705.447225528</v>
      </c>
      <c r="Z23" s="76">
        <f>+Z22*AVERAGE(Assumptions!$F$63,Assumptions!$F$67,Assumptions!$F$71,Assumptions!$F$75,Assumptions!$F$79)/AVERAGE(Assumptions!$F$36,Assumptions!$F$40,Assumptions!$F$44,Assumptions!$F$48,Assumptions!$F$52)</f>
        <v>13239471.669175755</v>
      </c>
      <c r="AA23" s="76">
        <f>+AA22*AVERAGE(Assumptions!$F$63,Assumptions!$F$67,Assumptions!$F$71,Assumptions!$F$75,Assumptions!$F$79)/AVERAGE(Assumptions!$F$36,Assumptions!$F$40,Assumptions!$F$44,Assumptions!$F$48,Assumptions!$F$52)</f>
        <v>13502393.215564992</v>
      </c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P151"/>
  <sheetViews>
    <sheetView showGridLines="0" showWhiteSpace="0" view="pageBreakPreview" topLeftCell="B58" zoomScale="90" zoomScaleNormal="70" zoomScaleSheetLayoutView="90" workbookViewId="0">
      <selection activeCell="C67" sqref="C67"/>
    </sheetView>
  </sheetViews>
  <sheetFormatPr defaultColWidth="9.1796875" defaultRowHeight="14.25" customHeight="1" outlineLevelRow="1"/>
  <cols>
    <col min="1" max="1" width="5" style="185" customWidth="1"/>
    <col min="2" max="2" width="31.453125" style="109" customWidth="1"/>
    <col min="3" max="3" width="25.81640625" style="109" customWidth="1"/>
    <col min="4" max="4" width="17.81640625" style="118" customWidth="1"/>
    <col min="5" max="5" width="18.453125" style="109" customWidth="1"/>
    <col min="6" max="6" width="18" style="109" customWidth="1"/>
    <col min="7" max="7" width="20.1796875" style="109" customWidth="1"/>
    <col min="8" max="8" width="17.6328125" style="109" bestFit="1" customWidth="1"/>
    <col min="9" max="9" width="19.90625" style="109" customWidth="1"/>
    <col min="10" max="11" width="19" style="109" customWidth="1"/>
    <col min="12" max="12" width="18.26953125" style="109" customWidth="1"/>
    <col min="13" max="13" width="18.1796875" style="109" customWidth="1"/>
    <col min="14" max="14" width="17.6328125" style="109" bestFit="1" customWidth="1"/>
    <col min="15" max="15" width="5.81640625" style="185" customWidth="1"/>
    <col min="16" max="16" width="18" style="185" bestFit="1" customWidth="1"/>
    <col min="17" max="16384" width="9.1796875" style="185"/>
  </cols>
  <sheetData>
    <row r="1" spans="2:16" ht="95.25" customHeight="1">
      <c r="D1" s="124"/>
    </row>
    <row r="2" spans="2:16" ht="19" customHeight="1">
      <c r="B2" s="152" t="s">
        <v>246</v>
      </c>
      <c r="D2" s="900"/>
    </row>
    <row r="3" spans="2:16" ht="19" customHeight="1">
      <c r="B3" s="152"/>
      <c r="D3" s="900"/>
    </row>
    <row r="4" spans="2:16" s="259" customFormat="1" ht="19" customHeight="1">
      <c r="B4" s="440" t="s">
        <v>686</v>
      </c>
      <c r="C4" s="441"/>
      <c r="D4" s="441"/>
      <c r="E4" s="443"/>
      <c r="F4" s="442"/>
      <c r="G4" s="442"/>
      <c r="H4" s="442"/>
      <c r="I4" s="955"/>
      <c r="J4" s="955"/>
      <c r="K4" s="955"/>
      <c r="L4" s="955"/>
      <c r="M4" s="955"/>
      <c r="N4" s="955"/>
    </row>
    <row r="5" spans="2:16" ht="19" customHeight="1">
      <c r="B5" s="108"/>
      <c r="C5" s="108"/>
      <c r="D5" s="463" t="s">
        <v>3</v>
      </c>
      <c r="F5" s="468" t="s">
        <v>4</v>
      </c>
      <c r="G5" s="129"/>
      <c r="H5" s="474" t="s">
        <v>5</v>
      </c>
      <c r="I5" s="129"/>
      <c r="J5" s="129"/>
      <c r="K5" s="129"/>
      <c r="L5" s="129"/>
      <c r="M5" s="129"/>
      <c r="N5" s="444" t="s">
        <v>687</v>
      </c>
    </row>
    <row r="6" spans="2:16" ht="19" customHeight="1">
      <c r="B6" s="904"/>
      <c r="C6" s="904"/>
      <c r="D6" s="464" t="s">
        <v>688</v>
      </c>
      <c r="E6" s="111">
        <v>2022</v>
      </c>
      <c r="F6" s="469">
        <f>E6+1</f>
        <v>2023</v>
      </c>
      <c r="G6" s="111">
        <f t="shared" ref="G6:L6" si="0">F6+1</f>
        <v>2024</v>
      </c>
      <c r="H6" s="475">
        <f t="shared" si="0"/>
        <v>2025</v>
      </c>
      <c r="I6" s="111">
        <f t="shared" si="0"/>
        <v>2026</v>
      </c>
      <c r="J6" s="111">
        <f t="shared" si="0"/>
        <v>2027</v>
      </c>
      <c r="K6" s="111">
        <f t="shared" si="0"/>
        <v>2028</v>
      </c>
      <c r="L6" s="111">
        <f t="shared" si="0"/>
        <v>2029</v>
      </c>
      <c r="M6" s="111">
        <f>L6+1</f>
        <v>2030</v>
      </c>
      <c r="N6" s="445">
        <f>M6+1</f>
        <v>2031</v>
      </c>
    </row>
    <row r="7" spans="2:16" ht="19" customHeight="1">
      <c r="B7" s="904"/>
      <c r="C7" s="904"/>
      <c r="D7" s="464">
        <v>2021</v>
      </c>
      <c r="E7" s="111">
        <f>+D7+1</f>
        <v>2022</v>
      </c>
      <c r="F7" s="469">
        <f t="shared" ref="F7:M7" si="1">+E7+1</f>
        <v>2023</v>
      </c>
      <c r="G7" s="111">
        <f t="shared" si="1"/>
        <v>2024</v>
      </c>
      <c r="H7" s="475">
        <f t="shared" si="1"/>
        <v>2025</v>
      </c>
      <c r="I7" s="111">
        <f t="shared" si="1"/>
        <v>2026</v>
      </c>
      <c r="J7" s="111">
        <f t="shared" si="1"/>
        <v>2027</v>
      </c>
      <c r="K7" s="111">
        <f t="shared" si="1"/>
        <v>2028</v>
      </c>
      <c r="L7" s="111">
        <f t="shared" si="1"/>
        <v>2029</v>
      </c>
      <c r="M7" s="111">
        <f t="shared" si="1"/>
        <v>2030</v>
      </c>
      <c r="N7" s="445">
        <f>+M7+1</f>
        <v>2031</v>
      </c>
    </row>
    <row r="8" spans="2:16" ht="19" customHeight="1">
      <c r="B8" s="133" t="s">
        <v>689</v>
      </c>
      <c r="C8" s="130"/>
      <c r="D8" s="464"/>
      <c r="E8" s="123"/>
      <c r="F8" s="470"/>
      <c r="G8" s="123"/>
      <c r="H8" s="476"/>
      <c r="I8" s="123"/>
      <c r="J8" s="123"/>
      <c r="K8" s="123"/>
      <c r="L8" s="123"/>
      <c r="M8" s="906"/>
      <c r="N8" s="446"/>
    </row>
    <row r="9" spans="2:16" ht="19" customHeight="1">
      <c r="B9" s="136" t="s">
        <v>690</v>
      </c>
      <c r="C9" s="907"/>
      <c r="D9" s="465">
        <f>+SUMIF('Phase I Pro Forma'!$F$6:$Z$6,,'Phase I Pro Forma'!$F$49:$Z$49)+SUMIF('Phase II Pro Forma'!$F$5:$Z$5,'Official Summary'!D$7,'Phase II Pro Forma'!$F$48:$Z$48)+SUMIF('Phase III Pro Forma'!$F$6:$Z$6,'Official Summary'!D$7,'Phase III Pro Forma'!$F$49:$Z$49)</f>
        <v>0</v>
      </c>
      <c r="E9" s="903">
        <f>+SUMIF('Phase I Pro Forma'!$F$6:$Z$6,'Official Summary'!E$7,'Phase I Pro Forma'!$F$49:$Z$49)+SUMIF('Phase II Pro Forma'!$F$5:$Z$5,'Official Summary'!E$7,'Phase II Pro Forma'!$F$48:$Z$48)+SUMIF('Phase III Pro Forma'!$F$6:$Z$6,'Official Summary'!E$7,'Phase III Pro Forma'!$F$49:$Z$49)</f>
        <v>0</v>
      </c>
      <c r="F9" s="471">
        <f>+SUMIF('Phase I Pro Forma'!$F$6:$Z$6,'Official Summary'!F$7,'Phase I Pro Forma'!$F$49:$Z$49)+SUMIF('Phase II Pro Forma'!$F$5:$Z$5,'Official Summary'!F$7,'Phase II Pro Forma'!$F$48:$Z$48)+SUMIF('Phase III Pro Forma'!$F$6:$Z$6,'Official Summary'!F$7,'Phase III Pro Forma'!$F$49:$Z$49)</f>
        <v>0</v>
      </c>
      <c r="G9" s="903">
        <f>+SUMIF('Phase I Pro Forma'!$F$6:$Z$6,'Official Summary'!G$7,'Phase I Pro Forma'!$F$49:$Z$49)+SUMIF('Phase II Pro Forma'!$F$5:$Z$5,'Official Summary'!G$7,'Phase II Pro Forma'!$F$48:$Z$48)+SUMIF('Phase III Pro Forma'!$F$6:$Z$6,'Official Summary'!G$7,'Phase III Pro Forma'!$F$49:$Z$49)</f>
        <v>-164518.61992912751</v>
      </c>
      <c r="H9" s="477">
        <f>+SUMIF('Phase I Pro Forma'!$F$6:$Z$6,'Official Summary'!H$7,'Phase I Pro Forma'!$F$49:$Z$49)+SUMIF('Phase II Pro Forma'!$F$5:$Z$5,'Official Summary'!H$7,'Phase II Pro Forma'!$F$48:$Z$48)+SUMIF('Phase III Pro Forma'!$F$6:$Z$6,'Official Summary'!H$7,'Phase III Pro Forma'!$F$49:$Z$49)</f>
        <v>3617170.6229001423</v>
      </c>
      <c r="I9" s="903">
        <f>+SUMIF('Phase I Pro Forma'!$F$6:$Z$6,'Official Summary'!I$7,'Phase I Pro Forma'!$F$49:$Z$49)+SUMIF('Phase II Pro Forma'!$F$5:$Z$5,'Official Summary'!I$7,'Phase II Pro Forma'!$F$48:$Z$48)+SUMIF('Phase III Pro Forma'!$F$6:$Z$6,'Official Summary'!I$7,'Phase III Pro Forma'!$F$49:$Z$49)</f>
        <v>7831517.5686639473</v>
      </c>
      <c r="J9" s="903">
        <f>+SUMIF('Phase I Pro Forma'!$F$6:$Z$6,'Official Summary'!J$7,'Phase I Pro Forma'!$F$49:$Z$49)+SUMIF('Phase II Pro Forma'!$F$5:$Z$5,'Official Summary'!J$7,'Phase II Pro Forma'!$F$48:$Z$48)+SUMIF('Phase III Pro Forma'!$F$6:$Z$6,'Official Summary'!J$7,'Phase III Pro Forma'!$F$49:$Z$49)</f>
        <v>14249673.513857335</v>
      </c>
      <c r="K9" s="903">
        <f>+SUMIF('Phase I Pro Forma'!$F$6:$Z$6,'Official Summary'!K$7,'Phase I Pro Forma'!$F$49:$Z$49)+SUMIF('Phase II Pro Forma'!$F$5:$Z$5,'Official Summary'!K$7,'Phase II Pro Forma'!$F$48:$Z$48)+SUMIF('Phase III Pro Forma'!$F$6:$Z$6,'Official Summary'!K$7,'Phase III Pro Forma'!$F$49:$Z$49)</f>
        <v>21112322.202473138</v>
      </c>
      <c r="L9" s="903">
        <f>+SUMIF('Phase I Pro Forma'!$F$6:$Z$6,'Official Summary'!L$7,'Phase I Pro Forma'!$F$49:$Z$49)+SUMIF('Phase II Pro Forma'!$F$5:$Z$5,'Official Summary'!L$7,'Phase II Pro Forma'!$F$48:$Z$48)+SUMIF('Phase III Pro Forma'!$F$6:$Z$6,'Official Summary'!L$7,'Phase III Pro Forma'!$F$49:$Z$49)</f>
        <v>21838189.106398307</v>
      </c>
      <c r="M9" s="903">
        <f>+SUMIF('Phase I Pro Forma'!$F$6:$Z$6,'Official Summary'!M$7,'Phase I Pro Forma'!$F$49:$Z$49)+SUMIF('Phase II Pro Forma'!$F$5:$Z$5,'Official Summary'!M$7,'Phase II Pro Forma'!$F$48:$Z$48)+SUMIF('Phase III Pro Forma'!$F$6:$Z$6,'Official Summary'!M$7,'Phase III Pro Forma'!$F$49:$Z$49)</f>
        <v>22569965.533044398</v>
      </c>
      <c r="N9" s="447">
        <f>+SUMIF('Phase I Pro Forma'!$F$6:$Z$6,'Official Summary'!N$7,'Phase I Pro Forma'!$F$49:$Z$49)+SUMIF('Phase II Pro Forma'!$F$5:$Z$5,'Official Summary'!N$7,'Phase II Pro Forma'!$F$48:$Z$48)+SUMIF('Phase III Pro Forma'!$F$6:$Z$6,'Official Summary'!N$7,'Phase III Pro Forma'!$F$49:$Z$49)</f>
        <v>23341472.71028962</v>
      </c>
    </row>
    <row r="10" spans="2:16" ht="19" customHeight="1">
      <c r="B10" s="136" t="s">
        <v>691</v>
      </c>
      <c r="C10" s="907"/>
      <c r="D10" s="466" t="s">
        <v>692</v>
      </c>
      <c r="E10" s="126" t="s">
        <v>692</v>
      </c>
      <c r="F10" s="472" t="s">
        <v>692</v>
      </c>
      <c r="G10" s="126" t="s">
        <v>692</v>
      </c>
      <c r="H10" s="478" t="s">
        <v>692</v>
      </c>
      <c r="I10" s="126" t="s">
        <v>692</v>
      </c>
      <c r="J10" s="126" t="s">
        <v>692</v>
      </c>
      <c r="K10" s="126" t="s">
        <v>692</v>
      </c>
      <c r="L10" s="126" t="s">
        <v>692</v>
      </c>
      <c r="M10" s="126" t="s">
        <v>692</v>
      </c>
      <c r="N10" s="448" t="s">
        <v>692</v>
      </c>
    </row>
    <row r="11" spans="2:16" ht="19" customHeight="1">
      <c r="B11" s="136" t="s">
        <v>693</v>
      </c>
      <c r="C11" s="907"/>
      <c r="D11" s="930" t="s">
        <v>692</v>
      </c>
      <c r="E11" s="931" t="s">
        <v>692</v>
      </c>
      <c r="F11" s="932" t="s">
        <v>692</v>
      </c>
      <c r="G11" s="931" t="s">
        <v>692</v>
      </c>
      <c r="H11" s="933" t="s">
        <v>692</v>
      </c>
      <c r="I11" s="931" t="s">
        <v>692</v>
      </c>
      <c r="J11" s="931" t="s">
        <v>692</v>
      </c>
      <c r="K11" s="931" t="s">
        <v>692</v>
      </c>
      <c r="L11" s="931" t="s">
        <v>692</v>
      </c>
      <c r="M11" s="931" t="s">
        <v>692</v>
      </c>
      <c r="N11" s="934" t="s">
        <v>692</v>
      </c>
    </row>
    <row r="12" spans="2:16" ht="19" customHeight="1">
      <c r="B12" s="136" t="s">
        <v>694</v>
      </c>
      <c r="C12" s="907"/>
      <c r="D12" s="930">
        <f>+SUMIF('Phase I Pro Forma'!$F$6:$Z$6,'Official Summary'!D$7,'Phase I Pro Forma'!$F$26:$Z$26)+SUMIF('Phase II Pro Forma'!$F$5:$Z$5,'Official Summary'!D$7,'Phase II Pro Forma'!$F$25:$Z$25)+SUMIF('Phase III Pro Forma'!$F$6:$Z$6,'Official Summary'!D$7,'Phase III Pro Forma'!$F$26:$Z$26)</f>
        <v>0</v>
      </c>
      <c r="E12" s="931">
        <f>+SUMIF('Phase I Pro Forma'!$F$6:$Z$6,'Official Summary'!E$7,'Phase I Pro Forma'!$F$26:$Z$26)+SUMIF('Phase II Pro Forma'!$F$5:$Z$5,'Official Summary'!E$7,'Phase II Pro Forma'!$F$25:$Z$25)+SUMIF('Phase III Pro Forma'!$F$6:$Z$6,'Official Summary'!E$7,'Phase III Pro Forma'!$F$26:$Z$26)</f>
        <v>0</v>
      </c>
      <c r="F12" s="932">
        <f>+SUMIF('Phase I Pro Forma'!$F$6:$Z$6,'Official Summary'!F$7,'Phase I Pro Forma'!$F$26:$Z$26)+SUMIF('Phase II Pro Forma'!$F$5:$Z$5,'Official Summary'!F$7,'Phase II Pro Forma'!$F$25:$Z$25)+SUMIF('Phase III Pro Forma'!$F$6:$Z$6,'Official Summary'!F$7,'Phase III Pro Forma'!$F$26:$Z$26)</f>
        <v>0</v>
      </c>
      <c r="G12" s="931">
        <f>+SUMIF('Phase I Pro Forma'!$F$6:$Z$6,'Official Summary'!G$7,'Phase I Pro Forma'!$F$26:$Z$26)+SUMIF('Phase II Pro Forma'!$F$5:$Z$5,'Official Summary'!G$7,'Phase II Pro Forma'!$F$25:$Z$25)+SUMIF('Phase III Pro Forma'!$F$6:$Z$6,'Official Summary'!G$7,'Phase III Pro Forma'!$F$26:$Z$26)</f>
        <v>109327.20645204032</v>
      </c>
      <c r="H12" s="933">
        <f>+SUMIF('Phase I Pro Forma'!$F$6:$Z$6,'Official Summary'!H$7,'Phase I Pro Forma'!$F$26:$Z$26)+SUMIF('Phase II Pro Forma'!$F$5:$Z$5,'Official Summary'!H$7,'Phase II Pro Forma'!$F$25:$Z$25)+SUMIF('Phase III Pro Forma'!$F$6:$Z$6,'Official Summary'!H$7,'Phase III Pro Forma'!$F$26:$Z$26)</f>
        <v>1086899.3174859043</v>
      </c>
      <c r="I12" s="931">
        <f>+SUMIF('Phase I Pro Forma'!$F$6:$Z$6,'Official Summary'!I$7,'Phase I Pro Forma'!$F$26:$Z$26)+SUMIF('Phase II Pro Forma'!$F$5:$Z$5,'Official Summary'!I$7,'Phase II Pro Forma'!$F$25:$Z$25)+SUMIF('Phase III Pro Forma'!$F$6:$Z$6,'Official Summary'!I$7,'Phase III Pro Forma'!$F$26:$Z$26)</f>
        <v>1989460.133679464</v>
      </c>
      <c r="J12" s="931">
        <f>+SUMIF('Phase I Pro Forma'!$F$6:$Z$6,'Official Summary'!J$7,'Phase I Pro Forma'!$F$26:$Z$26)+SUMIF('Phase II Pro Forma'!$F$5:$Z$5,'Official Summary'!J$7,'Phase II Pro Forma'!$F$25:$Z$25)+SUMIF('Phase III Pro Forma'!$F$6:$Z$6,'Official Summary'!J$7,'Phase III Pro Forma'!$F$26:$Z$26)</f>
        <v>3341918.8405853515</v>
      </c>
      <c r="K12" s="931">
        <f>+SUMIF('Phase I Pro Forma'!$F$6:$Z$6,'Official Summary'!K$7,'Phase I Pro Forma'!$F$26:$Z$26)+SUMIF('Phase II Pro Forma'!$F$5:$Z$5,'Official Summary'!K$7,'Phase II Pro Forma'!$F$25:$Z$25)+SUMIF('Phase III Pro Forma'!$F$6:$Z$6,'Official Summary'!K$7,'Phase III Pro Forma'!$F$26:$Z$26)</f>
        <v>4747209.2286460893</v>
      </c>
      <c r="L12" s="931">
        <f>+SUMIF('Phase I Pro Forma'!$F$6:$Z$6,'Official Summary'!L$7,'Phase I Pro Forma'!$F$26:$Z$26)+SUMIF('Phase II Pro Forma'!$F$5:$Z$5,'Official Summary'!L$7,'Phase II Pro Forma'!$F$25:$Z$25)+SUMIF('Phase III Pro Forma'!$F$6:$Z$6,'Official Summary'!L$7,'Phase III Pro Forma'!$F$26:$Z$26)</f>
        <v>4841304.7645495236</v>
      </c>
      <c r="M12" s="931">
        <f>+SUMIF('Phase I Pro Forma'!$F$6:$Z$6,'Official Summary'!M$7,'Phase I Pro Forma'!$F$26:$Z$26)+SUMIF('Phase II Pro Forma'!$F$5:$Z$5,'Official Summary'!M$7,'Phase II Pro Forma'!$F$25:$Z$25)+SUMIF('Phase III Pro Forma'!$F$6:$Z$6,'Official Summary'!M$7,'Phase III Pro Forma'!$F$26:$Z$26)</f>
        <v>4937282.2111710254</v>
      </c>
      <c r="N12" s="934">
        <f>+SUMIF('Phase I Pro Forma'!$F$6:$Z$6,'Official Summary'!N$7,'Phase I Pro Forma'!$F$26:$Z$26)+SUMIF('Phase II Pro Forma'!$F$5:$Z$5,'Official Summary'!N$7,'Phase II Pro Forma'!$F$25:$Z$25)+SUMIF('Phase III Pro Forma'!$F$6:$Z$6,'Official Summary'!N$7,'Phase III Pro Forma'!$F$26:$Z$26)</f>
        <v>5035179.2067249594</v>
      </c>
    </row>
    <row r="13" spans="2:16" ht="19" customHeight="1">
      <c r="B13" s="136" t="s">
        <v>695</v>
      </c>
      <c r="C13" s="907"/>
      <c r="D13" s="930" t="s">
        <v>692</v>
      </c>
      <c r="E13" s="931" t="s">
        <v>692</v>
      </c>
      <c r="F13" s="932" t="s">
        <v>692</v>
      </c>
      <c r="G13" s="931" t="s">
        <v>692</v>
      </c>
      <c r="H13" s="933" t="s">
        <v>692</v>
      </c>
      <c r="I13" s="931" t="s">
        <v>692</v>
      </c>
      <c r="J13" s="931" t="s">
        <v>692</v>
      </c>
      <c r="K13" s="931" t="s">
        <v>692</v>
      </c>
      <c r="L13" s="931" t="s">
        <v>692</v>
      </c>
      <c r="M13" s="931" t="s">
        <v>692</v>
      </c>
      <c r="N13" s="934" t="s">
        <v>692</v>
      </c>
    </row>
    <row r="14" spans="2:16" ht="19" customHeight="1">
      <c r="B14" s="983" t="s">
        <v>696</v>
      </c>
      <c r="C14" s="983"/>
      <c r="D14" s="930">
        <f>+SUMIF('Phase I Pro Forma'!$F$6:$Z$6,'Official Summary'!D$7,'Phase I Pro Forma'!$F$112:$Z$112)+SUMIF('Phase II Pro Forma'!$F$5:$Z$5,'Official Summary'!D$7,'Phase II Pro Forma'!$F$111:$Z$111)+SUMIF('Phase III Pro Forma'!$F$6:$Z$6,'Official Summary'!D$7,'Phase III Pro Forma'!$F$112:$Z$112)</f>
        <v>0</v>
      </c>
      <c r="E14" s="931">
        <f>+SUMIF('Phase I Pro Forma'!$F$6:$Z$6,'Official Summary'!E$7,'Phase I Pro Forma'!$F$112:$Z$112)+SUMIF('Phase II Pro Forma'!$F$5:$Z$5,'Official Summary'!E$7,'Phase II Pro Forma'!$F$111:$Z$111)+SUMIF('Phase III Pro Forma'!$F$6:$Z$6,'Official Summary'!E$7,'Phase III Pro Forma'!$F$112:$Z$112)</f>
        <v>0</v>
      </c>
      <c r="F14" s="932">
        <f>+SUMIF('Phase I Pro Forma'!$F$6:$Z$6,'Official Summary'!F$7,'Phase I Pro Forma'!$F$112:$Z$112)+SUMIF('Phase II Pro Forma'!$F$5:$Z$5,'Official Summary'!F$7,'Phase II Pro Forma'!$F$111:$Z$111)+SUMIF('Phase III Pro Forma'!$F$6:$Z$6,'Official Summary'!F$7,'Phase III Pro Forma'!$F$112:$Z$112)</f>
        <v>0</v>
      </c>
      <c r="G14" s="931">
        <f>+SUMIF('Phase I Pro Forma'!$F$6:$Z$6,'Official Summary'!G$7,'Phase I Pro Forma'!$F$112:$Z$112)+SUMIF('Phase II Pro Forma'!$F$5:$Z$5,'Official Summary'!G$7,'Phase II Pro Forma'!$F$111:$Z$111)+SUMIF('Phase III Pro Forma'!$F$6:$Z$6,'Official Summary'!G$7,'Phase III Pro Forma'!$F$112:$Z$112)</f>
        <v>5681862.25</v>
      </c>
      <c r="H14" s="933">
        <f>+SUMIF('Phase I Pro Forma'!$F$6:$Z$6,'Official Summary'!H$7,'Phase I Pro Forma'!$F$112:$Z$112)+SUMIF('Phase II Pro Forma'!$F$5:$Z$5,'Official Summary'!H$7,'Phase II Pro Forma'!$F$111:$Z$111)+SUMIF('Phase III Pro Forma'!$F$6:$Z$6,'Official Summary'!H$7,'Phase III Pro Forma'!$F$112:$Z$112)</f>
        <v>17241056.61624036</v>
      </c>
      <c r="I14" s="931">
        <f>+SUMIF('Phase I Pro Forma'!$F$6:$Z$6,'Official Summary'!I$7,'Phase I Pro Forma'!$F$112:$Z$112)+SUMIF('Phase II Pro Forma'!$F$5:$Z$5,'Official Summary'!I$7,'Phase II Pro Forma'!$F$111:$Z$111)+SUMIF('Phase III Pro Forma'!$F$6:$Z$6,'Official Summary'!I$7,'Phase III Pro Forma'!$F$112:$Z$112)</f>
        <v>23113637.891592219</v>
      </c>
      <c r="J14" s="931">
        <f>+SUMIF('Phase I Pro Forma'!$F$6:$Z$6,'Official Summary'!J$7,'Phase I Pro Forma'!$F$112:$Z$112)+SUMIF('Phase II Pro Forma'!$F$5:$Z$5,'Official Summary'!J$7,'Phase II Pro Forma'!$F$111:$Z$111)+SUMIF('Phase III Pro Forma'!$F$6:$Z$6,'Official Summary'!J$7,'Phase III Pro Forma'!$F$112:$Z$112)</f>
        <v>24262297.369924068</v>
      </c>
      <c r="K14" s="931">
        <f>+SUMIF('Phase I Pro Forma'!$F$6:$Z$6,'Official Summary'!K$7,'Phase I Pro Forma'!$F$112:$Z$112)+SUMIF('Phase II Pro Forma'!$F$5:$Z$5,'Official Summary'!K$7,'Phase II Pro Forma'!$F$111:$Z$111)+SUMIF('Phase III Pro Forma'!$F$6:$Z$6,'Official Summary'!K$7,'Phase III Pro Forma'!$F$112:$Z$112)</f>
        <v>25457585.788322549</v>
      </c>
      <c r="L14" s="931">
        <f>+SUMIF('Phase I Pro Forma'!$F$6:$Z$6,'Official Summary'!L$7,'Phase I Pro Forma'!$F$112:$Z$112)+SUMIF('Phase II Pro Forma'!$F$5:$Z$5,'Official Summary'!L$7,'Phase II Pro Forma'!$F$111:$Z$111)+SUMIF('Phase III Pro Forma'!$F$6:$Z$6,'Official Summary'!L$7,'Phase III Pro Forma'!$F$112:$Z$112)</f>
        <v>25446209.780839</v>
      </c>
      <c r="M14" s="931">
        <f>+SUMIF('Phase I Pro Forma'!$F$6:$Z$6,'Official Summary'!M$7,'Phase I Pro Forma'!$F$112:$Z$112)+SUMIF('Phase II Pro Forma'!$F$5:$Z$5,'Official Summary'!M$7,'Phase II Pro Forma'!$F$111:$Z$111)+SUMIF('Phase III Pro Forma'!$F$6:$Z$6,'Official Summary'!M$7,'Phase III Pro Forma'!$F$112:$Z$112)</f>
        <v>25434606.295205779</v>
      </c>
      <c r="N14" s="934">
        <f>+SUMIF('Phase I Pro Forma'!$F$6:$Z$6,'Official Summary'!N$7,'Phase I Pro Forma'!$F$112:$Z$112)+SUMIF('Phase II Pro Forma'!$F$5:$Z$5,'Official Summary'!N$7,'Phase II Pro Forma'!$F$111:$Z$111)+SUMIF('Phase III Pro Forma'!$F$6:$Z$6,'Official Summary'!N$7,'Phase III Pro Forma'!$F$112:$Z$112)</f>
        <v>25422770.691859897</v>
      </c>
      <c r="P14" s="396"/>
    </row>
    <row r="15" spans="2:16" ht="19" customHeight="1">
      <c r="B15" s="983" t="s">
        <v>29</v>
      </c>
      <c r="C15" s="983"/>
      <c r="D15" s="930">
        <f>+SUMIF('Phase I Pro Forma'!$F$6:$Z$6,'Official Summary'!D$7,'Phase I Pro Forma'!$F$70:$Z$70)+SUMIF('Phase II Pro Forma'!$F$5:$Z$5,'Official Summary'!D$7,'Phase II Pro Forma'!$F$69:$Z$69)+SUMIF('Phase III Pro Forma'!$F$6:$Z$6,'Official Summary'!D$7,'Phase III Pro Forma'!$F$70:$Z$70)</f>
        <v>0</v>
      </c>
      <c r="E15" s="931">
        <f>+SUMIF('Phase I Pro Forma'!$F$6:$Z$6,'Official Summary'!E$7,'Phase I Pro Forma'!$F$70:$Z$70)+SUMIF('Phase II Pro Forma'!$F$5:$Z$5,'Official Summary'!E$7,'Phase II Pro Forma'!$F$69:$Z$69)+SUMIF('Phase III Pro Forma'!$F$6:$Z$6,'Official Summary'!E$7,'Phase III Pro Forma'!$F$70:$Z$70)</f>
        <v>0</v>
      </c>
      <c r="F15" s="932">
        <f>+SUMIF('Phase I Pro Forma'!$F$6:$Z$6,'Official Summary'!F$7,'Phase I Pro Forma'!$F$70:$Z$70)+SUMIF('Phase II Pro Forma'!$F$5:$Z$5,'Official Summary'!F$7,'Phase II Pro Forma'!$F$69:$Z$69)+SUMIF('Phase III Pro Forma'!$F$6:$Z$6,'Official Summary'!F$7,'Phase III Pro Forma'!$F$70:$Z$70)</f>
        <v>0</v>
      </c>
      <c r="G15" s="931">
        <f>+SUMIF('Phase I Pro Forma'!$F$6:$Z$6,'Official Summary'!G$7,'Phase I Pro Forma'!$F$70:$Z$70)+SUMIF('Phase II Pro Forma'!$F$5:$Z$5,'Official Summary'!G$7,'Phase II Pro Forma'!$F$69:$Z$69)+SUMIF('Phase III Pro Forma'!$F$6:$Z$6,'Official Summary'!G$7,'Phase III Pro Forma'!$F$70:$Z$70)</f>
        <v>3496325.7566088</v>
      </c>
      <c r="H15" s="933">
        <f>+SUMIF('Phase I Pro Forma'!$F$6:$Z$6,'Official Summary'!H$7,'Phase I Pro Forma'!$F$70:$Z$70)+SUMIF('Phase II Pro Forma'!$F$5:$Z$5,'Official Summary'!H$7,'Phase II Pro Forma'!$F$69:$Z$69)+SUMIF('Phase III Pro Forma'!$F$6:$Z$6,'Official Summary'!H$7,'Phase III Pro Forma'!$F$70:$Z$70)</f>
        <v>9581067.7125196625</v>
      </c>
      <c r="I15" s="931">
        <f>+SUMIF('Phase I Pro Forma'!$F$6:$Z$6,'Official Summary'!I$7,'Phase I Pro Forma'!$F$70:$Z$70)+SUMIF('Phase II Pro Forma'!$F$5:$Z$5,'Official Summary'!I$7,'Phase II Pro Forma'!$F$69:$Z$69)+SUMIF('Phase III Pro Forma'!$F$6:$Z$6,'Official Summary'!I$7,'Phase III Pro Forma'!$F$70:$Z$70)</f>
        <v>13112437.297597341</v>
      </c>
      <c r="J15" s="931">
        <f>+SUMIF('Phase I Pro Forma'!$F$6:$Z$6,'Official Summary'!J$7,'Phase I Pro Forma'!$F$70:$Z$70)+SUMIF('Phase II Pro Forma'!$F$5:$Z$5,'Official Summary'!J$7,'Phase II Pro Forma'!$F$69:$Z$69)+SUMIF('Phase III Pro Forma'!$F$6:$Z$6,'Official Summary'!J$7,'Phase III Pro Forma'!$F$70:$Z$70)</f>
        <v>15574394.052064609</v>
      </c>
      <c r="K15" s="931">
        <f>+SUMIF('Phase I Pro Forma'!$F$6:$Z$6,'Official Summary'!K$7,'Phase I Pro Forma'!$F$70:$Z$70)+SUMIF('Phase II Pro Forma'!$F$5:$Z$5,'Official Summary'!K$7,'Phase II Pro Forma'!$F$69:$Z$69)+SUMIF('Phase III Pro Forma'!$F$6:$Z$6,'Official Summary'!K$7,'Phase III Pro Forma'!$F$70:$Z$70)</f>
        <v>18317756.331886981</v>
      </c>
      <c r="L15" s="931">
        <f>+SUMIF('Phase I Pro Forma'!$F$6:$Z$6,'Official Summary'!L$7,'Phase I Pro Forma'!$F$70:$Z$70)+SUMIF('Phase II Pro Forma'!$F$5:$Z$5,'Official Summary'!L$7,'Phase II Pro Forma'!$F$69:$Z$69)+SUMIF('Phase III Pro Forma'!$F$6:$Z$6,'Official Summary'!L$7,'Phase III Pro Forma'!$F$70:$Z$70)</f>
        <v>18336699.270515084</v>
      </c>
      <c r="M15" s="931">
        <f>+SUMIF('Phase I Pro Forma'!$F$6:$Z$6,'Official Summary'!M$7,'Phase I Pro Forma'!$F$70:$Z$70)+SUMIF('Phase II Pro Forma'!$F$5:$Z$5,'Official Summary'!M$7,'Phase II Pro Forma'!$F$69:$Z$69)+SUMIF('Phase III Pro Forma'!$F$6:$Z$6,'Official Summary'!M$7,'Phase III Pro Forma'!$F$70:$Z$70)</f>
        <v>18758069.808781512</v>
      </c>
      <c r="N15" s="934">
        <f>+SUMIF('Phase I Pro Forma'!$F$6:$Z$6,'Official Summary'!N$7,'Phase I Pro Forma'!$F$70:$Z$70)+SUMIF('Phase II Pro Forma'!$F$5:$Z$5,'Official Summary'!N$7,'Phase II Pro Forma'!$F$69:$Z$69)+SUMIF('Phase III Pro Forma'!$F$6:$Z$6,'Official Summary'!N$7,'Phase III Pro Forma'!$F$70:$Z$70)</f>
        <v>18803065.112880588</v>
      </c>
    </row>
    <row r="16" spans="2:16" ht="19" customHeight="1">
      <c r="B16" s="907" t="s">
        <v>143</v>
      </c>
      <c r="C16" s="137"/>
      <c r="D16" s="930">
        <f>+SUMIF('Phase I Pro Forma'!$F$6:$Z$6,'Official Summary'!D$7,'Phase I Pro Forma'!$F$91:$Z$91)+SUMIF('Phase II Pro Forma'!$F$5:$Z$5,'Official Summary'!D$7,'Phase II Pro Forma'!$F$90:$Z$90)+SUMIF('Phase III Pro Forma'!$F$6:$Z$6,'Official Summary'!D$7,'Phase III Pro Forma'!$F$91:$Z$91)</f>
        <v>0</v>
      </c>
      <c r="E16" s="931">
        <f ca="1">+SUMIF('Phase I Pro Forma'!$F$6:$Z$6,'Official Summary'!E$7,'Phase I Pro Forma'!$F$91:$Z$91)+SUMIF('Phase II Pro Forma'!$F$5:$Z$5,'Official Summary'!E$7,'Phase II Pro Forma'!$F$90:$Z$90)+SUMIF('Phase III Pro Forma'!$F$6:$Z$6,'Official Summary'!E$7,'Phase III Pro Forma'!$F$91:$Z$91)</f>
        <v>0</v>
      </c>
      <c r="F16" s="932">
        <f ca="1">+SUMIF('Phase I Pro Forma'!$F$6:$Z$6,'Official Summary'!F$7,'Phase I Pro Forma'!$F$91:$Z$91)+SUMIF('Phase II Pro Forma'!$F$5:$Z$5,'Official Summary'!F$7,'Phase II Pro Forma'!$F$90:$Z$90)+SUMIF('Phase III Pro Forma'!$F$6:$Z$6,'Official Summary'!F$7,'Phase III Pro Forma'!$F$91:$Z$91)</f>
        <v>0</v>
      </c>
      <c r="G16" s="931">
        <v>0</v>
      </c>
      <c r="H16" s="933">
        <v>0</v>
      </c>
      <c r="I16" s="931">
        <v>0</v>
      </c>
      <c r="J16" s="931">
        <v>0</v>
      </c>
      <c r="K16" s="931">
        <v>0</v>
      </c>
      <c r="L16" s="931">
        <v>0</v>
      </c>
      <c r="M16" s="931">
        <v>0</v>
      </c>
      <c r="N16" s="934">
        <v>0</v>
      </c>
    </row>
    <row r="17" spans="2:14" ht="19" customHeight="1">
      <c r="B17" s="907" t="s">
        <v>31</v>
      </c>
      <c r="C17" s="907"/>
      <c r="D17" s="930">
        <v>0</v>
      </c>
      <c r="E17" s="931">
        <v>0</v>
      </c>
      <c r="F17" s="932">
        <v>0</v>
      </c>
      <c r="G17" s="931">
        <f ca="1">'Phase I Pro Forma'!I206</f>
        <v>1535732.2462926258</v>
      </c>
      <c r="H17" s="933">
        <f ca="1">'Phase I Pro Forma'!J206</f>
        <v>3423371.4403864285</v>
      </c>
      <c r="I17" s="931">
        <f ca="1">'Phase I Pro Forma'!K206</f>
        <v>3651867.5876161545</v>
      </c>
      <c r="J17" s="931">
        <f ca="1">'Phase I Pro Forma'!M206</f>
        <v>3799403.0381558458</v>
      </c>
      <c r="K17" s="931">
        <f ca="1">'Phase I Pro Forma'!N206</f>
        <v>3875391.0989189618</v>
      </c>
      <c r="L17" s="931">
        <f>2106355*1.02</f>
        <v>2148482.1</v>
      </c>
      <c r="M17" s="931">
        <f ca="1">'Phase I Pro Forma'!P206</f>
        <v>4031956.8993152878</v>
      </c>
      <c r="N17" s="934">
        <f ca="1">'Phase I Pro Forma'!Q206</f>
        <v>4112596.0373015944</v>
      </c>
    </row>
    <row r="18" spans="2:14" ht="19" customHeight="1">
      <c r="B18" s="907" t="s">
        <v>697</v>
      </c>
      <c r="C18" s="907"/>
      <c r="D18" s="930">
        <f>+SUMIF('Phase I Pro Forma'!$F$6:$Z$6,'Official Summary'!D$7,'Phase I Pro Forma'!$F$134:$Z$134)+SUMIF('Phase II Pro Forma'!$F$5:$Z$5,'Official Summary'!D$7,'Phase II Pro Forma'!$F$133:$Z$133)+SUMIF('Phase III Pro Forma'!$F$6:$Z$6,'Official Summary'!D$7,'Phase III Pro Forma'!$F$134:$Z$134)</f>
        <v>0</v>
      </c>
      <c r="E18" s="931">
        <f>+SUMIF('Phase I Pro Forma'!$F$6:$Z$6,'Official Summary'!E$7,'Phase I Pro Forma'!$F$134:$Z$134)+SUMIF('Phase II Pro Forma'!$F$5:$Z$5,'Official Summary'!E$7,'Phase II Pro Forma'!$F$133:$Z$133)+SUMIF('Phase III Pro Forma'!$F$6:$Z$6,'Official Summary'!E$7,'Phase III Pro Forma'!$F$134:$Z$134)</f>
        <v>0</v>
      </c>
      <c r="F18" s="932">
        <f>+SUMIF('Phase I Pro Forma'!$F$6:$Z$6,'Official Summary'!F$7,'Phase I Pro Forma'!$F$134:$Z$134)+SUMIF('Phase II Pro Forma'!$F$5:$Z$5,'Official Summary'!F$7,'Phase II Pro Forma'!$F$133:$Z$133)+SUMIF('Phase III Pro Forma'!$F$6:$Z$6,'Official Summary'!F$7,'Phase III Pro Forma'!$F$134:$Z$134)</f>
        <v>0</v>
      </c>
      <c r="G18" s="931">
        <f>+SUMIF('Phase I Pro Forma'!$F$6:$Z$6,'Official Summary'!G$7,'Phase I Pro Forma'!$F$134:$Z$134)+SUMIF('Phase II Pro Forma'!$F$5:$Z$5,'Official Summary'!G$7,'Phase II Pro Forma'!$F$133:$Z$133)+SUMIF('Phase III Pro Forma'!$F$6:$Z$6,'Official Summary'!G$7,'Phase III Pro Forma'!$F$134:$Z$134)</f>
        <v>2232660.17964675</v>
      </c>
      <c r="H18" s="933">
        <f>+SUMIF('Phase I Pro Forma'!$F$6:$Z$6,'Official Summary'!H$7,'Phase I Pro Forma'!$F$134:$Z$134)+SUMIF('Phase II Pro Forma'!$F$5:$Z$5,'Official Summary'!H$7,'Phase II Pro Forma'!$F$133:$Z$133)+SUMIF('Phase III Pro Forma'!$F$6:$Z$6,'Official Summary'!H$7,'Phase III Pro Forma'!$F$134:$Z$134)</f>
        <v>4859681.9857032048</v>
      </c>
      <c r="I18" s="931">
        <f>+SUMIF('Phase I Pro Forma'!$F$6:$Z$6,'Official Summary'!I$7,'Phase I Pro Forma'!$F$134:$Z$134)+SUMIF('Phase II Pro Forma'!$F$5:$Z$5,'Official Summary'!I$7,'Phase II Pro Forma'!$F$133:$Z$133)+SUMIF('Phase III Pro Forma'!$F$6:$Z$6,'Official Summary'!I$7,'Phase III Pro Forma'!$F$134:$Z$134)</f>
        <v>5269088.8973744735</v>
      </c>
      <c r="J18" s="931">
        <f>+SUMIF('Phase I Pro Forma'!$F$6:$Z$6,'Official Summary'!J$7,'Phase I Pro Forma'!$F$134:$Z$134)+SUMIF('Phase II Pro Forma'!$F$5:$Z$5,'Official Summary'!J$7,'Phase II Pro Forma'!$F$133:$Z$133)+SUMIF('Phase III Pro Forma'!$F$6:$Z$6,'Official Summary'!J$7,'Phase III Pro Forma'!$F$134:$Z$134)</f>
        <v>5987350.885777792</v>
      </c>
      <c r="K18" s="931">
        <f>+SUMIF('Phase I Pro Forma'!$F$6:$Z$6,'Official Summary'!K$7,'Phase I Pro Forma'!$F$134:$Z$134)+SUMIF('Phase II Pro Forma'!$F$5:$Z$5,'Official Summary'!K$7,'Phase II Pro Forma'!$F$133:$Z$133)+SUMIF('Phase III Pro Forma'!$F$6:$Z$6,'Official Summary'!K$7,'Phase III Pro Forma'!$F$134:$Z$134)</f>
        <v>6916465.0973640364</v>
      </c>
      <c r="L18" s="931">
        <f>+SUMIF('Phase I Pro Forma'!$F$6:$Z$6,'Official Summary'!L$7,'Phase I Pro Forma'!$F$134:$Z$134)+SUMIF('Phase II Pro Forma'!$F$5:$Z$5,'Official Summary'!L$7,'Phase II Pro Forma'!$F$133:$Z$133)+SUMIF('Phase III Pro Forma'!$F$6:$Z$6,'Official Summary'!L$7,'Phase III Pro Forma'!$F$134:$Z$134)</f>
        <v>7041955.9723673174</v>
      </c>
      <c r="M18" s="931">
        <f>+SUMIF('Phase I Pro Forma'!$F$6:$Z$6,'Official Summary'!M$7,'Phase I Pro Forma'!$F$134:$Z$134)+SUMIF('Phase II Pro Forma'!$F$5:$Z$5,'Official Summary'!M$7,'Phase II Pro Forma'!$F$133:$Z$133)+SUMIF('Phase III Pro Forma'!$F$6:$Z$6,'Official Summary'!M$7,'Phase III Pro Forma'!$F$134:$Z$134)</f>
        <v>7210603.1692647059</v>
      </c>
      <c r="N18" s="934">
        <f>+SUMIF('Phase I Pro Forma'!$F$6:$Z$6,'Official Summary'!N$7,'Phase I Pro Forma'!$F$134:$Z$134)+SUMIF('Phase II Pro Forma'!$F$5:$Z$5,'Official Summary'!N$7,'Phase II Pro Forma'!$F$133:$Z$133)+SUMIF('Phase III Pro Forma'!$F$6:$Z$6,'Official Summary'!N$7,'Phase III Pro Forma'!$F$134:$Z$134)</f>
        <v>7337697.3300580001</v>
      </c>
    </row>
    <row r="19" spans="2:14" ht="19" customHeight="1">
      <c r="B19" s="907" t="s">
        <v>698</v>
      </c>
      <c r="C19" s="907"/>
      <c r="D19" s="930" t="s">
        <v>692</v>
      </c>
      <c r="E19" s="931" t="s">
        <v>692</v>
      </c>
      <c r="F19" s="932" t="s">
        <v>692</v>
      </c>
      <c r="G19" s="931" t="s">
        <v>692</v>
      </c>
      <c r="H19" s="933" t="s">
        <v>692</v>
      </c>
      <c r="I19" s="931" t="s">
        <v>692</v>
      </c>
      <c r="J19" s="931" t="s">
        <v>692</v>
      </c>
      <c r="K19" s="931" t="s">
        <v>692</v>
      </c>
      <c r="L19" s="931" t="s">
        <v>692</v>
      </c>
      <c r="M19" s="931" t="s">
        <v>692</v>
      </c>
      <c r="N19" s="934" t="s">
        <v>692</v>
      </c>
    </row>
    <row r="20" spans="2:14" ht="19" customHeight="1">
      <c r="B20" s="907" t="s">
        <v>332</v>
      </c>
      <c r="C20" s="137"/>
      <c r="D20" s="930">
        <v>0</v>
      </c>
      <c r="E20" s="931">
        <v>0</v>
      </c>
      <c r="F20" s="932">
        <v>0</v>
      </c>
      <c r="G20" s="931">
        <v>122001</v>
      </c>
      <c r="H20" s="933">
        <f t="shared" ref="H20:N20" si="2">G20*1.02</f>
        <v>124441.02</v>
      </c>
      <c r="I20" s="931">
        <f t="shared" si="2"/>
        <v>126929.8404</v>
      </c>
      <c r="J20" s="931">
        <f t="shared" si="2"/>
        <v>129468.437208</v>
      </c>
      <c r="K20" s="931">
        <f t="shared" si="2"/>
        <v>132057.80595216001</v>
      </c>
      <c r="L20" s="931">
        <f t="shared" si="2"/>
        <v>134698.96207120322</v>
      </c>
      <c r="M20" s="931">
        <f t="shared" si="2"/>
        <v>137392.94131262728</v>
      </c>
      <c r="N20" s="934">
        <f t="shared" si="2"/>
        <v>140140.80013887983</v>
      </c>
    </row>
    <row r="21" spans="2:14" ht="19" customHeight="1">
      <c r="B21" s="132" t="s">
        <v>699</v>
      </c>
      <c r="C21" s="137"/>
      <c r="D21" s="466" t="s">
        <v>692</v>
      </c>
      <c r="E21" s="126" t="s">
        <v>692</v>
      </c>
      <c r="F21" s="472" t="s">
        <v>692</v>
      </c>
      <c r="G21" s="126" t="s">
        <v>692</v>
      </c>
      <c r="H21" s="478" t="s">
        <v>692</v>
      </c>
      <c r="I21" s="126" t="s">
        <v>692</v>
      </c>
      <c r="J21" s="126" t="s">
        <v>692</v>
      </c>
      <c r="K21" s="126" t="s">
        <v>692</v>
      </c>
      <c r="L21" s="126" t="s">
        <v>692</v>
      </c>
      <c r="M21" s="126" t="s">
        <v>692</v>
      </c>
      <c r="N21" s="448" t="s">
        <v>692</v>
      </c>
    </row>
    <row r="22" spans="2:14" ht="19" customHeight="1">
      <c r="B22" s="132" t="s">
        <v>700</v>
      </c>
      <c r="C22" s="907"/>
      <c r="D22" s="466" t="s">
        <v>692</v>
      </c>
      <c r="E22" s="126" t="s">
        <v>692</v>
      </c>
      <c r="F22" s="472" t="s">
        <v>692</v>
      </c>
      <c r="G22" s="126" t="s">
        <v>692</v>
      </c>
      <c r="H22" s="478" t="s">
        <v>692</v>
      </c>
      <c r="I22" s="126" t="s">
        <v>692</v>
      </c>
      <c r="J22" s="126" t="s">
        <v>692</v>
      </c>
      <c r="K22" s="126" t="s">
        <v>692</v>
      </c>
      <c r="L22" s="126" t="s">
        <v>692</v>
      </c>
      <c r="M22" s="126" t="s">
        <v>692</v>
      </c>
      <c r="N22" s="448" t="s">
        <v>692</v>
      </c>
    </row>
    <row r="23" spans="2:14" ht="19" customHeight="1">
      <c r="B23" s="132" t="s">
        <v>701</v>
      </c>
      <c r="C23" s="137"/>
      <c r="D23" s="466">
        <f ca="1">-SUMIF('Phase I Pro Forma'!$F$6:$Z$6,'Official Summary'!D$7,'Phase I Pro Forma'!$F$291:$Z$291)-SUMIF('Phase II Pro Forma'!$F$5:$Z$5,'Official Summary'!D$7,'Phase II Pro Forma'!$F$223:$Z$223)-SUMIF('Phase III Pro Forma'!$F$6:$Z$6,'Official Summary'!D$7,'Phase III Pro Forma'!$F$187:$Z$187)</f>
        <v>0</v>
      </c>
      <c r="E23" s="126">
        <f ca="1">-SUMIF('Phase I Pro Forma'!$F$6:$Z$6,'Official Summary'!E$7,'Phase I Pro Forma'!$F$291:$Z$291)-SUMIF('Phase II Pro Forma'!$F$5:$Z$5,'Official Summary'!E$7,'Phase II Pro Forma'!$F$223:$Z$223)-SUMIF('Phase III Pro Forma'!$F$6:$Z$6,'Official Summary'!E$7,'Phase III Pro Forma'!$F$187:$Z$187)</f>
        <v>-2685640.6902553365</v>
      </c>
      <c r="F23" s="472">
        <f ca="1">-SUMIF('Phase I Pro Forma'!$F$6:$Z$6,'Official Summary'!F$7,'Phase I Pro Forma'!$F$291:$Z$291)-SUMIF('Phase II Pro Forma'!$F$5:$Z$5,'Official Summary'!F$7,'Phase II Pro Forma'!$F$223:$Z$223)-SUMIF('Phase III Pro Forma'!$F$6:$Z$6,'Official Summary'!F$7,'Phase III Pro Forma'!$F$187:$Z$187)</f>
        <v>-4459456.1481675869</v>
      </c>
      <c r="G23" s="126">
        <f ca="1">-SUMIF('Phase I Pro Forma'!$F$6:$Z$6,'Official Summary'!G$7,'Phase I Pro Forma'!$F$291:$Z$291)-SUMIF('Phase II Pro Forma'!$F$5:$Z$5,'Official Summary'!G$7,'Phase II Pro Forma'!$F$223:$Z$223)-SUMIF('Phase III Pro Forma'!$F$6:$Z$6,'Official Summary'!G$7,'Phase III Pro Forma'!$F$187:$Z$187)</f>
        <v>-4459456.1481675869</v>
      </c>
      <c r="H23" s="478">
        <f ca="1">-SUMIF('Phase I Pro Forma'!$F$6:$Z$6,'Official Summary'!H$7,'Phase I Pro Forma'!$F$291:$Z$291)-SUMIF('Phase II Pro Forma'!$F$5:$Z$5,'Official Summary'!H$7,'Phase II Pro Forma'!$F$223:$Z$223)-SUMIF('Phase III Pro Forma'!$F$6:$Z$6,'Official Summary'!H$7,'Phase III Pro Forma'!$F$187:$Z$187)</f>
        <v>-7094796.2729661204</v>
      </c>
      <c r="I23" s="126">
        <f ca="1">-SUMIF('Phase I Pro Forma'!$F$6:$Z$6,'Official Summary'!I$7,'Phase I Pro Forma'!$F$291:$Z$291)-SUMIF('Phase II Pro Forma'!$F$5:$Z$5,'Official Summary'!I$7,'Phase II Pro Forma'!$F$223:$Z$223)-SUMIF('Phase III Pro Forma'!$F$6:$Z$6,'Official Summary'!I$7,'Phase III Pro Forma'!$F$187:$Z$187)</f>
        <v>-4409155.582710783</v>
      </c>
      <c r="J23" s="126">
        <f ca="1">-SUMIF('Phase I Pro Forma'!$F$6:$Z$6,'Official Summary'!J$7,'Phase I Pro Forma'!$F$291:$Z$291)-SUMIF('Phase II Pro Forma'!$F$5:$Z$5,'Official Summary'!J$7,'Phase II Pro Forma'!$F$223:$Z$223)-SUMIF('Phase III Pro Forma'!$F$6:$Z$6,'Official Summary'!J$7,'Phase III Pro Forma'!$F$187:$Z$187)</f>
        <v>-2635340.124798533</v>
      </c>
      <c r="K23" s="126">
        <f ca="1">-SUMIF('Phase I Pro Forma'!$F$6:$Z$6,'Official Summary'!K$7,'Phase I Pro Forma'!$F$291:$Z$291)-SUMIF('Phase II Pro Forma'!$F$5:$Z$5,'Official Summary'!K$7,'Phase II Pro Forma'!$F$223:$Z$223)-SUMIF('Phase III Pro Forma'!$F$6:$Z$6,'Official Summary'!K$7,'Phase III Pro Forma'!$F$187:$Z$187)</f>
        <v>-2635340.124798533</v>
      </c>
      <c r="L23" s="126">
        <f>-SUMIF('Phase I Pro Forma'!$F$6:$Z$6,'Official Summary'!L$7,'Phase I Pro Forma'!$F$291:$Z$291)-SUMIF('Phase II Pro Forma'!$F$5:$Z$5,'Official Summary'!L$7,'Phase II Pro Forma'!$F$223:$Z$223)-SUMIF('Phase III Pro Forma'!$F$6:$Z$6,'Official Summary'!L$7,'Phase III Pro Forma'!$F$187:$Z$187)</f>
        <v>0</v>
      </c>
      <c r="M23" s="126">
        <f>-SUMIF('Phase I Pro Forma'!$F$6:$Z$6,'Official Summary'!M$7,'Phase I Pro Forma'!$F$291:$Z$291)-SUMIF('Phase II Pro Forma'!$F$5:$Z$5,'Official Summary'!M$7,'Phase II Pro Forma'!$F$223:$Z$223)-SUMIF('Phase III Pro Forma'!$F$6:$Z$6,'Official Summary'!M$7,'Phase III Pro Forma'!$F$187:$Z$187)</f>
        <v>0</v>
      </c>
      <c r="N23" s="448">
        <f>-SUMIF('Phase I Pro Forma'!$F$6:$Z$6,'Official Summary'!N$7,'Phase I Pro Forma'!$F$291:$Z$291)-SUMIF('Phase II Pro Forma'!$F$5:$Z$5,'Official Summary'!N$7,'Phase II Pro Forma'!$F$223:$Z$223)-SUMIF('Phase III Pro Forma'!$F$6:$Z$6,'Official Summary'!N$7,'Phase III Pro Forma'!$F$187:$Z$187)</f>
        <v>0</v>
      </c>
    </row>
    <row r="24" spans="2:14" ht="19" customHeight="1">
      <c r="B24" s="132" t="s">
        <v>149</v>
      </c>
      <c r="C24" s="907"/>
      <c r="D24" s="466">
        <v>0</v>
      </c>
      <c r="E24" s="126">
        <v>0</v>
      </c>
      <c r="F24" s="472">
        <v>0</v>
      </c>
      <c r="G24" s="126">
        <v>0</v>
      </c>
      <c r="H24" s="478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448">
        <v>0</v>
      </c>
    </row>
    <row r="25" spans="2:14" ht="19" customHeight="1">
      <c r="B25" s="985" t="s">
        <v>702</v>
      </c>
      <c r="C25" s="985"/>
      <c r="D25" s="135">
        <f t="shared" ref="D25:L25" ca="1" si="3">+SUM(D9:D24)</f>
        <v>0</v>
      </c>
      <c r="E25" s="126">
        <v>0</v>
      </c>
      <c r="F25" s="472">
        <v>0</v>
      </c>
      <c r="G25" s="135">
        <v>7667669</v>
      </c>
      <c r="H25" s="135">
        <v>30891136</v>
      </c>
      <c r="I25" s="135">
        <v>48716912</v>
      </c>
      <c r="J25" s="135">
        <v>62693799</v>
      </c>
      <c r="K25" s="135">
        <v>75859104</v>
      </c>
      <c r="L25" s="135">
        <f t="shared" si="3"/>
        <v>79787539.956740439</v>
      </c>
      <c r="M25" s="135">
        <v>81116306</v>
      </c>
      <c r="N25" s="135">
        <v>82196473</v>
      </c>
    </row>
    <row r="26" spans="2:14" ht="19" customHeight="1">
      <c r="B26" s="984" t="s">
        <v>605</v>
      </c>
      <c r="C26" s="984"/>
      <c r="D26" s="467">
        <v>0</v>
      </c>
      <c r="E26" s="142"/>
      <c r="F26" s="473">
        <f t="shared" ref="F26:M26" si="4">F25</f>
        <v>0</v>
      </c>
      <c r="G26" s="142">
        <f t="shared" si="4"/>
        <v>7667669</v>
      </c>
      <c r="H26" s="479">
        <f t="shared" si="4"/>
        <v>30891136</v>
      </c>
      <c r="I26" s="142">
        <f t="shared" si="4"/>
        <v>48716912</v>
      </c>
      <c r="J26" s="831">
        <f t="shared" si="4"/>
        <v>62693799</v>
      </c>
      <c r="K26" s="831">
        <f t="shared" si="4"/>
        <v>75859104</v>
      </c>
      <c r="L26" s="831">
        <f t="shared" si="4"/>
        <v>79787539.956740439</v>
      </c>
      <c r="M26" s="142">
        <f t="shared" si="4"/>
        <v>81116306</v>
      </c>
      <c r="N26" s="449">
        <f>N25</f>
        <v>82196473</v>
      </c>
    </row>
    <row r="27" spans="2:14" ht="19" customHeight="1">
      <c r="B27" s="141" t="s">
        <v>703</v>
      </c>
      <c r="C27" s="140"/>
      <c r="D27" s="466">
        <v>0</v>
      </c>
      <c r="E27" s="143">
        <f>+SUMIF('Phase I Pro Forma'!$F$6:$Z$6,'Phase I Pro Forma'!$F$271:$Z$271)+SUMIF('Phase II Pro Forma'!$F$5:$Z$5,'Phase II Pro Forma'!$F$203:$Z$203)+SUMIF('Phase III Pro Forma'!$F$6:$Z$6,'Phase III Pro Forma'!$F$167:$Z$167)+SUMIF('Phase I Pro Forma'!$F$6:$Z$6,'Official Summary'!E$7,'Phase I Pro Forma'!$F$226:$Z$226)+SUMIF('Phase II Pro Forma'!$F$5:$Z$5,'Phase II Pro Forma'!#REF!)+SUMIF('Phase III Pro Forma'!$F$6:$Z$6,'Phase III Pro Forma'!#REF!)+SUMIF('Phase I Pro Forma'!$F$6:$Z$6,'Phase I Pro Forma'!$F$157:$Z$157)+SUMIF('Phase II Pro Forma'!$F$5:$Z$5,'Phase II Pro Forma'!$F$156:$Z$156)+SUMIF('Phase III Pro Forma'!$F$6:$Z$6,'Phase III Pro Forma'!$F$157:$Z$157)</f>
        <v>0</v>
      </c>
      <c r="F27" s="472">
        <v>0</v>
      </c>
      <c r="G27" s="143">
        <v>0</v>
      </c>
      <c r="H27" s="478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448">
        <v>0</v>
      </c>
    </row>
    <row r="28" spans="2:14" ht="19" customHeight="1">
      <c r="B28" s="456" t="s">
        <v>704</v>
      </c>
      <c r="C28" s="457"/>
      <c r="D28" s="458">
        <f t="shared" ref="D28:N28" ca="1" si="5">+SUM(D25:D27)</f>
        <v>0</v>
      </c>
      <c r="E28" s="458">
        <f t="shared" si="5"/>
        <v>0</v>
      </c>
      <c r="F28" s="458">
        <f t="shared" si="5"/>
        <v>0</v>
      </c>
      <c r="G28" s="458">
        <f t="shared" si="5"/>
        <v>15335338</v>
      </c>
      <c r="H28" s="458">
        <f t="shared" si="5"/>
        <v>61782272</v>
      </c>
      <c r="I28" s="458">
        <f t="shared" si="5"/>
        <v>97433824</v>
      </c>
      <c r="J28" s="458">
        <f t="shared" si="5"/>
        <v>125387598</v>
      </c>
      <c r="K28" s="458">
        <f t="shared" si="5"/>
        <v>151718208</v>
      </c>
      <c r="L28" s="458">
        <f t="shared" si="5"/>
        <v>159575079.91348088</v>
      </c>
      <c r="M28" s="458">
        <f t="shared" si="5"/>
        <v>162232612</v>
      </c>
      <c r="N28" s="458">
        <f t="shared" si="5"/>
        <v>164392946</v>
      </c>
    </row>
    <row r="29" spans="2:14" ht="19" customHeight="1">
      <c r="B29" s="450"/>
      <c r="C29" s="450"/>
      <c r="D29" s="451"/>
      <c r="E29" s="452"/>
      <c r="F29" s="452"/>
      <c r="G29" s="452"/>
      <c r="H29" s="452"/>
      <c r="I29" s="452"/>
      <c r="J29" s="452"/>
      <c r="K29" s="452"/>
      <c r="L29" s="452"/>
      <c r="M29" s="911"/>
      <c r="N29" s="452"/>
    </row>
    <row r="30" spans="2:14" ht="19" customHeight="1">
      <c r="B30" s="130" t="s">
        <v>705</v>
      </c>
      <c r="C30" s="128"/>
      <c r="D30" s="463" t="s">
        <v>3</v>
      </c>
      <c r="F30" s="468" t="s">
        <v>4</v>
      </c>
      <c r="G30" s="129"/>
      <c r="H30" s="474" t="s">
        <v>5</v>
      </c>
      <c r="I30" s="129"/>
      <c r="J30" s="129"/>
      <c r="K30" s="129"/>
      <c r="L30" s="129"/>
      <c r="M30" s="117"/>
      <c r="N30" s="444" t="s">
        <v>687</v>
      </c>
    </row>
    <row r="31" spans="2:14" ht="19" customHeight="1">
      <c r="B31" s="907" t="s">
        <v>276</v>
      </c>
      <c r="C31" s="130"/>
      <c r="D31" s="464"/>
      <c r="F31" s="469"/>
      <c r="G31" s="114"/>
      <c r="H31" s="475"/>
      <c r="I31" s="114"/>
      <c r="J31" s="114"/>
      <c r="K31" s="114"/>
      <c r="L31" s="114"/>
      <c r="M31" s="912"/>
      <c r="N31" s="446"/>
    </row>
    <row r="32" spans="2:14" ht="19" customHeight="1">
      <c r="B32" s="138" t="s">
        <v>690</v>
      </c>
      <c r="C32" s="138"/>
      <c r="D32" s="465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Forma'!$F$183:$Z$183))*(SUM(Budget!$N$36:$N$45)/SUM(Budget!$M$36:$U$45))</f>
        <v>1135203.528700833</v>
      </c>
      <c r="E32" s="903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Forma'!$F$183:$Z$183))*(SUM(Budget!$N$36:$N$45)/SUM(Budget!$M$36:$U$45))</f>
        <v>52037975.012670919</v>
      </c>
      <c r="F32" s="471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Forma'!$F$183:$Z$183))*(SUM(Budget!$N$36:$N$45)/SUM(Budget!$M$36:$U$45))</f>
        <v>95267004.703608796</v>
      </c>
      <c r="G32" s="903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Forma'!$F$183:$Z$183))*(SUM(Budget!$N$36:$N$45)/SUM(Budget!$M$36:$U$45))</f>
        <v>43229029.690937869</v>
      </c>
      <c r="H32" s="477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Forma'!$F$183:$Z$183))*(SUM(Budget!$N$36:$N$45)/SUM(Budget!$M$36:$U$45))</f>
        <v>69071517.648552492</v>
      </c>
      <c r="I32" s="903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Forma'!$F$183:$Z$183))*(SUM(Budget!$N$36:$N$45)/SUM(Budget!$M$36:$U$45))</f>
        <v>69071517.648552492</v>
      </c>
      <c r="J32" s="903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Forma'!$F$183:$Z$183))*(SUM(Budget!$N$36:$N$45)/SUM(Budget!$M$36:$U$45))</f>
        <v>0</v>
      </c>
      <c r="K32" s="903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Forma'!$F$183:$Z$183))*(SUM(Budget!$N$36:$N$45)/SUM(Budget!$M$36:$U$45))</f>
        <v>0</v>
      </c>
      <c r="L32" s="903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Forma'!$F$183:$Z$183))*(SUM(Budget!$N$36:$N$45)/SUM(Budget!$M$36:$U$45))</f>
        <v>0</v>
      </c>
      <c r="M32" s="903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Forma'!$F$183:$Z$183))*(SUM(Budget!$N$36:$N$45)/SUM(Budget!$M$36:$U$45))</f>
        <v>0</v>
      </c>
      <c r="N32" s="447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Forma'!$F$183:$Z$183))*(SUM(Budget!$N$36:$N$45)/SUM(Budget!$M$36:$U$45))</f>
        <v>0</v>
      </c>
    </row>
    <row r="33" spans="2:14" ht="19" customHeight="1">
      <c r="B33" s="138" t="s">
        <v>691</v>
      </c>
      <c r="C33" s="138"/>
      <c r="D33" s="466" t="s">
        <v>692</v>
      </c>
      <c r="E33" s="126" t="s">
        <v>692</v>
      </c>
      <c r="F33" s="472" t="s">
        <v>692</v>
      </c>
      <c r="G33" s="126" t="s">
        <v>692</v>
      </c>
      <c r="H33" s="478" t="s">
        <v>692</v>
      </c>
      <c r="I33" s="126" t="s">
        <v>692</v>
      </c>
      <c r="J33" s="126" t="s">
        <v>692</v>
      </c>
      <c r="K33" s="126" t="s">
        <v>692</v>
      </c>
      <c r="L33" s="126" t="s">
        <v>692</v>
      </c>
      <c r="M33" s="126" t="s">
        <v>692</v>
      </c>
      <c r="N33" s="448" t="s">
        <v>692</v>
      </c>
    </row>
    <row r="34" spans="2:14" ht="19" customHeight="1">
      <c r="B34" s="138" t="s">
        <v>693</v>
      </c>
      <c r="C34" s="138"/>
      <c r="D34" s="466" t="s">
        <v>692</v>
      </c>
      <c r="E34" s="126" t="s">
        <v>692</v>
      </c>
      <c r="F34" s="472" t="s">
        <v>692</v>
      </c>
      <c r="G34" s="126" t="s">
        <v>692</v>
      </c>
      <c r="H34" s="478" t="s">
        <v>692</v>
      </c>
      <c r="I34" s="126" t="s">
        <v>692</v>
      </c>
      <c r="J34" s="126" t="s">
        <v>692</v>
      </c>
      <c r="K34" s="126" t="s">
        <v>692</v>
      </c>
      <c r="L34" s="126" t="s">
        <v>692</v>
      </c>
      <c r="M34" s="126" t="s">
        <v>692</v>
      </c>
      <c r="N34" s="448" t="s">
        <v>692</v>
      </c>
    </row>
    <row r="35" spans="2:14" ht="19" customHeight="1">
      <c r="B35" s="138" t="s">
        <v>694</v>
      </c>
      <c r="C35" s="166"/>
      <c r="D35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Forma'!$F$183:$Z$183))*(SUM(Budget!$M$36:$M$45)/SUM(Budget!$M$36:$U$45))</f>
        <v>756930.43234197004</v>
      </c>
      <c r="E35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Forma'!$F$183:$Z$183))*(SUM(Budget!$M$36:$M$45)/SUM(Budget!$M$36:$U$45))</f>
        <v>34697854.550910309</v>
      </c>
      <c r="F35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Forma'!$F$183:$Z$183))*(SUM(Budget!$M$36:$M$45)/SUM(Budget!$M$36:$U$45))</f>
        <v>63522085.01391191</v>
      </c>
      <c r="G35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Forma'!$F$183:$Z$183))*(SUM(Budget!$M$36:$M$45)/SUM(Budget!$M$36:$U$45))</f>
        <v>28824230.463001601</v>
      </c>
      <c r="H35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Forma'!$F$183:$Z$183))*(SUM(Budget!$M$36:$M$45)/SUM(Budget!$M$36:$U$45))</f>
        <v>46055471.458997853</v>
      </c>
      <c r="I35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Forma'!$F$183:$Z$183))*(SUM(Budget!$M$36:$M$45)/SUM(Budget!$M$36:$U$45))</f>
        <v>46055471.458997853</v>
      </c>
      <c r="J35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Forma'!$F$183:$Z$183))*(SUM(Budget!$M$36:$M$45)/SUM(Budget!$M$36:$U$45))</f>
        <v>0</v>
      </c>
      <c r="K35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Forma'!$F$183:$Z$183))*(SUM(Budget!$M$36:$M$45)/SUM(Budget!$M$36:$U$45))</f>
        <v>0</v>
      </c>
      <c r="L35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Forma'!$F$183:$Z$183))*(SUM(Budget!$M$36:$M$45)/SUM(Budget!$M$36:$U$45))</f>
        <v>0</v>
      </c>
      <c r="M35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Forma'!$F$183:$Z$183))*(SUM(Budget!$M$36:$M$45)/SUM(Budget!$M$36:$U$45))</f>
        <v>0</v>
      </c>
      <c r="N35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Forma'!$F$183:$Z$183))*(SUM(Budget!$M$36:$M$45)/SUM(Budget!$M$36:$U$45))</f>
        <v>0</v>
      </c>
    </row>
    <row r="36" spans="2:14" ht="19" customHeight="1">
      <c r="B36" s="138" t="s">
        <v>695</v>
      </c>
      <c r="C36" s="166"/>
      <c r="D36" s="466" t="s">
        <v>692</v>
      </c>
      <c r="E36" s="126" t="s">
        <v>692</v>
      </c>
      <c r="F36" s="472" t="s">
        <v>692</v>
      </c>
      <c r="G36" s="126" t="s">
        <v>692</v>
      </c>
      <c r="H36" s="478" t="s">
        <v>692</v>
      </c>
      <c r="I36" s="126" t="s">
        <v>692</v>
      </c>
      <c r="J36" s="126" t="s">
        <v>692</v>
      </c>
      <c r="K36" s="126" t="s">
        <v>692</v>
      </c>
      <c r="L36" s="126" t="s">
        <v>692</v>
      </c>
      <c r="M36" s="126" t="s">
        <v>692</v>
      </c>
      <c r="N36" s="448" t="s">
        <v>692</v>
      </c>
    </row>
    <row r="37" spans="2:14" ht="19" customHeight="1">
      <c r="B37" s="166" t="s">
        <v>696</v>
      </c>
      <c r="C37" s="907"/>
      <c r="D37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Forma'!$F$183:$Z$183))*(SUM(Budget!$R$36:$R$45)/SUM(Budget!$M$36:$U$45))</f>
        <v>379925.52774930221</v>
      </c>
      <c r="E37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Forma'!$F$183:$Z$183))*(SUM(Budget!$R$36:$R$45)/SUM(Budget!$M$36:$U$45))</f>
        <v>17415868.273700774</v>
      </c>
      <c r="F37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Forma'!$F$183:$Z$183))*(SUM(Budget!$R$36:$R$45)/SUM(Budget!$M$36:$U$45))</f>
        <v>31883592.786692571</v>
      </c>
      <c r="G37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Forma'!$F$183:$Z$183))*(SUM(Budget!$R$36:$R$45)/SUM(Budget!$M$36:$U$45))</f>
        <v>14467724.512991795</v>
      </c>
      <c r="H37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Forma'!$F$183:$Z$183))*(SUM(Budget!$R$36:$R$45)/SUM(Budget!$M$36:$U$45))</f>
        <v>23116588.463307422</v>
      </c>
      <c r="I37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Forma'!$F$183:$Z$183))*(SUM(Budget!$R$36:$R$45)/SUM(Budget!$M$36:$U$45))</f>
        <v>23116588.463307422</v>
      </c>
      <c r="J37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Forma'!$F$183:$Z$183))*(SUM(Budget!$R$36:$R$45)/SUM(Budget!$M$36:$U$45))</f>
        <v>0</v>
      </c>
      <c r="K37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Forma'!$F$183:$Z$183))*(SUM(Budget!$R$36:$R$45)/SUM(Budget!$M$36:$U$45))</f>
        <v>0</v>
      </c>
      <c r="L37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Forma'!$F$183:$Z$183))*(SUM(Budget!$R$36:$R$45)/SUM(Budget!$M$36:$U$45))</f>
        <v>0</v>
      </c>
      <c r="M37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Forma'!$F$183:$Z$183))*(SUM(Budget!$R$36:$R$45)/SUM(Budget!$M$36:$U$45))</f>
        <v>0</v>
      </c>
      <c r="N37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Forma'!$F$183:$Z$183))*(SUM(Budget!$R$36:$R$45)/SUM(Budget!$M$36:$U$45))</f>
        <v>0</v>
      </c>
    </row>
    <row r="38" spans="2:14" ht="19" customHeight="1">
      <c r="B38" s="166" t="s">
        <v>29</v>
      </c>
      <c r="C38" s="166"/>
      <c r="D38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Forma'!$F$183:$Z$183))*(SUM(Budget!$O$36:$O$45)/SUM(Budget!$M$36:$U$45))</f>
        <v>204200.01624180787</v>
      </c>
      <c r="E38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Forma'!$F$183:$Z$183))*(SUM(Budget!$O$36:$O$45)/SUM(Budget!$M$36:$U$45))</f>
        <v>9360572.8612728529</v>
      </c>
      <c r="F38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Forma'!$F$183:$Z$183))*(SUM(Budget!$O$36:$O$45)/SUM(Budget!$M$36:$U$45))</f>
        <v>17136595.699317992</v>
      </c>
      <c r="G38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Forma'!$F$183:$Z$183))*(SUM(Budget!$O$36:$O$45)/SUM(Budget!$M$36:$U$45))</f>
        <v>7776022.8380451398</v>
      </c>
      <c r="H38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Forma'!$F$183:$Z$183))*(SUM(Budget!$O$36:$O$45)/SUM(Budget!$M$36:$U$45))</f>
        <v>12424560.591194004</v>
      </c>
      <c r="I38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Forma'!$F$183:$Z$183))*(SUM(Budget!$O$36:$O$45)/SUM(Budget!$M$36:$U$45))</f>
        <v>12424560.591194004</v>
      </c>
      <c r="J38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Forma'!$F$183:$Z$183))*(SUM(Budget!$O$36:$O$45)/SUM(Budget!$M$36:$U$45))</f>
        <v>0</v>
      </c>
      <c r="K38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Forma'!$F$183:$Z$183))*(SUM(Budget!$O$36:$O$45)/SUM(Budget!$M$36:$U$45))</f>
        <v>0</v>
      </c>
      <c r="L38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Forma'!$F$183:$Z$183))*(SUM(Budget!$O$36:$O$45)/SUM(Budget!$M$36:$U$45))</f>
        <v>0</v>
      </c>
      <c r="M38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Forma'!$F$183:$Z$183))*(SUM(Budget!$O$36:$O$45)/SUM(Budget!$M$36:$U$45))</f>
        <v>0</v>
      </c>
      <c r="N38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Forma'!$F$183:$Z$183))*(SUM(Budget!$O$36:$O$45)/SUM(Budget!$M$36:$U$45))</f>
        <v>0</v>
      </c>
    </row>
    <row r="39" spans="2:14" ht="19" customHeight="1">
      <c r="B39" s="166" t="s">
        <v>143</v>
      </c>
      <c r="C39" s="139"/>
      <c r="D39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Forma'!$F$183:$Z$183))*(SUM(Budget!$Q$36:$Q$45)/SUM(Budget!$M$36:$U$45))</f>
        <v>0</v>
      </c>
      <c r="E39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Forma'!$F$183:$Z$183))*(SUM(Budget!$Q$36:$Q$45)/SUM(Budget!$M$36:$U$45))</f>
        <v>0</v>
      </c>
      <c r="F39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Forma'!$F$183:$Z$183))*(SUM(Budget!$Q$36:$Q$45)/SUM(Budget!$M$36:$U$45))</f>
        <v>0</v>
      </c>
      <c r="G39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Forma'!$F$183:$Z$183))*(SUM(Budget!$Q$36:$Q$45)/SUM(Budget!$M$36:$U$45))</f>
        <v>0</v>
      </c>
      <c r="H39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Forma'!$F$183:$Z$183))*(SUM(Budget!$Q$36:$Q$45)/SUM(Budget!$M$36:$U$45))</f>
        <v>0</v>
      </c>
      <c r="I39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Forma'!$F$183:$Z$183))*(SUM(Budget!$Q$36:$Q$45)/SUM(Budget!$M$36:$U$45))</f>
        <v>0</v>
      </c>
      <c r="J39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Forma'!$F$183:$Z$183))*(SUM(Budget!$Q$36:$Q$45)/SUM(Budget!$M$36:$U$45))</f>
        <v>0</v>
      </c>
      <c r="K39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Forma'!$F$183:$Z$183))*(SUM(Budget!$Q$36:$Q$45)/SUM(Budget!$M$36:$U$45))</f>
        <v>0</v>
      </c>
      <c r="L39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Forma'!$F$183:$Z$183))*(SUM(Budget!$Q$36:$Q$45)/SUM(Budget!$M$36:$U$45))</f>
        <v>0</v>
      </c>
      <c r="M39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Forma'!$F$183:$Z$183))*(SUM(Budget!$Q$36:$Q$45)/SUM(Budget!$M$36:$U$45))</f>
        <v>0</v>
      </c>
      <c r="N39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Forma'!$F$183:$Z$183))*(SUM(Budget!$Q$36:$Q$45)/SUM(Budget!$M$36:$U$45))</f>
        <v>0</v>
      </c>
    </row>
    <row r="40" spans="2:14" ht="19" customHeight="1">
      <c r="B40" s="166" t="s">
        <v>31</v>
      </c>
      <c r="C40" s="166"/>
      <c r="D40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Forma'!$F$183:$Z$183))*(SUM(Budget!$P$36:$P$45)/SUM(Budget!$M$36:$U$45))</f>
        <v>43755.684555918153</v>
      </c>
      <c r="E40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Forma'!$F$183:$Z$183))*(SUM(Budget!$P$36:$P$45)/SUM(Budget!$M$36:$U$45))</f>
        <v>2005770.0333164134</v>
      </c>
      <c r="F40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Forma'!$F$183:$Z$183))*(SUM(Budget!$P$36:$P$45)/SUM(Budget!$M$36:$U$45))</f>
        <v>3672004.9762079455</v>
      </c>
      <c r="G40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Forma'!$F$183:$Z$183))*(SUM(Budget!$P$36:$P$45)/SUM(Budget!$M$36:$U$45))</f>
        <v>1666234.9428915316</v>
      </c>
      <c r="H40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Forma'!$F$183:$Z$183))*(SUM(Budget!$P$36:$P$45)/SUM(Budget!$M$36:$U$45))</f>
        <v>2662316.8987920531</v>
      </c>
      <c r="I40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Forma'!$F$183:$Z$183))*(SUM(Budget!$P$36:$P$45)/SUM(Budget!$M$36:$U$45))</f>
        <v>2662316.8987920531</v>
      </c>
      <c r="J40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Forma'!$F$183:$Z$183))*(SUM(Budget!$P$36:$P$45)/SUM(Budget!$M$36:$U$45))</f>
        <v>0</v>
      </c>
      <c r="K40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Forma'!$F$183:$Z$183))*(SUM(Budget!$P$36:$P$45)/SUM(Budget!$M$36:$U$45))</f>
        <v>0</v>
      </c>
      <c r="L40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Forma'!$F$183:$Z$183))*(SUM(Budget!$P$36:$P$45)/SUM(Budget!$M$36:$U$45))</f>
        <v>0</v>
      </c>
      <c r="M40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Forma'!$F$183:$Z$183))*(SUM(Budget!$P$36:$P$45)/SUM(Budget!$M$36:$U$45))</f>
        <v>0</v>
      </c>
      <c r="N40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Forma'!$F$183:$Z$183))*(SUM(Budget!$P$36:$P$45)/SUM(Budget!$M$36:$U$45))</f>
        <v>0</v>
      </c>
    </row>
    <row r="41" spans="2:14" ht="19" customHeight="1">
      <c r="B41" s="166" t="s">
        <v>697</v>
      </c>
      <c r="C41" s="166"/>
      <c r="D41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Forma'!$F$183:$Z$183))*(SUM(Budget!$T$36:$T$45)/SUM(Budget!$M$36:$U$45))</f>
        <v>126355.60573580516</v>
      </c>
      <c r="E41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Forma'!$F$183:$Z$183))*(SUM(Budget!$T$36:$T$45)/SUM(Budget!$M$36:$U$45))</f>
        <v>5792168.2656463571</v>
      </c>
      <c r="F41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Forma'!$F$183:$Z$183))*(SUM(Budget!$T$36:$T$45)/SUM(Budget!$M$36:$U$45))</f>
        <v>10603843.083307231</v>
      </c>
      <c r="G41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Forma'!$F$183:$Z$183))*(SUM(Budget!$T$36:$T$45)/SUM(Budget!$M$36:$U$45))</f>
        <v>4811674.8176608738</v>
      </c>
      <c r="H41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Forma'!$F$183:$Z$183))*(SUM(Budget!$T$36:$T$45)/SUM(Budget!$M$36:$U$45))</f>
        <v>7688113.3919327678</v>
      </c>
      <c r="I41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Forma'!$F$183:$Z$183))*(SUM(Budget!$T$36:$T$45)/SUM(Budget!$M$36:$U$45))</f>
        <v>7688113.3919327678</v>
      </c>
      <c r="J41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Forma'!$F$183:$Z$183))*(SUM(Budget!$T$36:$T$45)/SUM(Budget!$M$36:$U$45))</f>
        <v>0</v>
      </c>
      <c r="K41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Forma'!$F$183:$Z$183))*(SUM(Budget!$T$36:$T$45)/SUM(Budget!$M$36:$U$45))</f>
        <v>0</v>
      </c>
      <c r="L41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Forma'!$F$183:$Z$183))*(SUM(Budget!$T$36:$T$45)/SUM(Budget!$M$36:$U$45))</f>
        <v>0</v>
      </c>
      <c r="M41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Forma'!$F$183:$Z$183))*(SUM(Budget!$T$36:$T$45)/SUM(Budget!$M$36:$U$45))</f>
        <v>0</v>
      </c>
      <c r="N41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Forma'!$F$183:$Z$183))*(SUM(Budget!$T$36:$T$45)/SUM(Budget!$M$36:$U$45))</f>
        <v>0</v>
      </c>
    </row>
    <row r="42" spans="2:14" ht="19" customHeight="1">
      <c r="B42" s="166" t="s">
        <v>41</v>
      </c>
      <c r="C42" s="180"/>
      <c r="D42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Forma'!$F$183:$Z$183))*(SUM(Budget!$U$36:$U$45)/SUM(Budget!$M$36:$U$45))</f>
        <v>25879.71289862537</v>
      </c>
      <c r="E42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Forma'!$F$183:$Z$183))*(SUM(Budget!$U$36:$U$45)/SUM(Budget!$M$36:$U$45))</f>
        <v>1186331.6305006621</v>
      </c>
      <c r="F42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Forma'!$F$183:$Z$183))*(SUM(Budget!$U$36:$U$45)/SUM(Budget!$M$36:$U$45))</f>
        <v>2171842.0248948433</v>
      </c>
      <c r="G42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Forma'!$F$183:$Z$183))*(SUM(Budget!$U$36:$U$45)/SUM(Budget!$M$36:$U$45))</f>
        <v>985510.39439418109</v>
      </c>
      <c r="H42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Forma'!$F$183:$Z$183))*(SUM(Budget!$U$36:$U$45)/SUM(Budget!$M$36:$U$45))</f>
        <v>1574652.4751051564</v>
      </c>
      <c r="I42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Forma'!$F$183:$Z$183))*(SUM(Budget!$U$36:$U$45)/SUM(Budget!$M$36:$U$45))</f>
        <v>1574652.4751051564</v>
      </c>
      <c r="J42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Forma'!$F$183:$Z$183))*(SUM(Budget!$U$36:$U$45)/SUM(Budget!$M$36:$U$45))</f>
        <v>0</v>
      </c>
      <c r="K42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Forma'!$F$183:$Z$183))*(SUM(Budget!$U$36:$U$45)/SUM(Budget!$M$36:$U$45))</f>
        <v>0</v>
      </c>
      <c r="L42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Forma'!$F$183:$Z$183))*(SUM(Budget!$U$36:$U$45)/SUM(Budget!$M$36:$U$45))</f>
        <v>0</v>
      </c>
      <c r="M42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Forma'!$F$183:$Z$183))*(SUM(Budget!$U$36:$U$45)/SUM(Budget!$M$36:$U$45))</f>
        <v>0</v>
      </c>
      <c r="N42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Forma'!$F$183:$Z$183))*(SUM(Budget!$U$36:$U$45)/SUM(Budget!$M$36:$U$45))</f>
        <v>0</v>
      </c>
    </row>
    <row r="43" spans="2:14" ht="19" customHeight="1">
      <c r="B43" s="166" t="s">
        <v>698</v>
      </c>
      <c r="C43" s="166"/>
      <c r="D43" s="466" t="s">
        <v>692</v>
      </c>
      <c r="E43" s="126" t="s">
        <v>692</v>
      </c>
      <c r="F43" s="472" t="s">
        <v>692</v>
      </c>
      <c r="G43" s="126" t="s">
        <v>692</v>
      </c>
      <c r="H43" s="478" t="s">
        <v>692</v>
      </c>
      <c r="I43" s="126" t="s">
        <v>692</v>
      </c>
      <c r="J43" s="126" t="s">
        <v>692</v>
      </c>
      <c r="K43" s="126" t="s">
        <v>692</v>
      </c>
      <c r="L43" s="126" t="s">
        <v>692</v>
      </c>
      <c r="M43" s="126" t="s">
        <v>692</v>
      </c>
      <c r="N43" s="448" t="s">
        <v>692</v>
      </c>
    </row>
    <row r="44" spans="2:14" ht="19" customHeight="1">
      <c r="B44" s="166" t="s">
        <v>332</v>
      </c>
      <c r="C44" s="166"/>
      <c r="D44" s="466">
        <f ca="1">+(SUMIF('Phase I Pro Forma'!$F$6:$Z$6,'Official Summary'!D$7,'Phase I Pro Forma'!$F$287:$Z$287)+SUMIF('Phase II Pro Forma'!$F$5:$Z$5,'Official Summary'!D$7,'Phase II Pro Forma'!$F$219:$Z$219)+SUMIF('Phase III Pro Forma'!$F$6:$Z$6,'Official Summary'!D$7,'Phase III Pro Forma'!$F$183:$Z$183))*(SUM(Budget!$S$36:$S$45)/SUM(Budget!$M$36:$U$45))</f>
        <v>15072.811775737537</v>
      </c>
      <c r="E44" s="126">
        <f ca="1">+(SUMIF('Phase I Pro Forma'!$F$6:$Z$6,'Official Summary'!E$7,'Phase I Pro Forma'!$F$287:$Z$287)+SUMIF('Phase II Pro Forma'!$F$5:$Z$5,'Official Summary'!E$7,'Phase II Pro Forma'!$F$219:$Z$219)+SUMIF('Phase III Pro Forma'!$F$6:$Z$6,'Official Summary'!E$7,'Phase III Pro Forma'!$F$183:$Z$183))*(SUM(Budget!$S$36:$S$45)/SUM(Budget!$M$36:$U$45))</f>
        <v>690940.94823169697</v>
      </c>
      <c r="F44" s="472">
        <f ca="1">+(SUMIF('Phase I Pro Forma'!$F$6:$Z$6,'Official Summary'!F$7,'Phase I Pro Forma'!$F$287:$Z$287)+SUMIF('Phase II Pro Forma'!$F$5:$Z$5,'Official Summary'!F$7,'Phase II Pro Forma'!$F$219:$Z$219)+SUMIF('Phase III Pro Forma'!$F$6:$Z$6,'Official Summary'!F$7,'Phase III Pro Forma'!$F$183:$Z$183))*(SUM(Budget!$S$36:$S$45)/SUM(Budget!$M$36:$U$45))</f>
        <v>1264919.984858698</v>
      </c>
      <c r="G44" s="126">
        <f ca="1">+(SUMIF('Phase I Pro Forma'!$F$6:$Z$6,'Official Summary'!G$7,'Phase I Pro Forma'!$F$287:$Z$287)+SUMIF('Phase II Pro Forma'!$F$5:$Z$5,'Official Summary'!G$7,'Phase II Pro Forma'!$F$219:$Z$219)+SUMIF('Phase III Pro Forma'!$F$6:$Z$6,'Official Summary'!G$7,'Phase III Pro Forma'!$F$183:$Z$183))*(SUM(Budget!$S$36:$S$45)/SUM(Budget!$M$36:$U$45))</f>
        <v>573979.03662700078</v>
      </c>
      <c r="H44" s="478">
        <f ca="1">+(SUMIF('Phase I Pro Forma'!$F$6:$Z$6,'Official Summary'!H$7,'Phase I Pro Forma'!$F$287:$Z$287)+SUMIF('Phase II Pro Forma'!$F$5:$Z$5,'Official Summary'!H$7,'Phase II Pro Forma'!$F$219:$Z$219)+SUMIF('Phase III Pro Forma'!$F$6:$Z$6,'Official Summary'!H$7,'Phase III Pro Forma'!$F$183:$Z$183))*(SUM(Budget!$S$36:$S$45)/SUM(Budget!$M$36:$U$45))</f>
        <v>917106.01514130179</v>
      </c>
      <c r="I44" s="126">
        <f ca="1">+(SUMIF('Phase I Pro Forma'!$F$6:$Z$6,'Official Summary'!I$7,'Phase I Pro Forma'!$F$287:$Z$287)+SUMIF('Phase II Pro Forma'!$F$5:$Z$5,'Official Summary'!I$7,'Phase II Pro Forma'!$F$219:$Z$219)+SUMIF('Phase III Pro Forma'!$F$6:$Z$6,'Official Summary'!I$7,'Phase III Pro Forma'!$F$183:$Z$183))*(SUM(Budget!$S$36:$S$45)/SUM(Budget!$M$36:$U$45))</f>
        <v>917106.01514130179</v>
      </c>
      <c r="J44" s="126">
        <f ca="1">+(SUMIF('Phase I Pro Forma'!$F$6:$Z$6,'Official Summary'!J$7,'Phase I Pro Forma'!$F$287:$Z$287)+SUMIF('Phase II Pro Forma'!$F$5:$Z$5,'Official Summary'!J$7,'Phase II Pro Forma'!$F$219:$Z$219)+SUMIF('Phase III Pro Forma'!$F$6:$Z$6,'Official Summary'!J$7,'Phase III Pro Forma'!$F$183:$Z$183))*(SUM(Budget!$S$36:$S$45)/SUM(Budget!$M$36:$U$45))</f>
        <v>0</v>
      </c>
      <c r="K44" s="126">
        <f ca="1">+(SUMIF('Phase I Pro Forma'!$F$6:$Z$6,'Official Summary'!K$7,'Phase I Pro Forma'!$F$287:$Z$287)+SUMIF('Phase II Pro Forma'!$F$5:$Z$5,'Official Summary'!K$7,'Phase II Pro Forma'!$F$219:$Z$219)+SUMIF('Phase III Pro Forma'!$F$6:$Z$6,'Official Summary'!K$7,'Phase III Pro Forma'!$F$183:$Z$183))*(SUM(Budget!$S$36:$S$45)/SUM(Budget!$M$36:$U$45))</f>
        <v>0</v>
      </c>
      <c r="L44" s="126">
        <f ca="1">+(SUMIF('Phase I Pro Forma'!$F$6:$Z$6,'Official Summary'!L$7,'Phase I Pro Forma'!$F$287:$Z$287)+SUMIF('Phase II Pro Forma'!$F$5:$Z$5,'Official Summary'!L$7,'Phase II Pro Forma'!$F$219:$Z$219)+SUMIF('Phase III Pro Forma'!$F$6:$Z$6,'Official Summary'!L$7,'Phase III Pro Forma'!$F$183:$Z$183))*(SUM(Budget!$S$36:$S$45)/SUM(Budget!$M$36:$U$45))</f>
        <v>0</v>
      </c>
      <c r="M44" s="126">
        <f ca="1">+(SUMIF('Phase I Pro Forma'!$F$6:$Z$6,'Official Summary'!M$7,'Phase I Pro Forma'!$F$287:$Z$287)+SUMIF('Phase II Pro Forma'!$F$5:$Z$5,'Official Summary'!M$7,'Phase II Pro Forma'!$F$219:$Z$219)+SUMIF('Phase III Pro Forma'!$F$6:$Z$6,'Official Summary'!M$7,'Phase III Pro Forma'!$F$183:$Z$183))*(SUM(Budget!$S$36:$S$45)/SUM(Budget!$M$36:$U$45))</f>
        <v>0</v>
      </c>
      <c r="N44" s="448">
        <f ca="1">+(SUMIF('Phase I Pro Forma'!$F$6:$Z$6,'Official Summary'!N$7,'Phase I Pro Forma'!$F$287:$Z$287)+SUMIF('Phase II Pro Forma'!$F$5:$Z$5,'Official Summary'!N$7,'Phase II Pro Forma'!$F$219:$Z$219)+SUMIF('Phase III Pro Forma'!$F$6:$Z$6,'Official Summary'!N$7,'Phase III Pro Forma'!$F$183:$Z$183))*(SUM(Budget!$S$36:$S$45)/SUM(Budget!$M$36:$U$45))</f>
        <v>0</v>
      </c>
    </row>
    <row r="45" spans="2:14" ht="19" customHeight="1">
      <c r="B45" s="907" t="s">
        <v>706</v>
      </c>
      <c r="D45" s="466">
        <f>+(SUMIF('Phase I Pro Forma'!$F$6:$Z$6,'Official Summary'!D$7,'Phase I Pro Forma'!$F$285:$Z$285)+SUMIF('Phase II Pro Forma'!$F$5:$Z$5,'Official Summary'!D$7,'Phase II Pro Forma'!$F$217:$Z$217)+SUMIF('Phase III Pro Forma'!$F$6:$Z$6,'Official Summary'!D$7,'Phase III Pro Forma'!$F$181:$Z$181))</f>
        <v>79998202</v>
      </c>
      <c r="E45" s="126">
        <f>+(SUMIF('Phase I Pro Forma'!$F$6:$Z$6,'Official Summary'!E$7,'Phase I Pro Forma'!$F$285:$Z$285)+SUMIF('Phase II Pro Forma'!$F$5:$Z$5,'Official Summary'!E$7,'Phase II Pro Forma'!$F$217:$Z$217)+SUMIF('Phase III Pro Forma'!$F$6:$Z$6,'Official Summary'!E$7,'Phase III Pro Forma'!$F$181:$Z$181))</f>
        <v>86708931</v>
      </c>
      <c r="F45" s="472">
        <f>+(SUMIF('Phase I Pro Forma'!$F$6:$Z$6,'Official Summary'!F$7,'Phase I Pro Forma'!$F$285:$Z$285)+SUMIF('Phase II Pro Forma'!$F$5:$Z$5,'Official Summary'!F$7,'Phase II Pro Forma'!$F$217:$Z$217)+SUMIF('Phase III Pro Forma'!$F$6:$Z$6,'Official Summary'!F$7,'Phase III Pro Forma'!$F$181:$Z$181))</f>
        <v>0</v>
      </c>
      <c r="G45" s="126">
        <f>+(SUMIF('Phase I Pro Forma'!$F$6:$Z$6,'Official Summary'!G$7,'Phase I Pro Forma'!$F$285:$Z$285)+SUMIF('Phase II Pro Forma'!$F$5:$Z$5,'Official Summary'!G$7,'Phase II Pro Forma'!$F$217:$Z$217)+SUMIF('Phase III Pro Forma'!$F$6:$Z$6,'Official Summary'!G$7,'Phase III Pro Forma'!$F$181:$Z$181))</f>
        <v>0</v>
      </c>
      <c r="H45" s="478">
        <f>+(SUMIF('Phase I Pro Forma'!$F$6:$Z$6,'Official Summary'!H$7,'Phase I Pro Forma'!$F$285:$Z$285)+SUMIF('Phase II Pro Forma'!$F$5:$Z$5,'Official Summary'!H$7,'Phase II Pro Forma'!$F$217:$Z$217)+SUMIF('Phase III Pro Forma'!$F$6:$Z$6,'Official Summary'!H$7,'Phase III Pro Forma'!$F$181:$Z$181))</f>
        <v>0</v>
      </c>
      <c r="I45" s="126">
        <f>+(SUMIF('Phase I Pro Forma'!$F$6:$Z$6,'Official Summary'!I$7,'Phase I Pro Forma'!$F$285:$Z$285)+SUMIF('Phase II Pro Forma'!$F$5:$Z$5,'Official Summary'!I$7,'Phase II Pro Forma'!$F$217:$Z$217)+SUMIF('Phase III Pro Forma'!$F$6:$Z$6,'Official Summary'!I$7,'Phase III Pro Forma'!$F$181:$Z$181))</f>
        <v>0</v>
      </c>
      <c r="J45" s="126">
        <f>+(SUMIF('Phase I Pro Forma'!$F$6:$Z$6,'Official Summary'!J$7,'Phase I Pro Forma'!$F$285:$Z$285)+SUMIF('Phase II Pro Forma'!$F$5:$Z$5,'Official Summary'!J$7,'Phase II Pro Forma'!$F$217:$Z$217)+SUMIF('Phase III Pro Forma'!$F$6:$Z$6,'Official Summary'!J$7,'Phase III Pro Forma'!$F$181:$Z$181))</f>
        <v>0</v>
      </c>
      <c r="K45" s="126">
        <f>+(SUMIF('Phase I Pro Forma'!$F$6:$Z$6,'Official Summary'!K$7,'Phase I Pro Forma'!$F$285:$Z$285)+SUMIF('Phase II Pro Forma'!$F$5:$Z$5,'Official Summary'!K$7,'Phase II Pro Forma'!$F$217:$Z$217)+SUMIF('Phase III Pro Forma'!$F$6:$Z$6,'Official Summary'!K$7,'Phase III Pro Forma'!$F$181:$Z$181))</f>
        <v>0</v>
      </c>
      <c r="L45" s="126">
        <f>+(SUMIF('Phase I Pro Forma'!$F$6:$Z$6,'Official Summary'!L$7,'Phase I Pro Forma'!$F$285:$Z$285)+SUMIF('Phase II Pro Forma'!$F$5:$Z$5,'Official Summary'!L$7,'Phase II Pro Forma'!$F$217:$Z$217)+SUMIF('Phase III Pro Forma'!$F$6:$Z$6,'Official Summary'!L$7,'Phase III Pro Forma'!$F$181:$Z$181))</f>
        <v>0</v>
      </c>
      <c r="M45" s="126">
        <f>+(SUMIF('Phase I Pro Forma'!$F$6:$Z$6,'Official Summary'!M$7,'Phase I Pro Forma'!$F$285:$Z$285)+SUMIF('Phase II Pro Forma'!$F$5:$Z$5,'Official Summary'!M$7,'Phase II Pro Forma'!$F$217:$Z$217)+SUMIF('Phase III Pro Forma'!$F$6:$Z$6,'Official Summary'!M$7,'Phase III Pro Forma'!$F$181:$Z$181))</f>
        <v>0</v>
      </c>
      <c r="N45" s="448">
        <f>+(SUMIF('Phase I Pro Forma'!$F$6:$Z$6,'Official Summary'!N$7,'Phase I Pro Forma'!$F$285:$Z$285)+SUMIF('Phase II Pro Forma'!$F$5:$Z$5,'Official Summary'!N$7,'Phase II Pro Forma'!$F$217:$Z$217)+SUMIF('Phase III Pro Forma'!$F$6:$Z$6,'Official Summary'!N$7,'Phase III Pro Forma'!$F$181:$Z$181))</f>
        <v>0</v>
      </c>
    </row>
    <row r="46" spans="2:14" ht="19" customHeight="1">
      <c r="B46" s="907" t="s">
        <v>707</v>
      </c>
      <c r="C46" s="906"/>
      <c r="D46" s="466">
        <f>+(SUMIF('Phase I Pro Forma'!$F$6:$Z$6,'Official Summary'!D$7,'Phase I Pro Forma'!$F$286:$Z$286)+SUMIF('Phase II Pro Forma'!$F$5:$Z$5,'Official Summary'!D$7,'Phase II Pro Forma'!$F$218:$Z$218)+SUMIF('Phase III Pro Forma'!$F$6:$Z$6,'Official Summary'!D$7,'Phase III Pro Forma'!$F$182:$Z$182))</f>
        <v>67748080</v>
      </c>
      <c r="E46" s="126">
        <f>+(SUMIF('Phase I Pro Forma'!$F$6:$Z$6,'Official Summary'!E$7,'Phase I Pro Forma'!$F$286:$Z$286)+SUMIF('Phase II Pro Forma'!$F$5:$Z$5,'Official Summary'!E$7,'Phase II Pro Forma'!$F$218:$Z$218)+SUMIF('Phase III Pro Forma'!$F$6:$Z$6,'Official Summary'!E$7,'Phase III Pro Forma'!$F$182:$Z$182))</f>
        <v>7301355</v>
      </c>
      <c r="F46" s="472">
        <f>+(SUMIF('Phase I Pro Forma'!$F$6:$Z$6,'Official Summary'!F$7,'Phase I Pro Forma'!$F$286:$Z$286)+SUMIF('Phase II Pro Forma'!$F$5:$Z$5,'Official Summary'!F$7,'Phase II Pro Forma'!$F$218:$Z$218)+SUMIF('Phase III Pro Forma'!$F$6:$Z$6,'Official Summary'!F$7,'Phase III Pro Forma'!$F$182:$Z$182))</f>
        <v>0</v>
      </c>
      <c r="G46" s="126">
        <f>+(SUMIF('Phase I Pro Forma'!$F$6:$Z$6,'Official Summary'!G$7,'Phase I Pro Forma'!$F$286:$Z$286)+SUMIF('Phase II Pro Forma'!$F$5:$Z$5,'Official Summary'!G$7,'Phase II Pro Forma'!$F$218:$Z$218)+SUMIF('Phase III Pro Forma'!$F$6:$Z$6,'Official Summary'!G$7,'Phase III Pro Forma'!$F$182:$Z$182))</f>
        <v>2326215</v>
      </c>
      <c r="H46" s="478">
        <f>+(SUMIF('Phase I Pro Forma'!$F$6:$Z$6,'Official Summary'!H$7,'Phase I Pro Forma'!$F$286:$Z$286)+SUMIF('Phase II Pro Forma'!$F$5:$Z$5,'Official Summary'!H$7,'Phase II Pro Forma'!$F$218:$Z$218)+SUMIF('Phase III Pro Forma'!$F$6:$Z$6,'Official Summary'!H$7,'Phase III Pro Forma'!$F$182:$Z$182))</f>
        <v>0</v>
      </c>
      <c r="I46" s="126">
        <f>+(SUMIF('Phase I Pro Forma'!$F$6:$Z$6,'Official Summary'!I$7,'Phase I Pro Forma'!$F$286:$Z$286)+SUMIF('Phase II Pro Forma'!$F$5:$Z$5,'Official Summary'!I$7,'Phase II Pro Forma'!$F$218:$Z$218)+SUMIF('Phase III Pro Forma'!$F$6:$Z$6,'Official Summary'!I$7,'Phase III Pro Forma'!$F$182:$Z$182))</f>
        <v>0</v>
      </c>
      <c r="J46" s="126">
        <f>+(SUMIF('Phase I Pro Forma'!$F$6:$Z$6,'Official Summary'!J$7,'Phase I Pro Forma'!$F$286:$Z$286)+SUMIF('Phase II Pro Forma'!$F$5:$Z$5,'Official Summary'!J$7,'Phase II Pro Forma'!$F$218:$Z$218)+SUMIF('Phase III Pro Forma'!$F$6:$Z$6,'Official Summary'!J$7,'Phase III Pro Forma'!$F$182:$Z$182))</f>
        <v>0</v>
      </c>
      <c r="K46" s="126">
        <f>+(SUMIF('Phase I Pro Forma'!$F$6:$Z$6,'Official Summary'!K$7,'Phase I Pro Forma'!$F$286:$Z$286)+SUMIF('Phase II Pro Forma'!$F$5:$Z$5,'Official Summary'!K$7,'Phase II Pro Forma'!$F$218:$Z$218)+SUMIF('Phase III Pro Forma'!$F$6:$Z$6,'Official Summary'!K$7,'Phase III Pro Forma'!$F$182:$Z$182))</f>
        <v>0</v>
      </c>
      <c r="L46" s="126">
        <f>+(SUMIF('Phase I Pro Forma'!$F$6:$Z$6,'Official Summary'!L$7,'Phase I Pro Forma'!$F$286:$Z$286)+SUMIF('Phase II Pro Forma'!$F$5:$Z$5,'Official Summary'!L$7,'Phase II Pro Forma'!$F$218:$Z$218)+SUMIF('Phase III Pro Forma'!$F$6:$Z$6,'Official Summary'!L$7,'Phase III Pro Forma'!$F$182:$Z$182))</f>
        <v>0</v>
      </c>
      <c r="M46" s="126">
        <f>+(SUMIF('Phase I Pro Forma'!$F$6:$Z$6,'Official Summary'!M$7,'Phase I Pro Forma'!$F$286:$Z$286)+SUMIF('Phase II Pro Forma'!$F$5:$Z$5,'Official Summary'!M$7,'Phase II Pro Forma'!$F$218:$Z$218)+SUMIF('Phase III Pro Forma'!$F$6:$Z$6,'Official Summary'!M$7,'Phase III Pro Forma'!$F$182:$Z$182))</f>
        <v>0</v>
      </c>
      <c r="N46" s="448">
        <f>+(SUMIF('Phase I Pro Forma'!$F$6:$Z$6,'Official Summary'!N$7,'Phase I Pro Forma'!$F$286:$Z$286)+SUMIF('Phase II Pro Forma'!$F$5:$Z$5,'Official Summary'!N$7,'Phase II Pro Forma'!$F$218:$Z$218)+SUMIF('Phase III Pro Forma'!$F$6:$Z$6,'Official Summary'!N$7,'Phase III Pro Forma'!$F$182:$Z$182))</f>
        <v>0</v>
      </c>
    </row>
    <row r="47" spans="2:14" ht="19" customHeight="1">
      <c r="B47" s="907" t="s">
        <v>708</v>
      </c>
      <c r="C47" s="906"/>
      <c r="D47" s="466">
        <f ca="1">+(SUMIF('Phase I Pro Forma'!$F$6:$Z$6,'Official Summary'!D$7,'Phase I Pro Forma'!$F$288:$Z$288)+SUMIF('Phase II Pro Forma'!$F$5:$Z$5,'Official Summary'!D$7,'Phase II Pro Forma'!$F$220:$Z$220)+SUMIF('Phase III Pro Forma'!$F$6:$Z$6,'Official Summary'!D$7,'Phase III Pro Forma'!$F$184:$Z$184))+(SUMIF('Phase I Pro Forma'!$F$6:$Z$6,'Official Summary'!D$7,'Phase I Pro Forma'!$F$290:$Z$290)+SUMIF('Phase II Pro Forma'!$F$5:$Z$5,'Official Summary'!D$7,'Phase II Pro Forma'!$F$222:$Z$222)+SUMIF('Phase III Pro Forma'!$F$6:$Z$6,'Official Summary'!D$7,'Phase III Pro Forma'!$F$186:$Z$186))</f>
        <v>16041062.186010391</v>
      </c>
      <c r="E47" s="126">
        <f ca="1">+(SUMIF('Phase I Pro Forma'!$F$6:$Z$6,'Official Summary'!E$7,'Phase I Pro Forma'!$F$288:$Z$288)+SUMIF('Phase II Pro Forma'!$F$5:$Z$5,'Official Summary'!E$7,'Phase II Pro Forma'!$F$220:$Z$220)+SUMIF('Phase III Pro Forma'!$F$6:$Z$6,'Official Summary'!E$7,'Phase III Pro Forma'!$F$184:$Z$184))+(SUMIF('Phase I Pro Forma'!$F$6:$Z$6,'Official Summary'!E$7,'Phase I Pro Forma'!$F$290:$Z$290)+SUMIF('Phase II Pro Forma'!$F$5:$Z$5,'Official Summary'!E$7,'Phase II Pro Forma'!$F$222:$Z$222)+SUMIF('Phase III Pro Forma'!$F$6:$Z$6,'Official Summary'!E$7,'Phase III Pro Forma'!$F$186:$Z$186))</f>
        <v>7315699.5069339285</v>
      </c>
      <c r="F47" s="472">
        <f ca="1">+(SUMIF('Phase I Pro Forma'!$F$6:$Z$6,'Official Summary'!F$7,'Phase I Pro Forma'!$F$288:$Z$288)+SUMIF('Phase II Pro Forma'!$F$5:$Z$5,'Official Summary'!F$7,'Phase II Pro Forma'!$F$220:$Z$220)+SUMIF('Phase III Pro Forma'!$F$6:$Z$6,'Official Summary'!F$7,'Phase III Pro Forma'!$F$184:$Z$184))+(SUMIF('Phase I Pro Forma'!$F$6:$Z$6,'Official Summary'!F$7,'Phase I Pro Forma'!$F$290:$Z$290)+SUMIF('Phase II Pro Forma'!$F$5:$Z$5,'Official Summary'!F$7,'Phase II Pro Forma'!$F$222:$Z$222)+SUMIF('Phase III Pro Forma'!$F$6:$Z$6,'Official Summary'!F$7,'Phase III Pro Forma'!$F$186:$Z$186))</f>
        <v>10828050.697291659</v>
      </c>
      <c r="G47" s="126">
        <f ca="1">+(SUMIF('Phase I Pro Forma'!$F$6:$Z$6,'Official Summary'!G$7,'Phase I Pro Forma'!$F$288:$Z$288)+SUMIF('Phase II Pro Forma'!$F$5:$Z$5,'Official Summary'!G$7,'Phase II Pro Forma'!$F$220:$Z$220)+SUMIF('Phase III Pro Forma'!$F$6:$Z$6,'Phase III Pro Forma'!$F$184:$Z$184))+(SUMIF('Phase I Pro Forma'!$F$6:$Z$6,'Phase I Pro Forma'!$F$290:$Z$290)+SUMIF('Phase II Pro Forma'!$F$5:$Z$5,'Official Summary'!G$7,'Phase II Pro Forma'!$F$222:$Z$222)+SUMIF('Phase III Pro Forma'!$F$6:$Z$6,'Official Summary'!G$7,'Phase III Pro Forma'!$F$186:$Z$186))</f>
        <v>3512351.1903577312</v>
      </c>
      <c r="H47" s="478">
        <f ca="1">+(SUMIF('Phase I Pro Forma'!$F$6:$Z$6,'Official Summary'!H$7,'Phase I Pro Forma'!$F$288:$Z$288)+SUMIF('Phase II Pro Forma'!$F$5:$Z$5,'Official Summary'!H$7,'Phase II Pro Forma'!$F$220:$Z$220)+SUMIF('Phase III Pro Forma'!$F$6:$Z$6,'Official Summary'!H$7,'Phase III Pro Forma'!$F$184:$Z$184))+(SUMIF('Phase I Pro Forma'!$F$6:$Z$6,'Official Summary'!H$7,'Phase I Pro Forma'!$F$290:$Z$290)+SUMIF('Phase II Pro Forma'!$F$5:$Z$5,'Official Summary'!H$7,'Phase II Pro Forma'!$F$222:$Z$222)+SUMIF('Phase III Pro Forma'!$F$6:$Z$6,'Official Summary'!H$7,'Phase III Pro Forma'!$F$186:$Z$186))</f>
        <v>5327365.1313577881</v>
      </c>
      <c r="I47" s="126">
        <f ca="1">+(SUMIF('Phase I Pro Forma'!$F$6:$Z$6,'Official Summary'!I$7,'Phase I Pro Forma'!$F$288:$Z$288)+SUMIF('Phase II Pro Forma'!$F$5:$Z$5,'Official Summary'!I$7,'Phase II Pro Forma'!$F$220:$Z$220)+SUMIF('Phase III Pro Forma'!$F$6:$Z$6,'Official Summary'!I$7,'Phase III Pro Forma'!$F$184:$Z$184))+(SUMIF('Phase I Pro Forma'!$F$6:$Z$6,'Official Summary'!I$7,'Phase I Pro Forma'!$F$290:$Z$290)+SUMIF('Phase II Pro Forma'!$F$5:$Z$5,'Official Summary'!I$7,'Phase II Pro Forma'!$F$222:$Z$222)+SUMIF('Phase III Pro Forma'!$F$6:$Z$6,'Official Summary'!I$7,'Phase III Pro Forma'!$F$186:$Z$186))</f>
        <v>5327365.1313577881</v>
      </c>
      <c r="J47" s="126">
        <f>+(SUMIF('Phase I Pro Forma'!$F$6:$Z$6,'Official Summary'!J$7,'Phase I Pro Forma'!$F$288:$Z$288)+SUMIF('Phase II Pro Forma'!$F$5:$Z$5,'Official Summary'!J$7,'Phase II Pro Forma'!$F$220:$Z$220)+SUMIF('Phase III Pro Forma'!$F$6:$Z$6,'Official Summary'!J$7,'Phase III Pro Forma'!$F$184:$Z$184))+(SUMIF('Phase I Pro Forma'!$F$6:$Z$6,'Official Summary'!J$7,'Phase I Pro Forma'!$F$290:$Z$290)+SUMIF('Phase II Pro Forma'!$F$5:$Z$5,'Official Summary'!J$7,'Phase II Pro Forma'!$F$222:$Z$222)+SUMIF('Phase III Pro Forma'!$F$6:$Z$6,'Official Summary'!J$7,'Phase III Pro Forma'!$F$186:$Z$186))</f>
        <v>0</v>
      </c>
      <c r="K47" s="126">
        <f>+(SUMIF('Phase I Pro Forma'!$F$6:$Z$6,'Official Summary'!K$7,'Phase I Pro Forma'!$F$288:$Z$288)+SUMIF('Phase II Pro Forma'!$F$5:$Z$5,'Official Summary'!K$7,'Phase II Pro Forma'!$F$220:$Z$220)+SUMIF('Phase III Pro Forma'!$F$6:$Z$6,'Official Summary'!K$7,'Phase III Pro Forma'!$F$184:$Z$184))+(SUMIF('Phase I Pro Forma'!$F$6:$Z$6,'Official Summary'!K$7,'Phase I Pro Forma'!$F$290:$Z$290)+SUMIF('Phase II Pro Forma'!$F$5:$Z$5,'Official Summary'!K$7,'Phase II Pro Forma'!$F$222:$Z$222)+SUMIF('Phase III Pro Forma'!$F$6:$Z$6,'Official Summary'!K$7,'Phase III Pro Forma'!$F$186:$Z$186))</f>
        <v>0</v>
      </c>
      <c r="L47" s="126">
        <f>+(SUMIF('Phase I Pro Forma'!$F$6:$Z$6,'Official Summary'!L$7,'Phase I Pro Forma'!$F$288:$Z$288)+SUMIF('Phase II Pro Forma'!$F$5:$Z$5,'Official Summary'!L$7,'Phase II Pro Forma'!$F$220:$Z$220)+SUMIF('Phase III Pro Forma'!$F$6:$Z$6,'Official Summary'!L$7,'Phase III Pro Forma'!$F$184:$Z$184))+(SUMIF('Phase I Pro Forma'!$F$6:$Z$6,'Official Summary'!L$7,'Phase I Pro Forma'!$F$290:$Z$290)+SUMIF('Phase II Pro Forma'!$F$5:$Z$5,'Official Summary'!L$7,'Phase II Pro Forma'!$F$222:$Z$222)+SUMIF('Phase III Pro Forma'!$F$6:$Z$6,'Official Summary'!L$7,'Phase III Pro Forma'!$F$186:$Z$186))</f>
        <v>0</v>
      </c>
      <c r="M47" s="126">
        <f>+(SUMIF('Phase I Pro Forma'!$F$6:$Z$6,'Official Summary'!M$7,'Phase I Pro Forma'!$F$288:$Z$288)+SUMIF('Phase II Pro Forma'!$F$5:$Z$5,'Official Summary'!M$7,'Phase II Pro Forma'!$F$220:$Z$220)+SUMIF('Phase III Pro Forma'!$F$6:$Z$6,'Official Summary'!M$7,'Phase III Pro Forma'!$F$184:$Z$184))+(SUMIF('Phase I Pro Forma'!$F$6:$Z$6,'Official Summary'!M$7,'Phase I Pro Forma'!$F$290:$Z$290)+SUMIF('Phase II Pro Forma'!$F$5:$Z$5,'Official Summary'!M$7,'Phase II Pro Forma'!$F$222:$Z$222)+SUMIF('Phase III Pro Forma'!$F$6:$Z$6,'Official Summary'!M$7,'Phase III Pro Forma'!$F$186:$Z$186))</f>
        <v>0</v>
      </c>
      <c r="N47" s="448">
        <f>+(SUMIF('Phase I Pro Forma'!$F$6:$Z$6,'Official Summary'!N$7,'Phase I Pro Forma'!$F$288:$Z$288)+SUMIF('Phase II Pro Forma'!$F$5:$Z$5,'Official Summary'!N$7,'Phase II Pro Forma'!$F$220:$Z$220)+SUMIF('Phase III Pro Forma'!$F$6:$Z$6,'Official Summary'!N$7,'Phase III Pro Forma'!$F$184:$Z$184))+(SUMIF('Phase I Pro Forma'!$F$6:$Z$6,'Official Summary'!N$7,'Phase I Pro Forma'!$F$290:$Z$290)+SUMIF('Phase II Pro Forma'!$F$5:$Z$5,'Official Summary'!N$7,'Phase II Pro Forma'!$F$222:$Z$222)+SUMIF('Phase III Pro Forma'!$F$6:$Z$6,'Official Summary'!N$7,'Phase III Pro Forma'!$F$186:$Z$186))</f>
        <v>0</v>
      </c>
    </row>
    <row r="48" spans="2:14" ht="19" customHeight="1">
      <c r="B48" s="908" t="s">
        <v>709</v>
      </c>
      <c r="C48" s="146"/>
      <c r="D48" s="147">
        <f t="shared" ref="D48:N48" ca="1" si="6">+SUM(D32:D47)</f>
        <v>166474667.50601038</v>
      </c>
      <c r="E48" s="147">
        <f t="shared" ca="1" si="6"/>
        <v>224513467.08318391</v>
      </c>
      <c r="F48" s="147">
        <f t="shared" ca="1" si="6"/>
        <v>236349938.97009164</v>
      </c>
      <c r="G48" s="147">
        <f ca="1">+SUM(G32:G47)</f>
        <v>108172972.88690771</v>
      </c>
      <c r="H48" s="147">
        <f t="shared" ca="1" si="6"/>
        <v>168837692.07438084</v>
      </c>
      <c r="I48" s="147">
        <f t="shared" ca="1" si="6"/>
        <v>168837692.07438084</v>
      </c>
      <c r="J48" s="147">
        <f t="shared" ca="1" si="6"/>
        <v>0</v>
      </c>
      <c r="K48" s="147">
        <f t="shared" ca="1" si="6"/>
        <v>0</v>
      </c>
      <c r="L48" s="147">
        <f t="shared" ca="1" si="6"/>
        <v>0</v>
      </c>
      <c r="M48" s="147">
        <f t="shared" ca="1" si="6"/>
        <v>0</v>
      </c>
      <c r="N48" s="147">
        <f t="shared" ca="1" si="6"/>
        <v>0</v>
      </c>
    </row>
    <row r="49" spans="2:14" ht="19" customHeight="1">
      <c r="B49" s="907" t="s">
        <v>710</v>
      </c>
      <c r="C49" s="906"/>
      <c r="D49" s="466">
        <f>-SUMIF('Phase I Pro Forma'!$F$6:$Z$6,'Official Summary'!D$7,'Phase I Pro Forma'!$F$305:$Z$305)-SUMIF('Phase II Pro Forma'!$F$5:$Z$5,'Official Summary'!D$7,'Phase II Pro Forma'!$F$237:$Z$237)-SUMIF('Phase III Pro Forma'!$F$6:$Z$6,'Official Summary'!D$7,'Phase III Pro Forma'!$F$201:$Z$201)</f>
        <v>-111806187</v>
      </c>
      <c r="E49" s="126">
        <f>-SUMIF('Phase I Pro Forma'!$F$6:$Z$6,'Official Summary'!E$7,'Phase I Pro Forma'!$F$305:$Z$305)-SUMIF('Phase II Pro Forma'!$F$5:$Z$5,'Official Summary'!E$7,'Phase II Pro Forma'!$F$237:$Z$237)-SUMIF('Phase III Pro Forma'!$F$6:$Z$6,'Official Summary'!E$7,'Phase III Pro Forma'!$F$201:$Z$201)</f>
        <v>0</v>
      </c>
      <c r="F49" s="472">
        <f>-SUMIF('Phase I Pro Forma'!$F$6:$Z$6,'Official Summary'!F$7,'Phase I Pro Forma'!$F$305:$Z$305)-SUMIF('Phase II Pro Forma'!$F$5:$Z$5,'Official Summary'!F$7,'Phase II Pro Forma'!$F$237:$Z$237)-SUMIF('Phase III Pro Forma'!$F$6:$Z$6,'Official Summary'!F$7,'Phase III Pro Forma'!$F$201:$Z$201)</f>
        <v>-11341911.20990872</v>
      </c>
      <c r="G49" s="126">
        <f>-SUMIF('Phase I Pro Forma'!$F$6:$Z$6,'Official Summary'!G$7,'Phase I Pro Forma'!$F$305:$Z$305)-SUMIF('Phase II Pro Forma'!$F$5:$Z$5,'Official Summary'!G$7,'Phase II Pro Forma'!$F$237:$Z$237)-SUMIF('Phase III Pro Forma'!$F$6:$Z$6,'Official Summary'!G$7,'Phase III Pro Forma'!$F$201:$Z$201)</f>
        <v>-44981034.314584278</v>
      </c>
      <c r="H49" s="478">
        <f>-SUMIF('Phase I Pro Forma'!$F$6:$Z$6,'Official Summary'!H$7,'Phase I Pro Forma'!$F$305:$Z$305)-SUMIF('Phase II Pro Forma'!$F$5:$Z$5,'Official Summary'!H$7,'Phase II Pro Forma'!$F$237:$Z$237)-SUMIF('Phase III Pro Forma'!$F$6:$Z$6,'Official Summary'!H$7,'Phase III Pro Forma'!$F$201:$Z$201)</f>
        <v>0</v>
      </c>
      <c r="I49" s="126">
        <f>-SUMIF('Phase I Pro Forma'!$F$6:$Z$6,'Official Summary'!I$7,'Phase I Pro Forma'!$F$305:$Z$305)-SUMIF('Phase II Pro Forma'!$F$5:$Z$5,'Official Summary'!I$7,'Phase II Pro Forma'!$F$237:$Z$237)-SUMIF('Phase III Pro Forma'!$F$6:$Z$6,'Official Summary'!I$7,'Phase III Pro Forma'!$F$201:$Z$201)</f>
        <v>-72587565.33304888</v>
      </c>
      <c r="J49" s="126">
        <f>-SUMIF('Phase I Pro Forma'!$F$6:$Z$6,'Official Summary'!J$7,'Phase I Pro Forma'!$F$305:$Z$305)-SUMIF('Phase II Pro Forma'!$F$5:$Z$5,'Official Summary'!J$7,'Phase II Pro Forma'!$F$237:$Z$237)-SUMIF('Phase III Pro Forma'!$F$6:$Z$6,'Official Summary'!J$7,'Phase III Pro Forma'!$F$201:$Z$201)</f>
        <v>0</v>
      </c>
      <c r="K49" s="126">
        <f>-SUMIF('Phase I Pro Forma'!$F$6:$Z$6,'Official Summary'!K$7,'Phase I Pro Forma'!$F$305:$Z$305)-SUMIF('Phase II Pro Forma'!$F$5:$Z$5,'Official Summary'!K$7,'Phase II Pro Forma'!$F$237:$Z$237)-SUMIF('Phase III Pro Forma'!$F$6:$Z$6,'Official Summary'!K$7,'Phase III Pro Forma'!$F$201:$Z$201)</f>
        <v>0</v>
      </c>
      <c r="L49" s="126">
        <f>-SUMIF('Phase I Pro Forma'!$F$6:$Z$6,'Official Summary'!L$7,'Phase I Pro Forma'!$F$305:$Z$305)-SUMIF('Phase II Pro Forma'!$F$5:$Z$5,'Official Summary'!L$7,'Phase II Pro Forma'!$F$237:$Z$237)-SUMIF('Phase III Pro Forma'!$F$6:$Z$6,'Official Summary'!L$7,'Phase III Pro Forma'!$F$201:$Z$201)</f>
        <v>0</v>
      </c>
      <c r="M49" s="126">
        <f>-SUMIF('Phase I Pro Forma'!$F$6:$Z$6,'Official Summary'!M$7,'Phase I Pro Forma'!$F$305:$Z$305)-SUMIF('Phase II Pro Forma'!$F$5:$Z$5,'Official Summary'!M$7,'Phase II Pro Forma'!$F$237:$Z$237)-SUMIF('Phase III Pro Forma'!$F$6:$Z$6,'Official Summary'!M$7,'Phase III Pro Forma'!$F$201:$Z$201)</f>
        <v>0</v>
      </c>
      <c r="N49" s="448">
        <f>-SUMIF('Phase I Pro Forma'!$F$6:$Z$6,'Official Summary'!N$7,'Phase I Pro Forma'!$F$305:$Z$305)-SUMIF('Phase II Pro Forma'!$F$5:$Z$5,'Official Summary'!N$7,'Phase II Pro Forma'!$F$237:$Z$237)-SUMIF('Phase III Pro Forma'!$F$6:$Z$6,'Official Summary'!N$7,'Phase III Pro Forma'!$F$201:$Z$201)</f>
        <v>0</v>
      </c>
    </row>
    <row r="50" spans="2:14" ht="19" customHeight="1">
      <c r="B50" s="908" t="s">
        <v>711</v>
      </c>
      <c r="C50" s="146"/>
      <c r="D50" s="147">
        <f ca="1">+D48+D49</f>
        <v>54668480.506010383</v>
      </c>
      <c r="E50" s="147">
        <f t="shared" ref="E50:N50" ca="1" si="7">+E48+E49</f>
        <v>224513467.08318391</v>
      </c>
      <c r="F50" s="147">
        <f t="shared" ca="1" si="7"/>
        <v>225008027.76018292</v>
      </c>
      <c r="G50" s="147">
        <f ca="1">+G48+G49</f>
        <v>63191938.572323434</v>
      </c>
      <c r="H50" s="147">
        <f ca="1">+H48+H49</f>
        <v>168837692.07438084</v>
      </c>
      <c r="I50" s="147">
        <f ca="1">+I48+I49</f>
        <v>96250126.741331965</v>
      </c>
      <c r="J50" s="147">
        <f t="shared" ca="1" si="7"/>
        <v>0</v>
      </c>
      <c r="K50" s="147">
        <f t="shared" ca="1" si="7"/>
        <v>0</v>
      </c>
      <c r="L50" s="147">
        <f t="shared" ca="1" si="7"/>
        <v>0</v>
      </c>
      <c r="M50" s="147">
        <f ca="1">+M48+M49</f>
        <v>0</v>
      </c>
      <c r="N50" s="147">
        <f t="shared" ca="1" si="7"/>
        <v>0</v>
      </c>
    </row>
    <row r="51" spans="2:14" ht="19" customHeight="1">
      <c r="B51" s="907" t="s">
        <v>263</v>
      </c>
      <c r="D51" s="466">
        <f>+(SUMIF('Phase I Pro Forma'!$F$6:$Z$6,'Official Summary'!D$7,'Phase I Pro Forma'!$F$289:$Z$289)+SUMIF('Phase II Pro Forma'!$F$5:$Z$5,'Official Summary'!D$7,'Phase II Pro Forma'!$F$221:$Z$221)+SUMIF('Phase III Pro Forma'!$F$6:$Z$6,'Official Summary'!D$7,'Phase III Pro Forma'!$F$185:$Z$185))</f>
        <v>0</v>
      </c>
      <c r="E51" s="126">
        <f>+(SUMIF('Phase I Pro Forma'!$F$6:$Z$6,'Official Summary'!E$7,'Phase I Pro Forma'!$F$289:$Z$289)+SUMIF('Phase II Pro Forma'!$F$5:$Z$5,'Official Summary'!E$7,'Phase II Pro Forma'!$F$221:$Z$221)+SUMIF('Phase III Pro Forma'!$F$6:$Z$6,'Official Summary'!E$7,'Phase III Pro Forma'!$F$185:$Z$185))</f>
        <v>5301298.8474999992</v>
      </c>
      <c r="F51" s="472">
        <f ca="1">+(SUMIF('Phase I Pro Forma'!$F$6:$Z$6,'Official Summary'!F$7,'Phase I Pro Forma'!$F$289:$Z$289)+SUMIF('Phase II Pro Forma'!$F$5:$Z$5,'Official Summary'!F$7,'Phase II Pro Forma'!$F$221:$Z$221)+SUMIF('Phase III Pro Forma'!$F$6:$Z$6,'Official Summary'!F$7,'Phase III Pro Forma'!$F$185:$Z$185))</f>
        <v>10255596.144509668</v>
      </c>
      <c r="G51" s="126">
        <f ca="1">+(SUMIF('Phase I Pro Forma'!$F$6:$Z$6,'Official Summary'!G$7,'Phase I Pro Forma'!$F$289:$Z$289)+SUMIF('Phase II Pro Forma'!$F$5:$Z$5,'Official Summary'!G$7,'Phase II Pro Forma'!$F$221:$Z$221)+SUMIF('Phase III Pro Forma'!$F$6:$Z$6,'Official Summary'!G$7,'Phase III Pro Forma'!$F$185:$Z$185))</f>
        <v>4954297.2970096683</v>
      </c>
      <c r="H51" s="478">
        <f>+(SUMIF('Phase I Pro Forma'!$F$6:$Z$6,'Official Summary'!H$7,'Phase I Pro Forma'!$F$289:$Z$289)+SUMIF('Phase II Pro Forma'!$F$5:$Z$5,'Official Summary'!H$7,'Phase II Pro Forma'!$F$221:$Z$221)+SUMIF('Phase III Pro Forma'!$F$6:$Z$6,'Official Summary'!H$7,'Phase III Pro Forma'!$F$185:$Z$185))</f>
        <v>0</v>
      </c>
      <c r="I51" s="126">
        <f ca="1">+(SUMIF('Phase I Pro Forma'!$F$6:$Z$6,'Official Summary'!I$7,'Phase I Pro Forma'!$F$289:$Z$289)+SUMIF('Phase II Pro Forma'!$F$5:$Z$5,'Official Summary'!I$7,'Phase II Pro Forma'!$F$221:$Z$221)+SUMIF('Phase III Pro Forma'!$F$6:$Z$6,'Official Summary'!I$7,'Phase III Pro Forma'!$F$185:$Z$185))</f>
        <v>69786.45</v>
      </c>
      <c r="J51" s="126">
        <f>+(SUMIF('Phase I Pro Forma'!$F$6:$Z$6,'Official Summary'!J$7,'Phase I Pro Forma'!$F$289:$Z$289)+SUMIF('Phase II Pro Forma'!$F$5:$Z$5,'Official Summary'!J$7,'Phase II Pro Forma'!$F$221:$Z$221)+SUMIF('Phase III Pro Forma'!$F$6:$Z$6,'Official Summary'!J$7,'Phase III Pro Forma'!$F$185:$Z$185))</f>
        <v>0</v>
      </c>
      <c r="K51" s="126">
        <f>+(SUMIF('Phase I Pro Forma'!$F$6:$Z$6,'Official Summary'!K$7,'Phase I Pro Forma'!$F$289:$Z$289)+SUMIF('Phase II Pro Forma'!$F$5:$Z$5,'Official Summary'!K$7,'Phase II Pro Forma'!$F$221:$Z$221)+SUMIF('Phase III Pro Forma'!$F$6:$Z$6,'Official Summary'!K$7,'Phase III Pro Forma'!$F$185:$Z$185))</f>
        <v>0</v>
      </c>
      <c r="L51" s="126">
        <f>+(SUMIF('Phase I Pro Forma'!$F$6:$Z$6,'Official Summary'!L$7,'Phase I Pro Forma'!$F$289:$Z$289)+SUMIF('Phase II Pro Forma'!$F$5:$Z$5,'Official Summary'!L$7,'Phase II Pro Forma'!$F$221:$Z$221)+SUMIF('Phase III Pro Forma'!$F$6:$Z$6,'Official Summary'!L$7,'Phase III Pro Forma'!$F$185:$Z$185))</f>
        <v>0</v>
      </c>
      <c r="M51" s="126">
        <f>+(SUMIF('Phase I Pro Forma'!$F$6:$Z$6,'Official Summary'!M$7,'Phase I Pro Forma'!$F$289:$Z$289)+SUMIF('Phase II Pro Forma'!$F$5:$Z$5,'Official Summary'!M$7,'Phase II Pro Forma'!$F$221:$Z$221)+SUMIF('Phase III Pro Forma'!$F$6:$Z$6,'Official Summary'!M$7,'Phase III Pro Forma'!$F$185:$Z$185))</f>
        <v>0</v>
      </c>
      <c r="N51" s="448">
        <f>+(SUMIF('Phase I Pro Forma'!$F$6:$Z$6,'Official Summary'!N$7,'Phase I Pro Forma'!$F$289:$Z$289)+SUMIF('Phase II Pro Forma'!$F$5:$Z$5,'Official Summary'!N$7,'Phase II Pro Forma'!$F$221:$Z$221)+SUMIF('Phase III Pro Forma'!$F$6:$Z$6,'Official Summary'!N$7,'Phase III Pro Forma'!$F$185:$Z$185))</f>
        <v>0</v>
      </c>
    </row>
    <row r="52" spans="2:14" ht="19" customHeight="1">
      <c r="B52" s="459" t="s">
        <v>712</v>
      </c>
      <c r="C52" s="457"/>
      <c r="D52" s="458">
        <f t="shared" ref="D52:N52" ca="1" si="8">+D50+D51</f>
        <v>54668480.506010383</v>
      </c>
      <c r="E52" s="458">
        <f t="shared" ca="1" si="8"/>
        <v>229814765.93068391</v>
      </c>
      <c r="F52" s="458">
        <f t="shared" ca="1" si="8"/>
        <v>235263623.90469259</v>
      </c>
      <c r="G52" s="458">
        <f t="shared" ca="1" si="8"/>
        <v>68146235.869333103</v>
      </c>
      <c r="H52" s="458">
        <f t="shared" ca="1" si="8"/>
        <v>168837692.07438084</v>
      </c>
      <c r="I52" s="458">
        <f t="shared" ca="1" si="8"/>
        <v>96319913.191331968</v>
      </c>
      <c r="J52" s="458">
        <f t="shared" ca="1" si="8"/>
        <v>0</v>
      </c>
      <c r="K52" s="458">
        <f t="shared" ca="1" si="8"/>
        <v>0</v>
      </c>
      <c r="L52" s="458">
        <f t="shared" ca="1" si="8"/>
        <v>0</v>
      </c>
      <c r="M52" s="458">
        <f ca="1">+M50+M51</f>
        <v>0</v>
      </c>
      <c r="N52" s="458">
        <f t="shared" ca="1" si="8"/>
        <v>0</v>
      </c>
    </row>
    <row r="53" spans="2:14" ht="19" customHeight="1">
      <c r="B53" s="453"/>
      <c r="C53" s="453"/>
      <c r="D53" s="914"/>
      <c r="E53" s="454"/>
      <c r="F53" s="114"/>
      <c r="G53" s="114"/>
      <c r="H53" s="114"/>
      <c r="I53" s="114"/>
      <c r="J53" s="114"/>
      <c r="K53" s="114"/>
      <c r="L53" s="114"/>
      <c r="M53" s="455"/>
      <c r="N53" s="114"/>
    </row>
    <row r="54" spans="2:14" ht="19" customHeight="1">
      <c r="B54" s="128" t="s">
        <v>713</v>
      </c>
      <c r="C54" s="128"/>
      <c r="D54" s="134"/>
      <c r="E54" s="129"/>
      <c r="F54" s="129"/>
      <c r="G54" s="129"/>
      <c r="H54" s="129"/>
      <c r="I54" s="129"/>
      <c r="J54" s="129"/>
      <c r="K54" s="129"/>
      <c r="L54" s="129"/>
      <c r="M54" s="117"/>
      <c r="N54" s="129"/>
    </row>
    <row r="55" spans="2:14" ht="19" customHeight="1">
      <c r="B55" s="906" t="s">
        <v>714</v>
      </c>
      <c r="C55" s="906"/>
      <c r="D55" s="465">
        <f ca="1">+D25</f>
        <v>0</v>
      </c>
      <c r="E55" s="903">
        <f>E25</f>
        <v>0</v>
      </c>
      <c r="F55" s="471">
        <f t="shared" ref="F55:N55" si="9">+F25</f>
        <v>0</v>
      </c>
      <c r="G55" s="903">
        <f t="shared" si="9"/>
        <v>7667669</v>
      </c>
      <c r="H55" s="477">
        <f t="shared" si="9"/>
        <v>30891136</v>
      </c>
      <c r="I55" s="903">
        <f t="shared" si="9"/>
        <v>48716912</v>
      </c>
      <c r="J55" s="903">
        <f t="shared" si="9"/>
        <v>62693799</v>
      </c>
      <c r="K55" s="903">
        <f t="shared" si="9"/>
        <v>75859104</v>
      </c>
      <c r="L55" s="903">
        <f t="shared" si="9"/>
        <v>79787539.956740439</v>
      </c>
      <c r="M55" s="903">
        <f t="shared" si="9"/>
        <v>81116306</v>
      </c>
      <c r="N55" s="447">
        <f t="shared" si="9"/>
        <v>82196473</v>
      </c>
    </row>
    <row r="56" spans="2:14" ht="19" customHeight="1">
      <c r="B56" s="132" t="s">
        <v>715</v>
      </c>
      <c r="C56" s="123"/>
      <c r="D56" s="466">
        <f>+D26</f>
        <v>0</v>
      </c>
      <c r="E56" s="126">
        <f>+E26</f>
        <v>0</v>
      </c>
      <c r="F56" s="472">
        <f t="shared" ref="F56:N56" si="10">+F26</f>
        <v>0</v>
      </c>
      <c r="G56" s="126">
        <f t="shared" si="10"/>
        <v>7667669</v>
      </c>
      <c r="H56" s="478">
        <f t="shared" si="10"/>
        <v>30891136</v>
      </c>
      <c r="I56" s="126">
        <f t="shared" si="10"/>
        <v>48716912</v>
      </c>
      <c r="J56" s="126">
        <f t="shared" si="10"/>
        <v>62693799</v>
      </c>
      <c r="K56" s="126">
        <f t="shared" si="10"/>
        <v>75859104</v>
      </c>
      <c r="L56" s="126">
        <f t="shared" si="10"/>
        <v>79787539.956740439</v>
      </c>
      <c r="M56" s="126">
        <f t="shared" si="10"/>
        <v>81116306</v>
      </c>
      <c r="N56" s="448">
        <f t="shared" si="10"/>
        <v>82196473</v>
      </c>
    </row>
    <row r="57" spans="2:14" ht="19" customHeight="1">
      <c r="B57" s="906" t="s">
        <v>716</v>
      </c>
      <c r="C57" s="906"/>
      <c r="D57" s="466">
        <f>+D27</f>
        <v>0</v>
      </c>
      <c r="E57" s="126">
        <f>+E27</f>
        <v>0</v>
      </c>
      <c r="F57" s="472">
        <f t="shared" ref="F57:G57" si="11">+F27</f>
        <v>0</v>
      </c>
      <c r="G57" s="126">
        <f t="shared" si="11"/>
        <v>0</v>
      </c>
      <c r="H57" s="478">
        <f t="shared" ref="H57:N57" si="12">+H27</f>
        <v>0</v>
      </c>
      <c r="I57" s="126">
        <f t="shared" si="12"/>
        <v>0</v>
      </c>
      <c r="J57" s="126">
        <f t="shared" si="12"/>
        <v>0</v>
      </c>
      <c r="K57" s="126">
        <f t="shared" si="12"/>
        <v>0</v>
      </c>
      <c r="L57" s="126">
        <f t="shared" si="12"/>
        <v>0</v>
      </c>
      <c r="M57" s="126">
        <f t="shared" si="12"/>
        <v>0</v>
      </c>
      <c r="N57" s="448">
        <f t="shared" si="12"/>
        <v>0</v>
      </c>
    </row>
    <row r="58" spans="2:14" ht="19" customHeight="1">
      <c r="B58" s="906" t="s">
        <v>717</v>
      </c>
      <c r="C58" s="906"/>
      <c r="D58" s="466">
        <f ca="1">-D50</f>
        <v>-54668480.506010383</v>
      </c>
      <c r="E58" s="126">
        <f t="shared" ref="E58:N58" ca="1" si="13">-E50</f>
        <v>-224513467.08318391</v>
      </c>
      <c r="F58" s="472">
        <f t="shared" ca="1" si="13"/>
        <v>-225008027.76018292</v>
      </c>
      <c r="G58" s="126">
        <f t="shared" ca="1" si="13"/>
        <v>-63191938.572323434</v>
      </c>
      <c r="H58" s="478">
        <f t="shared" ca="1" si="13"/>
        <v>-168837692.07438084</v>
      </c>
      <c r="I58" s="126">
        <f t="shared" ca="1" si="13"/>
        <v>-96250126.741331965</v>
      </c>
      <c r="J58" s="126">
        <f t="shared" ca="1" si="13"/>
        <v>0</v>
      </c>
      <c r="K58" s="126">
        <f t="shared" ca="1" si="13"/>
        <v>0</v>
      </c>
      <c r="L58" s="126">
        <f t="shared" ca="1" si="13"/>
        <v>0</v>
      </c>
      <c r="M58" s="126">
        <f t="shared" ca="1" si="13"/>
        <v>0</v>
      </c>
      <c r="N58" s="448">
        <f t="shared" ca="1" si="13"/>
        <v>0</v>
      </c>
    </row>
    <row r="59" spans="2:14" ht="19" customHeight="1">
      <c r="B59" s="985" t="s">
        <v>718</v>
      </c>
      <c r="C59" s="985"/>
      <c r="D59" s="135">
        <f t="shared" ref="D59:N59" ca="1" si="14">+SUM(D55:D58)</f>
        <v>-54668480.506010383</v>
      </c>
      <c r="E59" s="135">
        <f t="shared" ca="1" si="14"/>
        <v>-224513467.08318391</v>
      </c>
      <c r="F59" s="135">
        <f t="shared" ca="1" si="14"/>
        <v>-225008027.76018292</v>
      </c>
      <c r="G59" s="135">
        <f t="shared" ca="1" si="14"/>
        <v>-47856600.572323434</v>
      </c>
      <c r="H59" s="135">
        <f t="shared" ca="1" si="14"/>
        <v>-107055420.07438084</v>
      </c>
      <c r="I59" s="135">
        <f t="shared" ca="1" si="14"/>
        <v>1183697.2586680353</v>
      </c>
      <c r="J59" s="135">
        <f t="shared" ca="1" si="14"/>
        <v>125387598</v>
      </c>
      <c r="K59" s="135">
        <f t="shared" ca="1" si="14"/>
        <v>151718208</v>
      </c>
      <c r="L59" s="135">
        <f t="shared" ca="1" si="14"/>
        <v>159575079.91348088</v>
      </c>
      <c r="M59" s="135">
        <f t="shared" ca="1" si="14"/>
        <v>162232612</v>
      </c>
      <c r="N59" s="135">
        <f t="shared" ca="1" si="14"/>
        <v>164392946</v>
      </c>
    </row>
    <row r="60" spans="2:14" ht="19" customHeight="1">
      <c r="B60" s="907" t="s">
        <v>719</v>
      </c>
      <c r="C60" s="131"/>
      <c r="D60" s="466">
        <f>-D51</f>
        <v>0</v>
      </c>
      <c r="E60" s="126">
        <f t="shared" ref="E60:N60" si="15">-E51</f>
        <v>-5301298.8474999992</v>
      </c>
      <c r="F60" s="472">
        <f t="shared" ca="1" si="15"/>
        <v>-10255596.144509668</v>
      </c>
      <c r="G60" s="126">
        <f t="shared" ca="1" si="15"/>
        <v>-4954297.2970096683</v>
      </c>
      <c r="H60" s="478">
        <f t="shared" si="15"/>
        <v>0</v>
      </c>
      <c r="I60" s="126">
        <f t="shared" ca="1" si="15"/>
        <v>-69786.45</v>
      </c>
      <c r="J60" s="126">
        <f t="shared" si="15"/>
        <v>0</v>
      </c>
      <c r="K60" s="126">
        <f t="shared" si="15"/>
        <v>0</v>
      </c>
      <c r="L60" s="126">
        <f t="shared" si="15"/>
        <v>0</v>
      </c>
      <c r="M60" s="126">
        <f t="shared" si="15"/>
        <v>0</v>
      </c>
      <c r="N60" s="448">
        <f t="shared" si="15"/>
        <v>0</v>
      </c>
    </row>
    <row r="61" spans="2:14" ht="19" customHeight="1">
      <c r="B61" s="907" t="s">
        <v>720</v>
      </c>
      <c r="C61" s="131"/>
      <c r="D61" s="466">
        <f>+SUMIF('Phase I Pro Forma'!$F$6:$Z$6,'Official Summary'!D$7,'Phase I Pro Forma'!$F279:$Z279)+SUMIF('Phase II Pro Forma'!$F$5:$Z$5,'Official Summary'!D$7,'Phase II Pro Forma'!$F211:$Z211)+SUMIF('Phase III Pro Forma'!$F$6:$Z$6,'Official Summary'!D$7,'Phase III Pro Forma'!$F175:$Z175)</f>
        <v>61171525</v>
      </c>
      <c r="E61" s="126">
        <f>+SUMIF('Phase I Pro Forma'!$F$6:$Z$6,'Official Summary'!E$7,'Phase I Pro Forma'!$F279:$Z279)+SUMIF('Phase II Pro Forma'!$F$5:$Z$5,'Official Summary'!E$7,'Phase II Pro Forma'!$F211:$Z211)+SUMIF('Phase III Pro Forma'!$F$6:$Z$6,'Official Summary'!E$7,'Phase III Pro Forma'!$F175:$Z175)</f>
        <v>0</v>
      </c>
      <c r="F61" s="472">
        <f ca="1">+SUMIF('Phase I Pro Forma'!$F$6:$Z$6,'Official Summary'!F$7,'Phase I Pro Forma'!$F279:$Z279)+SUMIF('Phase II Pro Forma'!$F$5:$Z$5,'Official Summary'!F$7,'Phase II Pro Forma'!$F211:$Z211)+SUMIF('Phase III Pro Forma'!$F$6:$Z$6,'Official Summary'!F$7,'Phase III Pro Forma'!$F175:$Z175)</f>
        <v>73173665.917189285</v>
      </c>
      <c r="G61" s="126">
        <f ca="1">+SUMIF('Phase I Pro Forma'!$F$6:$Z$6,'Official Summary'!G$7,'Phase I Pro Forma'!$F279:$Z279)+SUMIF('Phase II Pro Forma'!$F$5:$Z$5,'Official Summary'!G$7,'Phase II Pro Forma'!$F211:$Z211)+SUMIF('Phase III Pro Forma'!$F$6:$Z$6,'Official Summary'!G$7,'Phase III Pro Forma'!$F175:$Z175)</f>
        <v>208983673.22304678</v>
      </c>
      <c r="H61" s="478">
        <f ca="1">+SUMIF('Phase I Pro Forma'!$F$6:$Z$6,'Official Summary'!H$7,'Phase I Pro Forma'!$F279:$Z279)+SUMIF('Phase II Pro Forma'!$F$5:$Z$5,'Official Summary'!H$7,'Phase II Pro Forma'!$F211:$Z211)+SUMIF('Phase III Pro Forma'!$F$6:$Z$6,'Official Summary'!H$7,'Phase III Pro Forma'!$F175:$Z175)</f>
        <v>218444987.22674948</v>
      </c>
      <c r="I61" s="126">
        <f ca="1">+SUMIF('Phase I Pro Forma'!$F$6:$Z$6,'Official Summary'!I$7,'Phase I Pro Forma'!$F279:$Z279)+SUMIF('Phase II Pro Forma'!$F$5:$Z$5,'Official Summary'!I$7,'Phase II Pro Forma'!$F211:$Z211)+SUMIF('Phase III Pro Forma'!$F$6:$Z$6,'Official Summary'!I$7,'Phase III Pro Forma'!$F175:$Z175)</f>
        <v>98955253.316130489</v>
      </c>
      <c r="J61" s="126">
        <f>+SUMIF('Phase I Pro Forma'!$F$6:$Z$6,'Official Summary'!J$7,'Phase I Pro Forma'!$F279:$Z279)+SUMIF('Phase II Pro Forma'!$F$5:$Z$5,'Official Summary'!J$7,'Phase II Pro Forma'!$F211:$Z211)+SUMIF('Phase III Pro Forma'!$F$6:$Z$6,'Official Summary'!J$7,'Phase III Pro Forma'!$F175:$Z175)</f>
        <v>0</v>
      </c>
      <c r="K61" s="126">
        <f>+SUMIF('Phase I Pro Forma'!$F$6:$Z$6,'Official Summary'!K$7,'Phase I Pro Forma'!$F279:$Z279)+SUMIF('Phase II Pro Forma'!$F$5:$Z$5,'Official Summary'!K$7,'Phase II Pro Forma'!$F211:$Z211)+SUMIF('Phase III Pro Forma'!$F$6:$Z$6,'Official Summary'!K$7,'Phase III Pro Forma'!$F175:$Z175)</f>
        <v>0</v>
      </c>
      <c r="L61" s="126">
        <f>+SUMIF('Phase I Pro Forma'!$F$6:$Z$6,'Official Summary'!L$7,'Phase I Pro Forma'!$F279:$Z279)+SUMIF('Phase II Pro Forma'!$F$5:$Z$5,'Official Summary'!L$7,'Phase II Pro Forma'!$F211:$Z211)+SUMIF('Phase III Pro Forma'!$F$6:$Z$6,'Official Summary'!L$7,'Phase III Pro Forma'!$F175:$Z175)</f>
        <v>0</v>
      </c>
      <c r="M61" s="126">
        <f>+SUMIF('Phase I Pro Forma'!$F$6:$Z$6,'Official Summary'!M$7,'Phase I Pro Forma'!$F279:$Z279)+SUMIF('Phase II Pro Forma'!$F$5:$Z$5,'Official Summary'!M$7,'Phase II Pro Forma'!$F211:$Z211)+SUMIF('Phase III Pro Forma'!$F$6:$Z$6,'Official Summary'!M$7,'Phase III Pro Forma'!$F175:$Z175)</f>
        <v>0</v>
      </c>
      <c r="N61" s="448">
        <f>+SUMIF('Phase I Pro Forma'!$F$6:$Z$6,'Official Summary'!N$7,'Phase I Pro Forma'!$F279:$Z279)+SUMIF('Phase II Pro Forma'!$F$5:$Z$5,'Official Summary'!N$7,'Phase II Pro Forma'!$F211:$Z211)+SUMIF('Phase III Pro Forma'!$F$6:$Z$6,'Official Summary'!N$7,'Phase III Pro Forma'!$F175:$Z175)</f>
        <v>0</v>
      </c>
    </row>
    <row r="62" spans="2:14" ht="19" customHeight="1">
      <c r="B62" s="907" t="s">
        <v>721</v>
      </c>
      <c r="C62" s="131"/>
      <c r="D62" s="466">
        <f>-SUMIF('Phase I Pro Forma'!$F$6:$Z$6,'Official Summary'!D$7,'Phase I Pro Forma'!$F280:$Z280)-SUMIF('Phase II Pro Forma'!$F$5:$Z$5,'Official Summary'!D$7,'Phase II Pro Forma'!$F212:$Z212)-SUMIF('Phase III Pro Forma'!$F$6:$Z$6,'Official Summary'!D$7,'Phase III Pro Forma'!$F176:$Z176)</f>
        <v>0</v>
      </c>
      <c r="E62" s="126">
        <f ca="1">-SUMIF('Phase I Pro Forma'!$F$6:$Z$6,'Official Summary'!E$7,'Phase I Pro Forma'!$F$280:$Z$280)-SUMIF('Phase II Pro Forma'!$F$5:$Z$5,'Official Summary'!E$7,'Phase II Pro Forma'!$F$212:$Z$212)-SUMIF('Phase III Pro Forma'!$F$6:$Z$6,'Official Summary'!E$7,'Phase III Pro Forma'!$F$176:$Z$176)</f>
        <v>0</v>
      </c>
      <c r="F62" s="472">
        <f ca="1">-SUMIF('Phase I Pro Forma'!$F$6:$Z$6,'Official Summary'!F$7,'Phase I Pro Forma'!$F$280:$Z$280)-SUMIF('Phase II Pro Forma'!$F$5:$Z$5,'Official Summary'!F$7,'Phase II Pro Forma'!$F$212:$Z$212)-SUMIF('Phase III Pro Forma'!$F$6:$Z$6,'Official Summary'!F$7,'Phase III Pro Forma'!$F$176:$Z$176)</f>
        <v>0</v>
      </c>
      <c r="G62" s="126">
        <f ca="1">-SUMIF('Phase I Pro Forma'!$F$6:$Z$6,'Official Summary'!G$7,'Phase I Pro Forma'!$F$280:$Z$280)-SUMIF('Phase II Pro Forma'!$F$5:$Z$5,'Official Summary'!G$7,'Phase II Pro Forma'!$F$212:$Z$212)-SUMIF('Phase III Pro Forma'!$F$6:$Z$6,'Official Summary'!G$7,'Phase III Pro Forma'!$F$176:$Z$176)</f>
        <v>0</v>
      </c>
      <c r="H62" s="478">
        <f ca="1">-SUMIF('Phase I Pro Forma'!$F$6:$Z$6,'Official Summary'!H$7,'Phase I Pro Forma'!$F$280:$Z$280)-SUMIF('Phase II Pro Forma'!$F$5:$Z$5,'Official Summary'!H$7,'Phase II Pro Forma'!$F$212:$Z$212)-SUMIF('Phase III Pro Forma'!$F$6:$Z$6,'Official Summary'!H$7,'Phase III Pro Forma'!$F$176:$Z$176)</f>
        <v>-40211836.517388612</v>
      </c>
      <c r="I62" s="126">
        <f ca="1">-SUMIF('Phase I Pro Forma'!$F$6:$Z$6,'Official Summary'!I$7,'Phase I Pro Forma'!$F$280:$Z$280)-SUMIF('Phase II Pro Forma'!$F$5:$Z$5,'Official Summary'!I$7,'Phase II Pro Forma'!$F$212:$Z$212)-SUMIF('Phase III Pro Forma'!$F$6:$Z$6,'Official Summary'!I$7,'Phase III Pro Forma'!$F$176:$Z$176)</f>
        <v>-40211836.517388597</v>
      </c>
      <c r="J62" s="126">
        <f ca="1">-SUMIF('Phase I Pro Forma'!$F$6:$Z$6,'Official Summary'!J$7,'Phase I Pro Forma'!$F$280:$Z$280)-SUMIF('Phase II Pro Forma'!$F$5:$Z$5,'Official Summary'!J$7,'Phase II Pro Forma'!$F$212:$Z$212)-SUMIF('Phase III Pro Forma'!$F$6:$Z$6,'Official Summary'!J$7,'Phase III Pro Forma'!$F$176:$Z$176)</f>
        <v>-54265794.834340021</v>
      </c>
      <c r="K62" s="126">
        <f ca="1">-SUMIF('Phase I Pro Forma'!$F$6:$Z$6,'Official Summary'!K$7,'Phase I Pro Forma'!$F$280:$Z$280)-SUMIF('Phase II Pro Forma'!$F$5:$Z$5,'Official Summary'!K$7,'Phase II Pro Forma'!$F$212:$Z$212)-SUMIF('Phase III Pro Forma'!$F$6:$Z$6,'Official Summary'!K$7,'Phase III Pro Forma'!$F$176:$Z$176)</f>
        <v>-54088027.559504107</v>
      </c>
      <c r="L62" s="126">
        <f ca="1">-SUMIF('Phase I Pro Forma'!$F$6:$Z$6,'Official Summary'!L$7,'Phase I Pro Forma'!$F$280:$Z$280)-SUMIF('Phase II Pro Forma'!$F$5:$Z$5,'Official Summary'!L$7,'Phase II Pro Forma'!$F$212:$Z$212)-SUMIF('Phase III Pro Forma'!$F$6:$Z$6,'Official Summary'!L$7,'Phase III Pro Forma'!$F$176:$Z$176)</f>
        <v>-53899594.248178005</v>
      </c>
      <c r="M62" s="126">
        <f ca="1">-SUMIF('Phase I Pro Forma'!$F$6:$Z$6,'Official Summary'!M$7,'Phase I Pro Forma'!$F$280:$Z$280)-SUMIF('Phase II Pro Forma'!$F$5:$Z$5,'Official Summary'!M$7,'Phase II Pro Forma'!$F$212:$Z$212)-SUMIF('Phase III Pro Forma'!$F$6:$Z$6,'Official Summary'!M$7,'Phase III Pro Forma'!$F$176:$Z$176)</f>
        <v>-53699854.938172348</v>
      </c>
      <c r="N62" s="448">
        <f ca="1">-SUMIF('Phase I Pro Forma'!$F$6:$Z$6,'Official Summary'!N$7,'Phase I Pro Forma'!$F$280:$Z$280)-SUMIF('Phase II Pro Forma'!$F$5:$Z$5,'Official Summary'!N$7,'Phase II Pro Forma'!$F$212:$Z$212)-SUMIF('Phase III Pro Forma'!$F$6:$Z$6,'Official Summary'!N$7,'Phase III Pro Forma'!$F$176:$Z$176)</f>
        <v>-695988149.38158143</v>
      </c>
    </row>
    <row r="63" spans="2:14" ht="19" customHeight="1">
      <c r="B63" s="459" t="s">
        <v>722</v>
      </c>
      <c r="C63" s="457"/>
      <c r="D63" s="458">
        <f t="shared" ref="D63:N63" ca="1" si="16">+SUM(D59:D62)</f>
        <v>6503044.4939896166</v>
      </c>
      <c r="E63" s="458">
        <f t="shared" ca="1" si="16"/>
        <v>-229814765.93068391</v>
      </c>
      <c r="F63" s="458">
        <f t="shared" ca="1" si="16"/>
        <v>-162089957.98750329</v>
      </c>
      <c r="G63" s="458">
        <f t="shared" ca="1" si="16"/>
        <v>156172775.35371369</v>
      </c>
      <c r="H63" s="458">
        <f t="shared" ca="1" si="16"/>
        <v>71177730.634980023</v>
      </c>
      <c r="I63" s="458">
        <f t="shared" ca="1" si="16"/>
        <v>59857327.607409924</v>
      </c>
      <c r="J63" s="458">
        <f t="shared" ca="1" si="16"/>
        <v>71121803.165659979</v>
      </c>
      <c r="K63" s="458">
        <f t="shared" ca="1" si="16"/>
        <v>97630180.440495893</v>
      </c>
      <c r="L63" s="458">
        <f t="shared" ca="1" si="16"/>
        <v>105675485.66530287</v>
      </c>
      <c r="M63" s="458">
        <f t="shared" ca="1" si="16"/>
        <v>108532757.06182766</v>
      </c>
      <c r="N63" s="458">
        <f t="shared" ca="1" si="16"/>
        <v>-531595203.38158143</v>
      </c>
    </row>
    <row r="64" spans="2:14" ht="19" hidden="1" customHeight="1" outlineLevel="1">
      <c r="B64" s="188" t="s">
        <v>23</v>
      </c>
      <c r="C64" s="185"/>
      <c r="D64" s="189">
        <f ca="1">+D63-'Cash Flow Roll-up'!F6</f>
        <v>0</v>
      </c>
      <c r="E64" s="189">
        <f ca="1">+E63-'Cash Flow Roll-up'!G6</f>
        <v>2685640.6902553439</v>
      </c>
      <c r="F64" s="189">
        <f ca="1">+F63-'Cash Flow Roll-up'!H6</f>
        <v>4459456.1481676102</v>
      </c>
      <c r="G64" s="189">
        <f ca="1">+G63-'Cash Flow Roll-up'!I6</f>
        <v>36821082.473740399</v>
      </c>
      <c r="H64" s="189">
        <f ca="1">+H63-'Cash Flow Roll-up'!J6</f>
        <v>-66043952.295601159</v>
      </c>
      <c r="I64" s="189">
        <f ca="1">+I63-'Cash Flow Roll-up'!K6</f>
        <v>52357919.380975261</v>
      </c>
      <c r="J64" s="189">
        <f ca="1">+J63-'Cash Flow Roll-up'!L6</f>
        <v>26574618.269748718</v>
      </c>
      <c r="K64" s="189">
        <f ca="1">+K63-'Cash Flow Roll-up'!M6</f>
        <v>73794197.918833941</v>
      </c>
      <c r="L64" s="189">
        <f ca="1">+L63-'Cash Flow Roll-up'!N6</f>
        <v>77988881.763194412</v>
      </c>
      <c r="M64" s="189">
        <f ca="1">+M63-'Cash Flow Roll-up'!O6</f>
        <v>79164941.474603027</v>
      </c>
      <c r="N64" s="189">
        <f ca="1">+N63-'Cash Flow Roll-up'!P6</f>
        <v>-1223387528.236443</v>
      </c>
    </row>
    <row r="65" spans="2:14" ht="19" customHeight="1" collapsed="1">
      <c r="B65" s="140"/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</row>
    <row r="66" spans="2:14" ht="19" customHeight="1">
      <c r="B66" s="130" t="s">
        <v>723</v>
      </c>
      <c r="C66" s="148">
        <v>0.15</v>
      </c>
      <c r="D66" s="149" t="str">
        <f>B71</f>
        <v>1. As the project is located in an Opportunity Zone, we expect an investor would evaluate the returns incorporating the post-tax benefit. For reference, therefore, we have provided the "pre-tax" equivalent IRR, or the IRR that would have to be achieved in the absence of Opportunity Zone benefits in order to achieve the same post-tax return.</v>
      </c>
      <c r="E66" s="114"/>
      <c r="F66" s="114"/>
      <c r="G66" s="114"/>
      <c r="H66" s="123"/>
      <c r="I66" s="114"/>
      <c r="J66" s="114"/>
      <c r="K66" s="114"/>
      <c r="L66" s="114"/>
      <c r="M66" s="912"/>
      <c r="N66" s="114"/>
    </row>
    <row r="67" spans="2:14" ht="19" customHeight="1">
      <c r="B67" s="113" t="s">
        <v>724</v>
      </c>
      <c r="C67" s="130"/>
      <c r="D67" s="150">
        <f ca="1">+('S&amp;U'!$Q$17*Assumptions!$N$149+'S&amp;U'!$Q$18*Assumptions!$N$155+'S&amp;U'!Q19*Assumptions!$N$161)/SUM('S&amp;U'!$Q$17:$Q$19)</f>
        <v>0.65255242666835112</v>
      </c>
      <c r="E67" s="114"/>
      <c r="F67" s="114"/>
      <c r="J67" s="114"/>
      <c r="K67" s="114"/>
      <c r="L67" s="114"/>
      <c r="M67" s="912"/>
      <c r="N67" s="114"/>
    </row>
    <row r="68" spans="2:14" ht="19" customHeight="1">
      <c r="B68" s="130" t="s">
        <v>725</v>
      </c>
      <c r="C68" s="130"/>
      <c r="D68" s="150">
        <f ca="1">+Assumptions!$E$4</f>
        <v>0.11994670013225717</v>
      </c>
      <c r="E68" s="114"/>
      <c r="F68" s="114"/>
      <c r="G68" s="144" t="s">
        <v>726</v>
      </c>
      <c r="H68" s="114"/>
      <c r="I68" s="114"/>
      <c r="J68" s="237">
        <f>+Budget!G25+'Public Benefits'!F11</f>
        <v>204843936.43974164</v>
      </c>
      <c r="K68" s="114"/>
      <c r="L68" s="114"/>
      <c r="M68" s="912"/>
      <c r="N68" s="114"/>
    </row>
    <row r="69" spans="2:14" ht="19" customHeight="1">
      <c r="B69" s="130" t="s">
        <v>727</v>
      </c>
      <c r="C69" s="130"/>
      <c r="D69" s="150">
        <f>+Assumptions!$E$3</f>
        <v>0.185</v>
      </c>
    </row>
    <row r="70" spans="2:14" ht="19" customHeight="1">
      <c r="B70" s="116" t="s">
        <v>246</v>
      </c>
      <c r="C70" s="384"/>
      <c r="D70" s="151" t="s">
        <v>246</v>
      </c>
      <c r="E70" s="112"/>
      <c r="F70" s="112"/>
      <c r="G70" s="145" t="s">
        <v>728</v>
      </c>
      <c r="H70" s="112"/>
      <c r="I70" s="112"/>
      <c r="J70" s="153">
        <f>+N56</f>
        <v>82196473</v>
      </c>
      <c r="K70" s="154"/>
      <c r="L70" s="112"/>
      <c r="M70" s="127"/>
      <c r="N70" s="112"/>
    </row>
    <row r="71" spans="2:14" ht="38.15" customHeight="1">
      <c r="B71" s="982" t="s">
        <v>729</v>
      </c>
      <c r="C71" s="982"/>
      <c r="D71" s="982"/>
      <c r="E71" s="982"/>
      <c r="F71" s="982"/>
      <c r="G71" s="982"/>
      <c r="H71" s="982"/>
      <c r="I71" s="982"/>
      <c r="J71" s="982"/>
      <c r="K71" s="982"/>
      <c r="L71" s="982"/>
      <c r="M71" s="982"/>
      <c r="N71" s="982"/>
    </row>
    <row r="72" spans="2:14" ht="38.15" customHeight="1">
      <c r="B72" s="982" t="s">
        <v>246</v>
      </c>
      <c r="C72" s="982"/>
      <c r="D72" s="982"/>
      <c r="E72" s="982"/>
      <c r="F72" s="982"/>
      <c r="G72" s="982"/>
      <c r="H72" s="982"/>
      <c r="I72" s="982"/>
      <c r="J72" s="982"/>
      <c r="K72" s="982"/>
      <c r="L72" s="982"/>
      <c r="M72" s="982"/>
      <c r="N72" s="982"/>
    </row>
    <row r="73" spans="2:14" ht="19" customHeight="1">
      <c r="D73" s="900"/>
      <c r="N73" s="119"/>
    </row>
    <row r="74" spans="2:14" s="259" customFormat="1" ht="19" customHeight="1">
      <c r="B74" s="440" t="s">
        <v>730</v>
      </c>
      <c r="C74" s="441"/>
      <c r="D74" s="441"/>
      <c r="E74" s="440"/>
      <c r="F74" s="442"/>
      <c r="G74" s="442"/>
      <c r="H74" s="442"/>
      <c r="I74" s="955"/>
      <c r="J74" s="955"/>
      <c r="K74" s="955"/>
      <c r="L74" s="955"/>
      <c r="M74" s="955"/>
      <c r="N74" s="955"/>
    </row>
    <row r="75" spans="2:14" ht="19" customHeight="1">
      <c r="D75" s="904"/>
      <c r="E75" s="988" t="s">
        <v>731</v>
      </c>
      <c r="F75" s="988"/>
      <c r="G75" s="988"/>
      <c r="H75" s="988"/>
      <c r="I75" s="988"/>
      <c r="J75" s="988"/>
      <c r="K75" s="988"/>
      <c r="L75" s="988"/>
      <c r="M75" s="988"/>
      <c r="N75" s="988"/>
    </row>
    <row r="76" spans="2:14" s="397" customFormat="1" ht="19" customHeight="1">
      <c r="B76" s="110"/>
      <c r="C76" s="110"/>
      <c r="D76" s="115" t="s">
        <v>732</v>
      </c>
      <c r="E76" s="901">
        <f>+E6</f>
        <v>2022</v>
      </c>
      <c r="F76" s="901">
        <f t="shared" ref="F76:L76" si="17">E76+1</f>
        <v>2023</v>
      </c>
      <c r="G76" s="901">
        <f t="shared" si="17"/>
        <v>2024</v>
      </c>
      <c r="H76" s="901">
        <f t="shared" si="17"/>
        <v>2025</v>
      </c>
      <c r="I76" s="901">
        <f t="shared" si="17"/>
        <v>2026</v>
      </c>
      <c r="J76" s="901">
        <f t="shared" si="17"/>
        <v>2027</v>
      </c>
      <c r="K76" s="901">
        <f t="shared" si="17"/>
        <v>2028</v>
      </c>
      <c r="L76" s="901">
        <f t="shared" si="17"/>
        <v>2029</v>
      </c>
      <c r="M76" s="901">
        <f>L76+1</f>
        <v>2030</v>
      </c>
      <c r="N76" s="901">
        <f>M76+1</f>
        <v>2031</v>
      </c>
    </row>
    <row r="77" spans="2:14" ht="19" customHeight="1">
      <c r="B77" s="128" t="s">
        <v>733</v>
      </c>
      <c r="C77" s="128"/>
      <c r="D77" s="155"/>
      <c r="E77" s="108"/>
      <c r="F77" s="108"/>
      <c r="G77" s="108"/>
      <c r="H77" s="108"/>
      <c r="I77" s="108"/>
      <c r="J77" s="108"/>
      <c r="K77" s="108"/>
      <c r="L77" s="108"/>
      <c r="M77" s="156"/>
      <c r="N77" s="108"/>
    </row>
    <row r="78" spans="2:14" ht="19" customHeight="1">
      <c r="B78" s="136" t="s">
        <v>690</v>
      </c>
      <c r="C78" s="910"/>
      <c r="D78" s="904" t="s">
        <v>734</v>
      </c>
      <c r="E78" s="126">
        <f>+SUMIF('Phase I Pro Forma'!$F$6:$Z$6,'Official Summary'!E$7,'Phase I Pro Forma'!$F$33:$Z$33)+SUMIF('Phase II Pro Forma'!$F$5:$Z$5,'Official Summary'!E$7,'Phase II Pro Forma'!$F$32:$Z$32)+SUMIF('Phase III Pro Forma'!$F$6:$Z$6,'Official Summary'!E$7,'Phase III Pro Forma'!$F$33:$Z$33)</f>
        <v>0</v>
      </c>
      <c r="F78" s="126">
        <f>+SUMIF('Phase I Pro Forma'!$F$6:$Z$6,'Official Summary'!F$7,'Phase I Pro Forma'!$F$33:$Z$33)+SUMIF('Phase II Pro Forma'!$F$5:$Z$5,'Official Summary'!F$7,'Phase II Pro Forma'!$F$32:$Z$32)+SUMIF('Phase III Pro Forma'!$F$6:$Z$6,'Official Summary'!F$7,'Phase III Pro Forma'!$F$33:$Z$33)</f>
        <v>0</v>
      </c>
      <c r="G78" s="126">
        <f>+SUMIF('Phase I Pro Forma'!$F$6:$Z$6,'Official Summary'!G$7,'Phase I Pro Forma'!$F$33:$Z$33)+SUMIF('Phase II Pro Forma'!$F$5:$Z$5,'Official Summary'!G$7,'Phase II Pro Forma'!$F$32:$Z$32)+SUMIF('Phase III Pro Forma'!$F$6:$Z$6,'Official Summary'!G$7,'Phase III Pro Forma'!$F$33:$Z$33)</f>
        <v>27.470754888907017</v>
      </c>
      <c r="H78" s="126">
        <f>+SUMIF('Phase I Pro Forma'!$F$6:$Z$6,'Official Summary'!H$7,'Phase I Pro Forma'!$F$33:$Z$33)+SUMIF('Phase II Pro Forma'!$F$5:$Z$5,'Official Summary'!H$7,'Phase II Pro Forma'!$F$32:$Z$32)+SUMIF('Phase III Pro Forma'!$F$6:$Z$6,'Official Summary'!H$7,'Phase III Pro Forma'!$F$33:$Z$33)</f>
        <v>236.19737815153945</v>
      </c>
      <c r="I78" s="126">
        <f>+SUMIF('Phase I Pro Forma'!$F$6:$Z$6,'Official Summary'!I$7,'Phase I Pro Forma'!$F$33:$Z$33)+SUMIF('Phase II Pro Forma'!$F$5:$Z$5,'Official Summary'!I$7,'Phase II Pro Forma'!$F$32:$Z$32)+SUMIF('Phase III Pro Forma'!$F$6:$Z$6,'Official Summary'!I$7,'Phase III Pro Forma'!$F$33:$Z$33)</f>
        <v>208.72662326263244</v>
      </c>
      <c r="J78" s="126">
        <f>+SUMIF('Phase I Pro Forma'!$F$6:$Z$6,'Official Summary'!J$7,'Phase I Pro Forma'!$F$33:$Z$33)+SUMIF('Phase II Pro Forma'!$F$5:$Z$5,'Official Summary'!J$7,'Phase II Pro Forma'!$F$32:$Z$32)+SUMIF('Phase III Pro Forma'!$F$6:$Z$6,'Official Summary'!J$7,'Phase III Pro Forma'!$F$33:$Z$33)</f>
        <v>305.03143301423779</v>
      </c>
      <c r="K78" s="126">
        <f>+SUMIF('Phase I Pro Forma'!$F$6:$Z$6,'Official Summary'!K$7,'Phase I Pro Forma'!$F$33:$Z$33)+SUMIF('Phase II Pro Forma'!$F$5:$Z$5,'Official Summary'!K$7,'Phase II Pro Forma'!$F$32:$Z$32)+SUMIF('Phase III Pro Forma'!$F$6:$Z$6,'Official Summary'!K$7,'Phase III Pro Forma'!$F$33:$Z$33)</f>
        <v>305.03143301423779</v>
      </c>
      <c r="L78" s="126">
        <f>+SUMIF('Phase I Pro Forma'!$F$6:$Z$6,'Official Summary'!L$7,'Phase I Pro Forma'!$F$33:$Z$33)+SUMIF('Phase II Pro Forma'!$F$5:$Z$5,'Official Summary'!L$7,'Phase II Pro Forma'!$F$32:$Z$32)+SUMIF('Phase III Pro Forma'!$F$6:$Z$6,'Official Summary'!L$7,'Phase III Pro Forma'!$F$33:$Z$33)</f>
        <v>0</v>
      </c>
      <c r="M78" s="126">
        <f>+SUMIF('Phase I Pro Forma'!$F$6:$Z$6,'Official Summary'!M$7,'Phase I Pro Forma'!$F$33:$Z$33)+SUMIF('Phase II Pro Forma'!$F$5:$Z$5,'Official Summary'!M$7,'Phase II Pro Forma'!$F$32:$Z$32)+SUMIF('Phase III Pro Forma'!$F$6:$Z$6,'Official Summary'!M$7,'Phase III Pro Forma'!$F$33:$Z$33)</f>
        <v>0</v>
      </c>
      <c r="N78" s="126">
        <f>+SUMIF('Phase I Pro Forma'!$F$6:$Z$6,'Official Summary'!N$7,'Phase I Pro Forma'!$F$33:$Z$33)+SUMIF('Phase II Pro Forma'!$F$5:$Z$5,'Official Summary'!N$7,'Phase II Pro Forma'!$F$32:$Z$32)+SUMIF('Phase III Pro Forma'!$F$6:$Z$6,'Official Summary'!N$7,'Phase III Pro Forma'!$F$33:$Z$33)</f>
        <v>0</v>
      </c>
    </row>
    <row r="79" spans="2:14" ht="19" customHeight="1">
      <c r="B79" s="136" t="s">
        <v>691</v>
      </c>
      <c r="C79" s="910"/>
      <c r="D79" s="904" t="s">
        <v>734</v>
      </c>
      <c r="E79" s="126" t="s">
        <v>692</v>
      </c>
      <c r="F79" s="126" t="s">
        <v>692</v>
      </c>
      <c r="G79" s="126" t="s">
        <v>692</v>
      </c>
      <c r="H79" s="126" t="s">
        <v>692</v>
      </c>
      <c r="I79" s="126" t="s">
        <v>692</v>
      </c>
      <c r="J79" s="126" t="s">
        <v>692</v>
      </c>
      <c r="K79" s="126" t="s">
        <v>692</v>
      </c>
      <c r="L79" s="126" t="s">
        <v>692</v>
      </c>
      <c r="M79" s="126" t="s">
        <v>692</v>
      </c>
      <c r="N79" s="126" t="s">
        <v>692</v>
      </c>
    </row>
    <row r="80" spans="2:14" ht="19" customHeight="1">
      <c r="B80" s="136" t="s">
        <v>693</v>
      </c>
      <c r="C80" s="910"/>
      <c r="D80" s="904" t="s">
        <v>734</v>
      </c>
      <c r="E80" s="126" t="s">
        <v>692</v>
      </c>
      <c r="F80" s="126" t="s">
        <v>692</v>
      </c>
      <c r="G80" s="126" t="s">
        <v>692</v>
      </c>
      <c r="H80" s="126" t="s">
        <v>692</v>
      </c>
      <c r="I80" s="126" t="s">
        <v>692</v>
      </c>
      <c r="J80" s="126" t="s">
        <v>692</v>
      </c>
      <c r="K80" s="126" t="s">
        <v>692</v>
      </c>
      <c r="L80" s="126" t="s">
        <v>692</v>
      </c>
      <c r="M80" s="126" t="s">
        <v>692</v>
      </c>
      <c r="N80" s="126" t="s">
        <v>692</v>
      </c>
    </row>
    <row r="81" spans="2:14" ht="19" customHeight="1">
      <c r="B81" s="136" t="s">
        <v>694</v>
      </c>
      <c r="C81" s="910"/>
      <c r="D81" s="904" t="s">
        <v>734</v>
      </c>
      <c r="E81" s="126">
        <f>+SUMIF('Phase I Pro Forma'!$F$6:$Z$6,'Official Summary'!E$7,'Phase I Pro Forma'!$F$10:$Z$10)+SUMIF('Phase II Pro Forma'!$F$5:$Z$5,'Official Summary'!E$7,'Phase II Pro Forma'!$F$9:$Z$9)+SUMIF('Phase III Pro Forma'!$F$6:$Z$6,'Official Summary'!E$7,'Phase III Pro Forma'!$F$10:$Z$10)</f>
        <v>0</v>
      </c>
      <c r="F81" s="126">
        <f>+SUMIF('Phase I Pro Forma'!$F$6:$Z$6,'Official Summary'!F$7,'Phase I Pro Forma'!$F$10:$Z$10)+SUMIF('Phase II Pro Forma'!$F$5:$Z$5,'Official Summary'!F$7,'Phase II Pro Forma'!$F$9:$Z$9)+SUMIF('Phase III Pro Forma'!$F$6:$Z$6,'Official Summary'!F$7,'Phase III Pro Forma'!$F$10:$Z$10)</f>
        <v>0</v>
      </c>
      <c r="G81" s="126">
        <f>+SUMIF('Phase I Pro Forma'!$F$6:$Z$6,'Official Summary'!G$7,'Phase I Pro Forma'!$F$10:$Z$10)+SUMIF('Phase II Pro Forma'!$F$5:$Z$5,'Official Summary'!G$7,'Phase II Pro Forma'!$F$9:$Z$9)+SUMIF('Phase III Pro Forma'!$F$6:$Z$6,'Official Summary'!G$7,'Phase III Pro Forma'!$F$10:$Z$10)</f>
        <v>18.31383659260468</v>
      </c>
      <c r="H81" s="126">
        <f>+SUMIF('Phase I Pro Forma'!$F$6:$Z$6,'Official Summary'!H$7,'Phase I Pro Forma'!$F$10:$Z$10)+SUMIF('Phase II Pro Forma'!$F$5:$Z$5,'Official Summary'!H$7,'Phase II Pro Forma'!$F$9:$Z$9)+SUMIF('Phase III Pro Forma'!$F$6:$Z$6,'Official Summary'!H$7,'Phase III Pro Forma'!$F$10:$Z$10)</f>
        <v>157.46532011681765</v>
      </c>
      <c r="I81" s="126">
        <f>+SUMIF('Phase I Pro Forma'!$F$6:$Z$6,'Official Summary'!I$7,'Phase I Pro Forma'!$F$10:$Z$10)+SUMIF('Phase II Pro Forma'!$F$5:$Z$5,'Official Summary'!I$7,'Phase II Pro Forma'!$F$9:$Z$9)+SUMIF('Phase III Pro Forma'!$F$6:$Z$6,'Official Summary'!I$7,'Phase III Pro Forma'!$F$10:$Z$10)</f>
        <v>139.15148352421298</v>
      </c>
      <c r="J81" s="126">
        <f>+SUMIF('Phase I Pro Forma'!$F$6:$Z$6,'Official Summary'!J$7,'Phase I Pro Forma'!$F$10:$Z$10)+SUMIF('Phase II Pro Forma'!$F$5:$Z$5,'Official Summary'!J$7,'Phase II Pro Forma'!$F$9:$Z$9)+SUMIF('Phase III Pro Forma'!$F$6:$Z$6,'Official Summary'!J$7,'Phase III Pro Forma'!$F$10:$Z$10)</f>
        <v>203.35469242035148</v>
      </c>
      <c r="K81" s="126">
        <f>+SUMIF('Phase I Pro Forma'!$F$6:$Z$6,'Official Summary'!K$7,'Phase I Pro Forma'!$F$10:$Z$10)+SUMIF('Phase II Pro Forma'!$F$5:$Z$5,'Official Summary'!K$7,'Phase II Pro Forma'!$F$9:$Z$9)+SUMIF('Phase III Pro Forma'!$F$6:$Z$6,'Official Summary'!K$7,'Phase III Pro Forma'!$F$10:$Z$10)</f>
        <v>203.35469242035148</v>
      </c>
      <c r="L81" s="126">
        <f>+SUMIF('Phase I Pro Forma'!$F$6:$Z$6,'Official Summary'!L$7,'Phase I Pro Forma'!$F$10:$Z$10)+SUMIF('Phase II Pro Forma'!$F$5:$Z$5,'Official Summary'!L$7,'Phase II Pro Forma'!$F$9:$Z$9)+SUMIF('Phase III Pro Forma'!$F$6:$Z$6,'Official Summary'!L$7,'Phase III Pro Forma'!$F$10:$Z$10)</f>
        <v>0</v>
      </c>
      <c r="M81" s="126">
        <f>+SUMIF('Phase I Pro Forma'!$F$6:$Z$6,'Official Summary'!M$7,'Phase I Pro Forma'!$F$10:$Z$10)+SUMIF('Phase II Pro Forma'!$F$5:$Z$5,'Official Summary'!M$7,'Phase II Pro Forma'!$F$9:$Z$9)+SUMIF('Phase III Pro Forma'!$F$6:$Z$6,'Official Summary'!M$7,'Phase III Pro Forma'!$F$10:$Z$10)</f>
        <v>0</v>
      </c>
      <c r="N81" s="126">
        <f>+SUMIF('Phase I Pro Forma'!$F$6:$Z$6,'Official Summary'!N$7,'Phase I Pro Forma'!$F$10:$Z$10)+SUMIF('Phase II Pro Forma'!$F$5:$Z$5,'Official Summary'!N$7,'Phase II Pro Forma'!$F$9:$Z$9)+SUMIF('Phase III Pro Forma'!$F$6:$Z$6,'Official Summary'!N$7,'Phase III Pro Forma'!$F$10:$Z$10)</f>
        <v>0</v>
      </c>
    </row>
    <row r="82" spans="2:14" ht="19" customHeight="1">
      <c r="B82" s="136" t="s">
        <v>695</v>
      </c>
      <c r="C82" s="910"/>
      <c r="D82" s="904" t="s">
        <v>734</v>
      </c>
      <c r="E82" s="126" t="s">
        <v>692</v>
      </c>
      <c r="F82" s="126" t="s">
        <v>692</v>
      </c>
      <c r="G82" s="126" t="s">
        <v>692</v>
      </c>
      <c r="H82" s="126" t="s">
        <v>692</v>
      </c>
      <c r="I82" s="126" t="s">
        <v>692</v>
      </c>
      <c r="J82" s="126" t="s">
        <v>692</v>
      </c>
      <c r="K82" s="126" t="s">
        <v>692</v>
      </c>
      <c r="L82" s="126" t="s">
        <v>692</v>
      </c>
      <c r="M82" s="126" t="s">
        <v>692</v>
      </c>
      <c r="N82" s="126" t="s">
        <v>692</v>
      </c>
    </row>
    <row r="83" spans="2:14" ht="19" customHeight="1">
      <c r="B83" s="907" t="s">
        <v>696</v>
      </c>
      <c r="C83" s="910"/>
      <c r="D83" s="904" t="s">
        <v>735</v>
      </c>
      <c r="E83" s="914" t="s">
        <v>692</v>
      </c>
      <c r="F83" s="914" t="s">
        <v>692</v>
      </c>
      <c r="G83" s="914" t="s">
        <v>692</v>
      </c>
      <c r="H83" s="914" t="s">
        <v>692</v>
      </c>
      <c r="I83" s="914" t="s">
        <v>692</v>
      </c>
      <c r="J83" s="914" t="s">
        <v>692</v>
      </c>
      <c r="K83" s="914" t="s">
        <v>692</v>
      </c>
      <c r="L83" s="914" t="s">
        <v>692</v>
      </c>
      <c r="M83" s="914" t="s">
        <v>692</v>
      </c>
      <c r="N83" s="914" t="s">
        <v>692</v>
      </c>
    </row>
    <row r="84" spans="2:14" ht="19" customHeight="1">
      <c r="B84" s="907" t="s">
        <v>29</v>
      </c>
      <c r="C84" s="910"/>
      <c r="D84" s="904" t="s">
        <v>735</v>
      </c>
      <c r="E84" s="914" t="s">
        <v>692</v>
      </c>
      <c r="F84" s="914" t="s">
        <v>692</v>
      </c>
      <c r="G84" s="914" t="s">
        <v>692</v>
      </c>
      <c r="H84" s="914" t="s">
        <v>692</v>
      </c>
      <c r="I84" s="914" t="s">
        <v>692</v>
      </c>
      <c r="J84" s="914" t="s">
        <v>692</v>
      </c>
      <c r="K84" s="914" t="s">
        <v>692</v>
      </c>
      <c r="L84" s="914" t="s">
        <v>692</v>
      </c>
      <c r="M84" s="914" t="s">
        <v>692</v>
      </c>
      <c r="N84" s="914" t="s">
        <v>692</v>
      </c>
    </row>
    <row r="85" spans="2:14" ht="19" customHeight="1">
      <c r="B85" s="907" t="s">
        <v>143</v>
      </c>
      <c r="C85" s="910"/>
      <c r="D85" s="904" t="s">
        <v>735</v>
      </c>
      <c r="E85" s="914" t="s">
        <v>692</v>
      </c>
      <c r="F85" s="914" t="s">
        <v>692</v>
      </c>
      <c r="G85" s="914" t="s">
        <v>692</v>
      </c>
      <c r="H85" s="914" t="s">
        <v>692</v>
      </c>
      <c r="I85" s="914" t="s">
        <v>692</v>
      </c>
      <c r="J85" s="914" t="s">
        <v>692</v>
      </c>
      <c r="K85" s="914" t="s">
        <v>692</v>
      </c>
      <c r="L85" s="914" t="s">
        <v>692</v>
      </c>
      <c r="M85" s="914" t="s">
        <v>692</v>
      </c>
      <c r="N85" s="914" t="s">
        <v>692</v>
      </c>
    </row>
    <row r="86" spans="2:14" ht="19" customHeight="1">
      <c r="B86" s="907" t="s">
        <v>31</v>
      </c>
      <c r="C86" s="166"/>
      <c r="D86" s="904" t="s">
        <v>736</v>
      </c>
      <c r="E86" s="126">
        <v>0</v>
      </c>
      <c r="F86" s="126">
        <v>0</v>
      </c>
      <c r="G86" s="126">
        <v>149</v>
      </c>
      <c r="H86" s="126">
        <v>149</v>
      </c>
      <c r="I86" s="126">
        <v>149</v>
      </c>
      <c r="J86" s="126">
        <v>149</v>
      </c>
      <c r="K86" s="126">
        <v>149</v>
      </c>
      <c r="L86" s="126">
        <v>149</v>
      </c>
      <c r="M86" s="126">
        <v>149</v>
      </c>
      <c r="N86" s="126">
        <v>149</v>
      </c>
    </row>
    <row r="87" spans="2:14" ht="19" customHeight="1">
      <c r="B87" s="907" t="s">
        <v>697</v>
      </c>
      <c r="C87" s="166"/>
      <c r="D87" s="904" t="s">
        <v>737</v>
      </c>
      <c r="E87" s="126">
        <f>+SUMIF('Phase I Pro Forma'!$F$6:$Z$6,'Official Summary'!E$7,'Phase I Pro Forma'!$F$118:$Z$118)*(Assumptions!$F$177/SUM(Assumptions!$F$177,Assumptions!$F$191))+SUMIF('Phase II Pro Forma'!$F$5:$Z$5,'Official Summary'!E$7,'Phase II Pro Forma'!$F$117:$Z$117)*(Assumptions!$G$177/SUM(Assumptions!$G$177,Assumptions!$G$191))+SUMIF('Phase III Pro Forma'!$F$6:$Z$6,'Official Summary'!E$7,'Phase III Pro Forma'!$F$118:$Z$118)*(Assumptions!$H$177/SUM(Assumptions!$H$177,Assumptions!$H$191))</f>
        <v>0</v>
      </c>
      <c r="F87" s="126">
        <f>+SUMIF('Phase I Pro Forma'!$F$6:$Z$6,'Official Summary'!F$7,'Phase I Pro Forma'!$F$118:$Z$118)*(Assumptions!$F$177/SUM(Assumptions!$F$177,Assumptions!$F$191))+SUMIF('Phase II Pro Forma'!$F$5:$Z$5,'Official Summary'!F$7,'Phase II Pro Forma'!$F$117:$Z$117)*(Assumptions!$G$177/SUM(Assumptions!$G$177,Assumptions!$G$191))+SUMIF('Phase III Pro Forma'!$F$6:$Z$6,'Official Summary'!F$7,'Phase III Pro Forma'!$F$118:$Z$118)*(Assumptions!$H$177/SUM(Assumptions!$H$177,Assumptions!$H$191))</f>
        <v>0</v>
      </c>
      <c r="G87" s="126">
        <f>+SUMIF('Phase I Pro Forma'!$F$6:$Z$6,'Official Summary'!G$7,'Phase I Pro Forma'!$F$118:$Z$118)*(Assumptions!$F$177/SUM(Assumptions!$F$177,Assumptions!$F$191))+SUMIF('Phase II Pro Forma'!$F$5:$Z$5,'Official Summary'!G$7,'Phase II Pro Forma'!$F$117:$Z$117)*(Assumptions!$G$177/SUM(Assumptions!$G$177,Assumptions!$G$191))+SUMIF('Phase III Pro Forma'!$F$6:$Z$6,'Official Summary'!G$7,'Phase III Pro Forma'!$F$118:$Z$118)*(Assumptions!$H$177/SUM(Assumptions!$H$177,Assumptions!$H$191))</f>
        <v>758.26799999999992</v>
      </c>
      <c r="H87" s="126">
        <f>+SUMIF('Phase I Pro Forma'!$F$6:$Z$6,'Official Summary'!H$7,'Phase I Pro Forma'!$F$118:$Z$118)*(Assumptions!$F$177/SUM(Assumptions!$F$177,Assumptions!$F$191))+SUMIF('Phase II Pro Forma'!$F$5:$Z$5,'Official Summary'!H$7,'Phase II Pro Forma'!$F$117:$Z$117)*(Assumptions!$G$177/SUM(Assumptions!$G$177,Assumptions!$G$191))+SUMIF('Phase III Pro Forma'!$F$6:$Z$6,'Official Summary'!H$7,'Phase III Pro Forma'!$F$118:$Z$118)*(Assumptions!$H$177/SUM(Assumptions!$H$177,Assumptions!$H$191))</f>
        <v>969.12399999999991</v>
      </c>
      <c r="I87" s="126">
        <f>+SUMIF('Phase I Pro Forma'!$F$6:$Z$6,'Official Summary'!I$7,'Phase I Pro Forma'!$F$118:$Z$118)*(Assumptions!$F$177/SUM(Assumptions!$F$177,Assumptions!$F$191))+SUMIF('Phase II Pro Forma'!$F$5:$Z$5,'Official Summary'!I$7,'Phase II Pro Forma'!$F$117:$Z$117)*(Assumptions!$G$177/SUM(Assumptions!$G$177,Assumptions!$G$191))+SUMIF('Phase III Pro Forma'!$F$6:$Z$6,'Official Summary'!I$7,'Phase III Pro Forma'!$F$118:$Z$118)*(Assumptions!$H$177/SUM(Assumptions!$H$177,Assumptions!$H$191))</f>
        <v>210.85599999999999</v>
      </c>
      <c r="J87" s="126">
        <f>+SUMIF('Phase I Pro Forma'!$F$6:$Z$6,'Official Summary'!J$7,'Phase I Pro Forma'!$F$118:$Z$118)*(Assumptions!$F$177/SUM(Assumptions!$F$177,Assumptions!$F$191))+SUMIF('Phase II Pro Forma'!$F$5:$Z$5,'Official Summary'!J$7,'Phase II Pro Forma'!$F$117:$Z$117)*(Assumptions!$G$177/SUM(Assumptions!$G$177,Assumptions!$G$191))+SUMIF('Phase III Pro Forma'!$F$6:$Z$6,'Official Summary'!J$7,'Phase III Pro Forma'!$F$118:$Z$118)*(Assumptions!$H$177/SUM(Assumptions!$H$177,Assumptions!$H$191))</f>
        <v>396.08800000000002</v>
      </c>
      <c r="K87" s="126">
        <f>+SUMIF('Phase I Pro Forma'!$F$6:$Z$6,'Official Summary'!K$7,'Phase I Pro Forma'!$F$118:$Z$118)*(Assumptions!$F$177/SUM(Assumptions!$F$177,Assumptions!$F$191))+SUMIF('Phase II Pro Forma'!$F$5:$Z$5,'Official Summary'!K$7,'Phase II Pro Forma'!$F$117:$Z$117)*(Assumptions!$G$177/SUM(Assumptions!$G$177,Assumptions!$G$191))+SUMIF('Phase III Pro Forma'!$F$6:$Z$6,'Official Summary'!K$7,'Phase III Pro Forma'!$F$118:$Z$118)*(Assumptions!$H$177/SUM(Assumptions!$H$177,Assumptions!$H$191))</f>
        <v>396.08800000000002</v>
      </c>
      <c r="L87" s="126">
        <f>+SUMIF('Phase I Pro Forma'!$F$6:$Z$6,'Official Summary'!L$7,'Phase I Pro Forma'!$F$118:$Z$118)*(Assumptions!$F$177/SUM(Assumptions!$F$177,Assumptions!$F$191))+SUMIF('Phase II Pro Forma'!$F$5:$Z$5,'Official Summary'!L$7,'Phase II Pro Forma'!$F$117:$Z$117)*(Assumptions!$G$177/SUM(Assumptions!$G$177,Assumptions!$G$191))+SUMIF('Phase III Pro Forma'!$F$6:$Z$6,'Official Summary'!L$7,'Phase III Pro Forma'!$F$118:$Z$118)*(Assumptions!$H$177/SUM(Assumptions!$H$177,Assumptions!$H$191))</f>
        <v>0</v>
      </c>
      <c r="M87" s="126">
        <f>+SUMIF('Phase I Pro Forma'!$F$6:$Z$6,'Official Summary'!M$7,'Phase I Pro Forma'!$F$118:$Z$118)*(Assumptions!$F$177/SUM(Assumptions!$F$177,Assumptions!$F$191))+SUMIF('Phase II Pro Forma'!$F$5:$Z$5,'Official Summary'!M$7,'Phase II Pro Forma'!$F$117:$Z$117)*(Assumptions!$G$177/SUM(Assumptions!$G$177,Assumptions!$G$191))+SUMIF('Phase III Pro Forma'!$F$6:$Z$6,'Official Summary'!M$7,'Phase III Pro Forma'!$F$118:$Z$118)*(Assumptions!$H$177/SUM(Assumptions!$H$177,Assumptions!$H$191))</f>
        <v>0</v>
      </c>
      <c r="N87" s="126">
        <f>+SUMIF('Phase I Pro Forma'!$F$6:$Z$6,'Official Summary'!N$7,'Phase I Pro Forma'!$F$118:$Z$118)*(Assumptions!$F$177/SUM(Assumptions!$F$177,Assumptions!$F$191))+SUMIF('Phase II Pro Forma'!$F$5:$Z$5,'Official Summary'!N$7,'Phase II Pro Forma'!$F$117:$Z$117)*(Assumptions!$G$177/SUM(Assumptions!$G$177,Assumptions!$G$191))+SUMIF('Phase III Pro Forma'!$F$6:$Z$6,'Official Summary'!N$7,'Phase III Pro Forma'!$F$118:$Z$118)*(Assumptions!$H$177/SUM(Assumptions!$H$177,Assumptions!$H$191))</f>
        <v>0</v>
      </c>
    </row>
    <row r="88" spans="2:14" ht="19" customHeight="1">
      <c r="B88" s="907" t="s">
        <v>41</v>
      </c>
      <c r="C88" s="166"/>
      <c r="D88" s="904" t="s">
        <v>737</v>
      </c>
      <c r="E88" s="126">
        <f>+SUMIF('Phase I Pro Forma'!$F$6:$Z$6,'Official Summary'!E$7,'Phase I Pro Forma'!$F$118:$Z$118)*(Assumptions!$F$191/SUM(Assumptions!$F$177,Assumptions!$F$191))+SUMIF('Phase II Pro Forma'!$F$5:$Z$5,'Official Summary'!E$7,'Phase II Pro Forma'!$F$117:$Z$117)*(Assumptions!$G$191/SUM(Assumptions!$G$177,Assumptions!$G$191))+SUMIF('Phase III Pro Forma'!$F$6:$Z$6,'Official Summary'!E$7,'Phase III Pro Forma'!$F$118:$Z$118)*(Assumptions!$H$191/SUM(Assumptions!$H$177,Assumptions!$H$191))</f>
        <v>0</v>
      </c>
      <c r="F88" s="126">
        <f>+SUMIF('Phase I Pro Forma'!$F$6:$Z$6,'Official Summary'!F$7,'Phase I Pro Forma'!$F$118:$Z$118)*(Assumptions!$F$191/SUM(Assumptions!$F$177,Assumptions!$F$191))+SUMIF('Phase II Pro Forma'!$F$5:$Z$5,'Official Summary'!F$7,'Phase II Pro Forma'!$F$117:$Z$117)*(Assumptions!$G$191/SUM(Assumptions!$G$177,Assumptions!$G$191))+SUMIF('Phase III Pro Forma'!$F$6:$Z$6,'Official Summary'!F$7,'Phase III Pro Forma'!$F$118:$Z$118)*(Assumptions!$H$191/SUM(Assumptions!$H$177,Assumptions!$H$191))</f>
        <v>0</v>
      </c>
      <c r="G88" s="126">
        <f>+SUMIF('Phase I Pro Forma'!$F$6:$Z$6,'Official Summary'!G$7,'Phase I Pro Forma'!$F$118:$Z$118)*(Assumptions!$F$191/SUM(Assumptions!$F$177,Assumptions!$F$191))+SUMIF('Phase II Pro Forma'!$F$5:$Z$5,'Official Summary'!G$7,'Phase II Pro Forma'!$F$117:$Z$117)*(Assumptions!$G$191/SUM(Assumptions!$G$177,Assumptions!$G$191))+SUMIF('Phase III Pro Forma'!$F$6:$Z$6,'Official Summary'!G$7,'Phase III Pro Forma'!$F$118:$Z$118)*(Assumptions!$H$191/SUM(Assumptions!$H$177,Assumptions!$H$191))</f>
        <v>713.5</v>
      </c>
      <c r="H88" s="126">
        <f>+SUMIF('Phase I Pro Forma'!$F$6:$Z$6,'Official Summary'!H$7,'Phase I Pro Forma'!$F$118:$Z$118)*(Assumptions!$F$191/SUM(Assumptions!$F$177,Assumptions!$F$191))+SUMIF('Phase II Pro Forma'!$F$5:$Z$5,'Official Summary'!H$7,'Phase II Pro Forma'!$F$117:$Z$117)*(Assumptions!$G$191/SUM(Assumptions!$G$177,Assumptions!$G$191))+SUMIF('Phase III Pro Forma'!$F$6:$Z$6,'Official Summary'!H$7,'Phase III Pro Forma'!$F$118:$Z$118)*(Assumptions!$H$191/SUM(Assumptions!$H$177,Assumptions!$H$191))</f>
        <v>713.5</v>
      </c>
      <c r="I88" s="126">
        <f>+SUMIF('Phase I Pro Forma'!$F$6:$Z$6,'Official Summary'!I$7,'Phase I Pro Forma'!$F$118:$Z$118)*(Assumptions!$F$191/SUM(Assumptions!$F$177,Assumptions!$F$191))+SUMIF('Phase II Pro Forma'!$F$5:$Z$5,'Official Summary'!I$7,'Phase II Pro Forma'!$F$117:$Z$117)*(Assumptions!$G$191/SUM(Assumptions!$G$177,Assumptions!$G$191))+SUMIF('Phase III Pro Forma'!$F$6:$Z$6,'Official Summary'!I$7,'Phase III Pro Forma'!$F$118:$Z$118)*(Assumptions!$H$191/SUM(Assumptions!$H$177,Assumptions!$H$191))</f>
        <v>0</v>
      </c>
      <c r="J88" s="126">
        <f>+SUMIF('Phase I Pro Forma'!$F$6:$Z$6,'Official Summary'!J$7,'Phase I Pro Forma'!$F$118:$Z$118)*(Assumptions!$F$191/SUM(Assumptions!$F$177,Assumptions!$F$191))+SUMIF('Phase II Pro Forma'!$F$5:$Z$5,'Official Summary'!J$7,'Phase II Pro Forma'!$F$117:$Z$117)*(Assumptions!$G$191/SUM(Assumptions!$G$177,Assumptions!$G$191))+SUMIF('Phase III Pro Forma'!$F$6:$Z$6,'Official Summary'!J$7,'Phase III Pro Forma'!$F$118:$Z$118)*(Assumptions!$H$191/SUM(Assumptions!$H$177,Assumptions!$H$191))</f>
        <v>0</v>
      </c>
      <c r="K88" s="126">
        <f>+SUMIF('Phase I Pro Forma'!$F$6:$Z$6,'Official Summary'!K$7,'Phase I Pro Forma'!$F$118:$Z$118)*(Assumptions!$F$191/SUM(Assumptions!$F$177,Assumptions!$F$191))+SUMIF('Phase II Pro Forma'!$F$5:$Z$5,'Official Summary'!K$7,'Phase II Pro Forma'!$F$117:$Z$117)*(Assumptions!$G$191/SUM(Assumptions!$G$177,Assumptions!$G$191))+SUMIF('Phase III Pro Forma'!$F$6:$Z$6,'Official Summary'!K$7,'Phase III Pro Forma'!$F$118:$Z$118)*(Assumptions!$H$191/SUM(Assumptions!$H$177,Assumptions!$H$191))</f>
        <v>0</v>
      </c>
      <c r="L88" s="126">
        <f>+SUMIF('Phase I Pro Forma'!$F$6:$Z$6,'Official Summary'!L$7,'Phase I Pro Forma'!$F$118:$Z$118)*(Assumptions!$F$191/SUM(Assumptions!$F$177,Assumptions!$F$191))+SUMIF('Phase II Pro Forma'!$F$5:$Z$5,'Official Summary'!L$7,'Phase II Pro Forma'!$F$117:$Z$117)*(Assumptions!$G$191/SUM(Assumptions!$G$177,Assumptions!$G$191))+SUMIF('Phase III Pro Forma'!$F$6:$Z$6,'Official Summary'!L$7,'Phase III Pro Forma'!$F$118:$Z$118)*(Assumptions!$H$191/SUM(Assumptions!$H$177,Assumptions!$H$191))</f>
        <v>0</v>
      </c>
      <c r="M88" s="126">
        <f>+SUMIF('Phase I Pro Forma'!$F$6:$Z$6,'Official Summary'!M$7,'Phase I Pro Forma'!$F$118:$Z$118)*(Assumptions!$F$191/SUM(Assumptions!$F$177,Assumptions!$F$191))+SUMIF('Phase II Pro Forma'!$F$5:$Z$5,'Official Summary'!M$7,'Phase II Pro Forma'!$F$117:$Z$117)*(Assumptions!$G$191/SUM(Assumptions!$G$177,Assumptions!$G$191))+SUMIF('Phase III Pro Forma'!$F$6:$Z$6,'Official Summary'!M$7,'Phase III Pro Forma'!$F$118:$Z$118)*(Assumptions!$H$191/SUM(Assumptions!$H$177,Assumptions!$H$191))</f>
        <v>0</v>
      </c>
      <c r="N88" s="126">
        <f>+SUMIF('Phase I Pro Forma'!$F$6:$Z$6,'Official Summary'!N$7,'Phase I Pro Forma'!$F$118:$Z$118)*(Assumptions!$F$191/SUM(Assumptions!$F$177,Assumptions!$F$191))+SUMIF('Phase II Pro Forma'!$F$5:$Z$5,'Official Summary'!N$7,'Phase II Pro Forma'!$F$117:$Z$117)*(Assumptions!$G$191/SUM(Assumptions!$G$177,Assumptions!$G$191))+SUMIF('Phase III Pro Forma'!$F$6:$Z$6,'Official Summary'!N$7,'Phase III Pro Forma'!$F$118:$Z$118)*(Assumptions!$H$191/SUM(Assumptions!$H$177,Assumptions!$H$191))</f>
        <v>0</v>
      </c>
    </row>
    <row r="89" spans="2:14" ht="19" customHeight="1">
      <c r="B89" s="907" t="s">
        <v>698</v>
      </c>
      <c r="C89" s="166"/>
      <c r="D89" s="904" t="s">
        <v>737</v>
      </c>
      <c r="E89" s="126" t="s">
        <v>692</v>
      </c>
      <c r="F89" s="126" t="s">
        <v>692</v>
      </c>
      <c r="G89" s="126" t="s">
        <v>692</v>
      </c>
      <c r="H89" s="126" t="s">
        <v>692</v>
      </c>
      <c r="I89" s="126" t="s">
        <v>692</v>
      </c>
      <c r="J89" s="126" t="s">
        <v>692</v>
      </c>
      <c r="K89" s="126" t="s">
        <v>692</v>
      </c>
      <c r="L89" s="126" t="s">
        <v>692</v>
      </c>
      <c r="M89" s="126" t="s">
        <v>692</v>
      </c>
      <c r="N89" s="126" t="s">
        <v>692</v>
      </c>
    </row>
    <row r="90" spans="2:14" ht="19" customHeight="1">
      <c r="B90" s="179" t="s">
        <v>332</v>
      </c>
      <c r="C90" s="163"/>
      <c r="D90" s="904" t="s">
        <v>735</v>
      </c>
      <c r="E90" s="914" t="s">
        <v>692</v>
      </c>
      <c r="F90" s="914" t="s">
        <v>692</v>
      </c>
      <c r="G90" s="914" t="s">
        <v>692</v>
      </c>
      <c r="H90" s="914" t="s">
        <v>692</v>
      </c>
      <c r="I90" s="914" t="s">
        <v>692</v>
      </c>
      <c r="J90" s="914" t="s">
        <v>692</v>
      </c>
      <c r="K90" s="914" t="s">
        <v>692</v>
      </c>
      <c r="L90" s="914" t="s">
        <v>692</v>
      </c>
      <c r="M90" s="914" t="s">
        <v>692</v>
      </c>
      <c r="N90" s="914" t="s">
        <v>692</v>
      </c>
    </row>
    <row r="91" spans="2:14" ht="19" customHeight="1">
      <c r="B91" s="128" t="s">
        <v>738</v>
      </c>
      <c r="C91" s="128"/>
      <c r="D91" s="155"/>
      <c r="E91" s="129"/>
      <c r="F91" s="129"/>
      <c r="G91" s="129"/>
      <c r="H91" s="129"/>
      <c r="I91" s="129"/>
      <c r="J91" s="129"/>
      <c r="K91" s="129"/>
      <c r="L91" s="129"/>
      <c r="M91" s="156"/>
      <c r="N91" s="129"/>
    </row>
    <row r="92" spans="2:14" ht="19" customHeight="1">
      <c r="B92" s="136" t="s">
        <v>690</v>
      </c>
      <c r="C92" s="910"/>
      <c r="D92" s="904" t="s">
        <v>739</v>
      </c>
      <c r="E92" s="126">
        <f>+SUMIF('Phase I Pro Forma'!$F$6:$Z$6,'Official Summary'!E$7,'Phase I Pro Forma'!$F$31:$Z$31)+SUMIF('Phase II Pro Forma'!$F$5:$Z$5,'Official Summary'!E$7,'Phase II Pro Forma'!$F$30:$Z$30)+SUMIF('Phase III Pro Forma'!$F$6:$Z$6,'Official Summary'!E$7,'Phase III Pro Forma'!$F$31:$Z$31)</f>
        <v>0</v>
      </c>
      <c r="F92" s="126">
        <f>+SUMIF('Phase I Pro Forma'!$F$6:$Z$6,'Official Summary'!F$7,'Phase I Pro Forma'!$F$31:$Z$31)+SUMIF('Phase II Pro Forma'!$F$5:$Z$5,'Official Summary'!F$7,'Phase II Pro Forma'!$F$30:$Z$30)+SUMIF('Phase III Pro Forma'!$F$6:$Z$6,'Official Summary'!F$7,'Phase III Pro Forma'!$F$31:$Z$31)</f>
        <v>0</v>
      </c>
      <c r="G92" s="126">
        <f>+SUMIF('Phase I Pro Forma'!$F$6:$Z$6,'Official Summary'!G$7,'Phase I Pro Forma'!$F$31:$Z$31)+SUMIF('Phase II Pro Forma'!$F$5:$Z$5,'Official Summary'!G$7,'Phase II Pro Forma'!$F$30:$Z$30)+SUMIF('Phase III Pro Forma'!$F$6:$Z$6,'Official Summary'!G$7,'Phase III Pro Forma'!$F$31:$Z$31)</f>
        <v>19278</v>
      </c>
      <c r="H92" s="126">
        <f>+SUMIF('Phase I Pro Forma'!$F$6:$Z$6,'Official Summary'!H$7,'Phase I Pro Forma'!$F$31:$Z$31)+SUMIF('Phase II Pro Forma'!$F$5:$Z$5,'Official Summary'!H$7,'Phase II Pro Forma'!$F$30:$Z$30)+SUMIF('Phase III Pro Forma'!$F$6:$Z$6,'Official Summary'!H$7,'Phase III Pro Forma'!$F$31:$Z$31)</f>
        <v>165754.93008545224</v>
      </c>
      <c r="I92" s="126">
        <f>+SUMIF('Phase I Pro Forma'!$F$6:$Z$6,'Official Summary'!I$7,'Phase I Pro Forma'!$F$31:$Z$31)+SUMIF('Phase II Pro Forma'!$F$5:$Z$5,'Official Summary'!I$7,'Phase II Pro Forma'!$F$30:$Z$30)+SUMIF('Phase III Pro Forma'!$F$6:$Z$6,'Official Summary'!I$7,'Phase III Pro Forma'!$F$31:$Z$31)</f>
        <v>146476.93008545224</v>
      </c>
      <c r="J92" s="126">
        <f>+SUMIF('Phase I Pro Forma'!$F$6:$Z$6,'Official Summary'!J$7,'Phase I Pro Forma'!$F$31:$Z$31)+SUMIF('Phase II Pro Forma'!$F$5:$Z$5,'Official Summary'!J$7,'Phase II Pro Forma'!$F$30:$Z$30)+SUMIF('Phase III Pro Forma'!$F$6:$Z$6,'Official Summary'!J$7,'Phase III Pro Forma'!$F$31:$Z$31)</f>
        <v>214060.22475279859</v>
      </c>
      <c r="K92" s="126">
        <f>+SUMIF('Phase I Pro Forma'!$F$6:$Z$6,'Official Summary'!K$7,'Phase I Pro Forma'!$F$31:$Z$31)+SUMIF('Phase II Pro Forma'!$F$5:$Z$5,'Official Summary'!K$7,'Phase II Pro Forma'!$F$30:$Z$30)+SUMIF('Phase III Pro Forma'!$F$6:$Z$6,'Official Summary'!K$7,'Phase III Pro Forma'!$F$31:$Z$31)</f>
        <v>214060.22475279859</v>
      </c>
      <c r="L92" s="126">
        <f>+SUMIF('Phase I Pro Forma'!$F$6:$Z$6,'Official Summary'!L$7,'Phase I Pro Forma'!$F$31:$Z$31)+SUMIF('Phase II Pro Forma'!$F$5:$Z$5,'Official Summary'!L$7,'Phase II Pro Forma'!$F$30:$Z$30)+SUMIF('Phase III Pro Forma'!$F$6:$Z$6,'Official Summary'!L$7,'Phase III Pro Forma'!$F$31:$Z$31)</f>
        <v>0</v>
      </c>
      <c r="M92" s="126">
        <f>+SUMIF('Phase I Pro Forma'!$F$6:$Z$6,'Official Summary'!M$7,'Phase I Pro Forma'!$F$31:$Z$31)+SUMIF('Phase II Pro Forma'!$F$5:$Z$5,'Official Summary'!M$7,'Phase II Pro Forma'!$F$30:$Z$30)+SUMIF('Phase III Pro Forma'!$F$6:$Z$6,'Official Summary'!M$7,'Phase III Pro Forma'!$F$31:$Z$31)</f>
        <v>0</v>
      </c>
      <c r="N92" s="126">
        <f>+SUMIF('Phase I Pro Forma'!$F$6:$Z$6,'Official Summary'!N$7,'Phase I Pro Forma'!$F$31:$Z$31)+SUMIF('Phase II Pro Forma'!$F$5:$Z$5,'Official Summary'!N$7,'Phase II Pro Forma'!$F$30:$Z$30)+SUMIF('Phase III Pro Forma'!$F$6:$Z$6,'Official Summary'!N$7,'Phase III Pro Forma'!$F$31:$Z$31)</f>
        <v>0</v>
      </c>
    </row>
    <row r="93" spans="2:14" ht="19" customHeight="1">
      <c r="B93" s="136" t="s">
        <v>691</v>
      </c>
      <c r="C93" s="910"/>
      <c r="D93" s="904" t="s">
        <v>739</v>
      </c>
      <c r="E93" s="126" t="s">
        <v>692</v>
      </c>
      <c r="F93" s="126" t="s">
        <v>692</v>
      </c>
      <c r="G93" s="126" t="s">
        <v>692</v>
      </c>
      <c r="H93" s="126" t="s">
        <v>692</v>
      </c>
      <c r="I93" s="126" t="s">
        <v>692</v>
      </c>
      <c r="J93" s="126" t="s">
        <v>692</v>
      </c>
      <c r="K93" s="126" t="s">
        <v>692</v>
      </c>
      <c r="L93" s="126" t="s">
        <v>692</v>
      </c>
      <c r="M93" s="126" t="s">
        <v>692</v>
      </c>
      <c r="N93" s="126" t="s">
        <v>692</v>
      </c>
    </row>
    <row r="94" spans="2:14" ht="19" customHeight="1">
      <c r="B94" s="136" t="s">
        <v>693</v>
      </c>
      <c r="C94" s="910"/>
      <c r="D94" s="904" t="s">
        <v>739</v>
      </c>
      <c r="E94" s="126" t="s">
        <v>692</v>
      </c>
      <c r="F94" s="126" t="s">
        <v>692</v>
      </c>
      <c r="G94" s="126" t="s">
        <v>692</v>
      </c>
      <c r="H94" s="126" t="s">
        <v>692</v>
      </c>
      <c r="I94" s="126" t="s">
        <v>692</v>
      </c>
      <c r="J94" s="126" t="s">
        <v>692</v>
      </c>
      <c r="K94" s="126" t="s">
        <v>692</v>
      </c>
      <c r="L94" s="126" t="s">
        <v>692</v>
      </c>
      <c r="M94" s="126" t="s">
        <v>692</v>
      </c>
      <c r="N94" s="126" t="s">
        <v>692</v>
      </c>
    </row>
    <row r="95" spans="2:14" ht="19" customHeight="1">
      <c r="B95" s="136" t="s">
        <v>694</v>
      </c>
      <c r="C95" s="910"/>
      <c r="D95" s="904" t="s">
        <v>739</v>
      </c>
      <c r="E95" s="126">
        <f>+SUMIF('Phase I Pro Forma'!$F$6:$Z$6,'Official Summary'!E$7,'Phase I Pro Forma'!$F$8:$Z$8)+SUMIF('Phase II Pro Forma'!$F$5:$Z$5,'Official Summary'!E$7,'Phase II Pro Forma'!$F$7:$Z$7)+SUMIF('Phase III Pro Forma'!$F$6:$Z$6,'Official Summary'!E$7,'Phase III Pro Forma'!$F$8:$Z$8)</f>
        <v>0</v>
      </c>
      <c r="F95" s="126">
        <f>+SUMIF('Phase I Pro Forma'!$F$6:$Z$6,'Official Summary'!F$7,'Phase I Pro Forma'!$F$8:$Z$8)+SUMIF('Phase II Pro Forma'!$F$5:$Z$5,'Official Summary'!F$7,'Phase II Pro Forma'!$F$7:$Z$7)+SUMIF('Phase III Pro Forma'!$F$6:$Z$6,'Official Summary'!F$7,'Phase III Pro Forma'!$F$8:$Z$8)</f>
        <v>0</v>
      </c>
      <c r="G95" s="126">
        <f>+SUMIF('Phase I Pro Forma'!$F$6:$Z$6,'Official Summary'!G$7,'Phase I Pro Forma'!$F$8:$Z$8)+SUMIF('Phase II Pro Forma'!$F$5:$Z$5,'Official Summary'!G$7,'Phase II Pro Forma'!$F$7:$Z$7)+SUMIF('Phase III Pro Forma'!$F$6:$Z$6,'Official Summary'!G$7,'Phase III Pro Forma'!$F$8:$Z$8)</f>
        <v>12852.000000000002</v>
      </c>
      <c r="H95" s="126">
        <f>+SUMIF('Phase I Pro Forma'!$F$6:$Z$6,'Official Summary'!H$7,'Phase I Pro Forma'!$F$8:$Z$8)+SUMIF('Phase II Pro Forma'!$F$5:$Z$5,'Official Summary'!H$7,'Phase II Pro Forma'!$F$7:$Z$7)+SUMIF('Phase III Pro Forma'!$F$6:$Z$6,'Official Summary'!H$7,'Phase III Pro Forma'!$F$8:$Z$8)</f>
        <v>110503.56837619431</v>
      </c>
      <c r="I95" s="126">
        <f>+SUMIF('Phase I Pro Forma'!$F$6:$Z$6,'Official Summary'!I$7,'Phase I Pro Forma'!$F$8:$Z$8)+SUMIF('Phase II Pro Forma'!$F$5:$Z$5,'Official Summary'!I$7,'Phase II Pro Forma'!$F$7:$Z$7)+SUMIF('Phase III Pro Forma'!$F$6:$Z$6,'Official Summary'!I$7,'Phase III Pro Forma'!$F$8:$Z$8)</f>
        <v>97651.568376194307</v>
      </c>
      <c r="J95" s="126">
        <f>+SUMIF('Phase I Pro Forma'!$F$6:$Z$6,'Official Summary'!J$7,'Phase I Pro Forma'!$F$8:$Z$8)+SUMIF('Phase II Pro Forma'!$F$5:$Z$5,'Official Summary'!J$7,'Phase II Pro Forma'!$F$7:$Z$7)+SUMIF('Phase III Pro Forma'!$F$6:$Z$6,'Official Summary'!J$7,'Phase III Pro Forma'!$F$8:$Z$8)</f>
        <v>142707.09983519907</v>
      </c>
      <c r="K95" s="126">
        <f>+SUMIF('Phase I Pro Forma'!$F$6:$Z$6,'Official Summary'!K$7,'Phase I Pro Forma'!$F$8:$Z$8)+SUMIF('Phase II Pro Forma'!$F$5:$Z$5,'Official Summary'!K$7,'Phase II Pro Forma'!$F$7:$Z$7)+SUMIF('Phase III Pro Forma'!$F$6:$Z$6,'Official Summary'!K$7,'Phase III Pro Forma'!$F$8:$Z$8)</f>
        <v>142707.09983519907</v>
      </c>
      <c r="L95" s="126">
        <f>+SUMIF('Phase I Pro Forma'!$F$6:$Z$6,'Official Summary'!L$7,'Phase I Pro Forma'!$F$8:$Z$8)+SUMIF('Phase II Pro Forma'!$F$5:$Z$5,'Official Summary'!L$7,'Phase II Pro Forma'!$F$7:$Z$7)+SUMIF('Phase III Pro Forma'!$F$6:$Z$6,'Official Summary'!L$7,'Phase III Pro Forma'!$F$8:$Z$8)</f>
        <v>0</v>
      </c>
      <c r="M95" s="126">
        <f>+SUMIF('Phase I Pro Forma'!$F$6:$Z$6,'Official Summary'!M$7,'Phase I Pro Forma'!$F$8:$Z$8)+SUMIF('Phase II Pro Forma'!$F$5:$Z$5,'Official Summary'!M$7,'Phase II Pro Forma'!$F$7:$Z$7)+SUMIF('Phase III Pro Forma'!$F$6:$Z$6,'Official Summary'!M$7,'Phase III Pro Forma'!$F$8:$Z$8)</f>
        <v>0</v>
      </c>
      <c r="N95" s="126">
        <f>+SUMIF('Phase I Pro Forma'!$F$6:$Z$6,'Official Summary'!N$7,'Phase I Pro Forma'!$F$8:$Z$8)+SUMIF('Phase II Pro Forma'!$F$5:$Z$5,'Official Summary'!N$7,'Phase II Pro Forma'!$F$7:$Z$7)+SUMIF('Phase III Pro Forma'!$F$6:$Z$6,'Official Summary'!N$7,'Phase III Pro Forma'!$F$8:$Z$8)</f>
        <v>0</v>
      </c>
    </row>
    <row r="96" spans="2:14" ht="19" customHeight="1">
      <c r="B96" s="136" t="s">
        <v>695</v>
      </c>
      <c r="C96" s="906"/>
      <c r="D96" s="904" t="s">
        <v>739</v>
      </c>
      <c r="E96" s="126" t="s">
        <v>692</v>
      </c>
      <c r="F96" s="126" t="s">
        <v>692</v>
      </c>
      <c r="G96" s="126" t="s">
        <v>692</v>
      </c>
      <c r="H96" s="126" t="s">
        <v>692</v>
      </c>
      <c r="I96" s="126" t="s">
        <v>692</v>
      </c>
      <c r="J96" s="126" t="s">
        <v>692</v>
      </c>
      <c r="K96" s="126" t="s">
        <v>692</v>
      </c>
      <c r="L96" s="126" t="s">
        <v>692</v>
      </c>
      <c r="M96" s="126" t="s">
        <v>692</v>
      </c>
      <c r="N96" s="126" t="s">
        <v>692</v>
      </c>
    </row>
    <row r="97" spans="2:14" ht="19" customHeight="1">
      <c r="B97" s="907" t="s">
        <v>696</v>
      </c>
      <c r="C97" s="906"/>
      <c r="D97" s="904" t="s">
        <v>739</v>
      </c>
      <c r="E97" s="126">
        <f>+SUMIF('Phase I Pro Forma'!$F$6:$Z$6,'Official Summary'!E$7,'Phase I Pro Forma'!$F$96:$Z$96)+SUMIF('Phase II Pro Forma'!$F$5:$Z$5,'Official Summary'!E$7,'Phase II Pro Forma'!$F$95:$Z$95)+SUMIF('Phase III Pro Forma'!$F$6:$Z$6,'Official Summary'!E$7,'Phase III Pro Forma'!$F$96:$Z$96)</f>
        <v>0</v>
      </c>
      <c r="F97" s="126">
        <f>+SUMIF('Phase I Pro Forma'!$F$6:$Z$6,'Official Summary'!F$7,'Phase I Pro Forma'!$F$96:$Z$96)+SUMIF('Phase II Pro Forma'!$F$5:$Z$5,'Official Summary'!F$7,'Phase II Pro Forma'!$F$95:$Z$95)+SUMIF('Phase III Pro Forma'!$F$6:$Z$6,'Official Summary'!F$7,'Phase III Pro Forma'!$F$96:$Z$96)</f>
        <v>0</v>
      </c>
      <c r="G97" s="126">
        <f>+SUMIF('Phase I Pro Forma'!$F$6:$Z$6,'Official Summary'!G$7,'Phase I Pro Forma'!$F$96:$Z$96)+SUMIF('Phase II Pro Forma'!$F$5:$Z$5,'Official Summary'!G$7,'Phase II Pro Forma'!$F$95:$Z$95)+SUMIF('Phase III Pro Forma'!$F$6:$Z$6,'Official Summary'!G$7,'Phase III Pro Forma'!$F$96:$Z$96)</f>
        <v>140625</v>
      </c>
      <c r="H97" s="126">
        <f>+SUMIF('Phase I Pro Forma'!$F$6:$Z$6,'Official Summary'!H$7,'Phase I Pro Forma'!$F$96:$Z$96)+SUMIF('Phase II Pro Forma'!$F$5:$Z$5,'Official Summary'!H$7,'Phase II Pro Forma'!$F$95:$Z$95)+SUMIF('Phase III Pro Forma'!$F$6:$Z$6,'Official Summary'!H$7,'Phase III Pro Forma'!$F$96:$Z$96)</f>
        <v>281250</v>
      </c>
      <c r="I97" s="126">
        <f>+SUMIF('Phase I Pro Forma'!$F$6:$Z$6,'Official Summary'!I$7,'Phase I Pro Forma'!$F$96:$Z$96)+SUMIF('Phase II Pro Forma'!$F$5:$Z$5,'Official Summary'!I$7,'Phase II Pro Forma'!$F$95:$Z$95)+SUMIF('Phase III Pro Forma'!$F$6:$Z$6,'Official Summary'!I$7,'Phase III Pro Forma'!$F$96:$Z$96)</f>
        <v>140625</v>
      </c>
      <c r="J97" s="126">
        <f>+SUMIF('Phase I Pro Forma'!$F$6:$Z$6,'Official Summary'!J$7,'Phase I Pro Forma'!$F$96:$Z$96)+SUMIF('Phase II Pro Forma'!$F$5:$Z$5,'Official Summary'!J$7,'Phase II Pro Forma'!$F$95:$Z$95)+SUMIF('Phase III Pro Forma'!$F$6:$Z$6,'Official Summary'!J$7,'Phase III Pro Forma'!$F$96:$Z$96)</f>
        <v>0</v>
      </c>
      <c r="K97" s="126">
        <f>+SUMIF('Phase I Pro Forma'!$F$6:$Z$6,'Official Summary'!K$7,'Phase I Pro Forma'!$F$96:$Z$96)+SUMIF('Phase II Pro Forma'!$F$5:$Z$5,'Official Summary'!K$7,'Phase II Pro Forma'!$F$95:$Z$95)+SUMIF('Phase III Pro Forma'!$F$6:$Z$6,'Official Summary'!K$7,'Phase III Pro Forma'!$F$96:$Z$96)</f>
        <v>0</v>
      </c>
      <c r="L97" s="126">
        <f>+SUMIF('Phase I Pro Forma'!$F$6:$Z$6,'Official Summary'!L$7,'Phase I Pro Forma'!$F$96:$Z$96)+SUMIF('Phase II Pro Forma'!$F$5:$Z$5,'Official Summary'!L$7,'Phase II Pro Forma'!$F$95:$Z$95)+SUMIF('Phase III Pro Forma'!$F$6:$Z$6,'Official Summary'!L$7,'Phase III Pro Forma'!$F$96:$Z$96)</f>
        <v>0</v>
      </c>
      <c r="M97" s="126">
        <f>+SUMIF('Phase I Pro Forma'!$F$6:$Z$6,'Official Summary'!M$7,'Phase I Pro Forma'!$F$96:$Z$96)+SUMIF('Phase II Pro Forma'!$F$5:$Z$5,'Official Summary'!M$7,'Phase II Pro Forma'!$F$95:$Z$95)+SUMIF('Phase III Pro Forma'!$F$6:$Z$6,'Official Summary'!M$7,'Phase III Pro Forma'!$F$96:$Z$96)</f>
        <v>0</v>
      </c>
      <c r="N97" s="126">
        <f>+SUMIF('Phase I Pro Forma'!$F$6:$Z$6,'Official Summary'!N$7,'Phase I Pro Forma'!$F$96:$Z$96)+SUMIF('Phase II Pro Forma'!$F$5:$Z$5,'Official Summary'!N$7,'Phase II Pro Forma'!$F$95:$Z$95)+SUMIF('Phase III Pro Forma'!$F$6:$Z$6,'Official Summary'!N$7,'Phase III Pro Forma'!$F$96:$Z$96)</f>
        <v>0</v>
      </c>
    </row>
    <row r="98" spans="2:14" ht="19" customHeight="1">
      <c r="B98" s="907" t="s">
        <v>29</v>
      </c>
      <c r="C98" s="910"/>
      <c r="D98" s="904" t="s">
        <v>739</v>
      </c>
      <c r="E98" s="126">
        <f>+SUMIF('Phase I Pro Forma'!$F$6:$Z$6,'Official Summary'!E$7,'Phase I Pro Forma'!$F$54:$Z$54)+SUMIF('Phase II Pro Forma'!$F$5:$Z$5,'Official Summary'!E$7,'Phase II Pro Forma'!$F$53:$Z$53)+SUMIF('Phase III Pro Forma'!$F$6:$Z$6,'Official Summary'!E$7,'Phase III Pro Forma'!$F$54:$Z$54)</f>
        <v>0</v>
      </c>
      <c r="F98" s="126">
        <f>+SUMIF('Phase I Pro Forma'!$F$6:$Z$6,'Official Summary'!F$7,'Phase I Pro Forma'!$F$54:$Z$54)+SUMIF('Phase II Pro Forma'!$F$5:$Z$5,'Official Summary'!F$7,'Phase II Pro Forma'!$F$53:$Z$53)+SUMIF('Phase III Pro Forma'!$F$6:$Z$6,'Official Summary'!F$7,'Phase III Pro Forma'!$F$54:$Z$54)</f>
        <v>0</v>
      </c>
      <c r="G98" s="126">
        <f>+SUMIF('Phase I Pro Forma'!$F$6:$Z$6,'Official Summary'!G$7,'Phase I Pro Forma'!$F$54:$Z$54)+SUMIF('Phase II Pro Forma'!$F$5:$Z$5,'Official Summary'!G$7,'Phase II Pro Forma'!$F$53:$Z$53)+SUMIF('Phase III Pro Forma'!$F$6:$Z$6,'Official Summary'!G$7,'Phase III Pro Forma'!$F$54:$Z$54)</f>
        <v>60736.700000000004</v>
      </c>
      <c r="H98" s="126">
        <f>+SUMIF('Phase I Pro Forma'!$F$6:$Z$6,'Official Summary'!H$7,'Phase I Pro Forma'!$F$54:$Z$54)+SUMIF('Phase II Pro Forma'!$F$5:$Z$5,'Official Summary'!H$7,'Phase II Pro Forma'!$F$53:$Z$53)+SUMIF('Phase III Pro Forma'!$F$6:$Z$6,'Official Summary'!H$7,'Phase III Pro Forma'!$F$54:$Z$54)</f>
        <v>114612.05</v>
      </c>
      <c r="I98" s="126">
        <f>+SUMIF('Phase I Pro Forma'!$F$6:$Z$6,'Official Summary'!I$7,'Phase I Pro Forma'!$F$54:$Z$54)+SUMIF('Phase II Pro Forma'!$F$5:$Z$5,'Official Summary'!I$7,'Phase II Pro Forma'!$F$53:$Z$53)+SUMIF('Phase III Pro Forma'!$F$6:$Z$6,'Official Summary'!I$7,'Phase III Pro Forma'!$F$54:$Z$54)</f>
        <v>53875.35</v>
      </c>
      <c r="J98" s="126">
        <f>+SUMIF('Phase I Pro Forma'!$F$6:$Z$6,'Official Summary'!J$7,'Phase I Pro Forma'!$F$54:$Z$54)+SUMIF('Phase II Pro Forma'!$F$5:$Z$5,'Official Summary'!J$7,'Phase II Pro Forma'!$F$53:$Z$53)+SUMIF('Phase III Pro Forma'!$F$6:$Z$6,'Official Summary'!J$7,'Phase III Pro Forma'!$F$54:$Z$54)</f>
        <v>29737.8</v>
      </c>
      <c r="K98" s="126">
        <f>+SUMIF('Phase I Pro Forma'!$F$6:$Z$6,'Official Summary'!K$7,'Phase I Pro Forma'!$F$54:$Z$54)+SUMIF('Phase II Pro Forma'!$F$5:$Z$5,'Official Summary'!K$7,'Phase II Pro Forma'!$F$53:$Z$53)+SUMIF('Phase III Pro Forma'!$F$6:$Z$6,'Official Summary'!K$7,'Phase III Pro Forma'!$F$54:$Z$54)</f>
        <v>29737.8</v>
      </c>
      <c r="L98" s="126">
        <f>+SUMIF('Phase I Pro Forma'!$F$6:$Z$6,'Official Summary'!L$7,'Phase I Pro Forma'!$F$54:$Z$54)+SUMIF('Phase II Pro Forma'!$F$5:$Z$5,'Official Summary'!L$7,'Phase II Pro Forma'!$F$53:$Z$53)+SUMIF('Phase III Pro Forma'!$F$6:$Z$6,'Official Summary'!L$7,'Phase III Pro Forma'!$F$54:$Z$54)</f>
        <v>0</v>
      </c>
      <c r="M98" s="126">
        <f>+SUMIF('Phase I Pro Forma'!$F$6:$Z$6,'Official Summary'!M$7,'Phase I Pro Forma'!$F$54:$Z$54)+SUMIF('Phase II Pro Forma'!$F$5:$Z$5,'Official Summary'!M$7,'Phase II Pro Forma'!$F$53:$Z$53)+SUMIF('Phase III Pro Forma'!$F$6:$Z$6,'Official Summary'!M$7,'Phase III Pro Forma'!$F$54:$Z$54)</f>
        <v>0</v>
      </c>
      <c r="N98" s="126">
        <f>+SUMIF('Phase I Pro Forma'!$F$6:$Z$6,'Official Summary'!N$7,'Phase I Pro Forma'!$F$54:$Z$54)+SUMIF('Phase II Pro Forma'!$F$5:$Z$5,'Official Summary'!N$7,'Phase II Pro Forma'!$F$53:$Z$53)+SUMIF('Phase III Pro Forma'!$F$6:$Z$6,'Official Summary'!N$7,'Phase III Pro Forma'!$F$54:$Z$54)</f>
        <v>0</v>
      </c>
    </row>
    <row r="99" spans="2:14" ht="19" customHeight="1">
      <c r="B99" s="907" t="s">
        <v>143</v>
      </c>
      <c r="C99" s="906"/>
      <c r="D99" s="904" t="s">
        <v>739</v>
      </c>
      <c r="E99" s="126">
        <f>+SUMIF('Phase I Pro Forma'!$F$6:$Z$6,'Official Summary'!E$7,'Phase I Pro Forma'!$F$75:$Z$75)+SUMIF('Phase II Pro Forma'!$F$5:$Z$5,'Official Summary'!E$7,'Phase II Pro Forma'!$F$74:$Z$74)+SUMIF('Phase III Pro Forma'!$F$6:$Z$6,'Official Summary'!E$7,'Phase III Pro Forma'!$F$75:$Z$75)</f>
        <v>0</v>
      </c>
      <c r="F99" s="126">
        <f>+SUMIF('Phase I Pro Forma'!$F$6:$Z$6,'Official Summary'!F$7,'Phase I Pro Forma'!$F$75:$Z$75)+SUMIF('Phase II Pro Forma'!$F$5:$Z$5,'Official Summary'!F$7,'Phase II Pro Forma'!$F$74:$Z$74)+SUMIF('Phase III Pro Forma'!$F$6:$Z$6,'Official Summary'!F$7,'Phase III Pro Forma'!$F$75:$Z$75)</f>
        <v>0</v>
      </c>
      <c r="G99" s="126">
        <v>125425</v>
      </c>
      <c r="H99" s="126">
        <v>0</v>
      </c>
      <c r="I99" s="126">
        <f>+SUMIF('Phase I Pro Forma'!$F$6:$Z$6,'Official Summary'!I$7,'Phase I Pro Forma'!$F$75:$Z$75)+SUMIF('Phase II Pro Forma'!$F$5:$Z$5,'Official Summary'!I$7,'Phase II Pro Forma'!$F$74:$Z$74)+SUMIF('Phase III Pro Forma'!$F$6:$Z$6,'Official Summary'!I$7,'Phase III Pro Forma'!$F$75:$Z$75)</f>
        <v>5.0000000000000002E-5</v>
      </c>
      <c r="J99" s="126">
        <f>+SUMIF('Phase I Pro Forma'!$F$6:$Z$6,'Official Summary'!J$7,'Phase I Pro Forma'!$F$75:$Z$75)+SUMIF('Phase II Pro Forma'!$F$5:$Z$5,'Official Summary'!J$7,'Phase II Pro Forma'!$F$74:$Z$74)+SUMIF('Phase III Pro Forma'!$F$6:$Z$6,'Official Summary'!J$7,'Phase III Pro Forma'!$F$75:$Z$75)</f>
        <v>0</v>
      </c>
      <c r="K99" s="126">
        <f>+SUMIF('Phase I Pro Forma'!$F$6:$Z$6,'Official Summary'!K$7,'Phase I Pro Forma'!$F$75:$Z$75)+SUMIF('Phase II Pro Forma'!$F$5:$Z$5,'Official Summary'!K$7,'Phase II Pro Forma'!$F$74:$Z$74)+SUMIF('Phase III Pro Forma'!$F$6:$Z$6,'Official Summary'!K$7,'Phase III Pro Forma'!$F$75:$Z$75)</f>
        <v>0</v>
      </c>
      <c r="L99" s="126">
        <f>+SUMIF('Phase I Pro Forma'!$F$6:$Z$6,'Official Summary'!L$7,'Phase I Pro Forma'!$F$75:$Z$75)+SUMIF('Phase II Pro Forma'!$F$5:$Z$5,'Official Summary'!L$7,'Phase II Pro Forma'!$F$74:$Z$74)+SUMIF('Phase III Pro Forma'!$F$6:$Z$6,'Official Summary'!L$7,'Phase III Pro Forma'!$F$75:$Z$75)</f>
        <v>0</v>
      </c>
      <c r="M99" s="126">
        <f>+SUMIF('Phase I Pro Forma'!$F$6:$Z$6,'Official Summary'!M$7,'Phase I Pro Forma'!$F$75:$Z$75)+SUMIF('Phase II Pro Forma'!$F$5:$Z$5,'Official Summary'!M$7,'Phase II Pro Forma'!$F$74:$Z$74)+SUMIF('Phase III Pro Forma'!$F$6:$Z$6,'Official Summary'!M$7,'Phase III Pro Forma'!$F$75:$Z$75)</f>
        <v>0</v>
      </c>
      <c r="N99" s="126">
        <f>+SUMIF('Phase I Pro Forma'!$F$6:$Z$6,'Official Summary'!N$7,'Phase I Pro Forma'!$F$75:$Z$75)+SUMIF('Phase II Pro Forma'!$F$5:$Z$5,'Official Summary'!N$7,'Phase II Pro Forma'!$F$74:$Z$74)+SUMIF('Phase III Pro Forma'!$F$6:$Z$6,'Official Summary'!N$7,'Phase III Pro Forma'!$F$75:$Z$75)</f>
        <v>0</v>
      </c>
    </row>
    <row r="100" spans="2:14" ht="19" customHeight="1">
      <c r="B100" s="907" t="s">
        <v>31</v>
      </c>
      <c r="C100" s="906"/>
      <c r="D100" s="904" t="s">
        <v>739</v>
      </c>
      <c r="E100" s="126">
        <f>+E86*Assumptions!$E$94</f>
        <v>0</v>
      </c>
      <c r="F100" s="126">
        <f>+F86*Assumptions!$E$94</f>
        <v>0</v>
      </c>
      <c r="G100" s="126">
        <v>79526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</row>
    <row r="101" spans="2:14" ht="19" customHeight="1">
      <c r="B101" s="907" t="s">
        <v>697</v>
      </c>
      <c r="C101" s="906"/>
      <c r="D101" s="904" t="s">
        <v>739</v>
      </c>
      <c r="E101" s="126">
        <f>+E87*Assumptions!$F$178</f>
        <v>0</v>
      </c>
      <c r="F101" s="126">
        <f>+F87*Assumptions!$F$178</f>
        <v>0</v>
      </c>
      <c r="G101" s="126">
        <f>+G87*Assumptions!$F$178</f>
        <v>189566.99999999997</v>
      </c>
      <c r="H101" s="126">
        <f>+H87*Assumptions!$F$178</f>
        <v>242280.99999999997</v>
      </c>
      <c r="I101" s="126">
        <f>+I87*Assumptions!$F$178</f>
        <v>52714</v>
      </c>
      <c r="J101" s="126">
        <f>+J87*Assumptions!$F$178</f>
        <v>99022</v>
      </c>
      <c r="K101" s="126">
        <f>+K87*Assumptions!$F$178</f>
        <v>99022</v>
      </c>
      <c r="L101" s="126">
        <f>+L87*Assumptions!$F$178</f>
        <v>0</v>
      </c>
      <c r="M101" s="126">
        <f>+M87*Assumptions!$F$178</f>
        <v>0</v>
      </c>
      <c r="N101" s="126">
        <f>+N87*Assumptions!$F$178</f>
        <v>0</v>
      </c>
    </row>
    <row r="102" spans="2:14" ht="19" customHeight="1">
      <c r="B102" s="907" t="s">
        <v>41</v>
      </c>
      <c r="C102" s="910"/>
      <c r="D102" s="904" t="s">
        <v>739</v>
      </c>
      <c r="E102" s="126">
        <f>+E88*Assumptions!$F$178</f>
        <v>0</v>
      </c>
      <c r="F102" s="126">
        <f>+F88*Assumptions!$F$178</f>
        <v>0</v>
      </c>
      <c r="G102" s="126">
        <f>+G88*Assumptions!$F$178</f>
        <v>178375</v>
      </c>
      <c r="H102" s="126">
        <f>+H88*Assumptions!$F$178</f>
        <v>178375</v>
      </c>
      <c r="I102" s="126">
        <f>+I88*Assumptions!$F$178</f>
        <v>0</v>
      </c>
      <c r="J102" s="126">
        <f>+J88*Assumptions!$F$178</f>
        <v>0</v>
      </c>
      <c r="K102" s="126">
        <f>+K88*Assumptions!$F$178</f>
        <v>0</v>
      </c>
      <c r="L102" s="126">
        <f>+L88*Assumptions!$F$178</f>
        <v>0</v>
      </c>
      <c r="M102" s="126">
        <f>+M88*Assumptions!$F$178</f>
        <v>0</v>
      </c>
      <c r="N102" s="126">
        <f>+N88*Assumptions!$F$178</f>
        <v>0</v>
      </c>
    </row>
    <row r="103" spans="2:14" ht="19" customHeight="1">
      <c r="B103" s="907" t="s">
        <v>698</v>
      </c>
      <c r="C103" s="910"/>
      <c r="D103" s="904" t="s">
        <v>739</v>
      </c>
      <c r="E103" s="126" t="s">
        <v>692</v>
      </c>
      <c r="F103" s="126" t="s">
        <v>692</v>
      </c>
      <c r="G103" s="126" t="s">
        <v>692</v>
      </c>
      <c r="H103" s="126" t="s">
        <v>692</v>
      </c>
      <c r="I103" s="126" t="s">
        <v>692</v>
      </c>
      <c r="J103" s="126" t="s">
        <v>692</v>
      </c>
      <c r="K103" s="126" t="s">
        <v>692</v>
      </c>
      <c r="L103" s="126" t="s">
        <v>692</v>
      </c>
      <c r="M103" s="126" t="s">
        <v>692</v>
      </c>
      <c r="N103" s="126" t="s">
        <v>692</v>
      </c>
    </row>
    <row r="104" spans="2:14" ht="19" customHeight="1">
      <c r="B104" s="179" t="s">
        <v>37</v>
      </c>
      <c r="C104" s="906"/>
      <c r="D104" s="904" t="s">
        <v>739</v>
      </c>
      <c r="E104" s="126">
        <v>0</v>
      </c>
      <c r="F104" s="126">
        <v>0</v>
      </c>
      <c r="G104" s="126">
        <v>37784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</row>
    <row r="105" spans="2:14" ht="19" customHeight="1">
      <c r="B105" s="459" t="s">
        <v>210</v>
      </c>
      <c r="C105" s="457"/>
      <c r="D105" s="458" t="s">
        <v>739</v>
      </c>
      <c r="E105" s="458">
        <f t="shared" ref="E105:N105" si="18">+SUM(E92:E104)</f>
        <v>0</v>
      </c>
      <c r="F105" s="458">
        <f t="shared" si="18"/>
        <v>0</v>
      </c>
      <c r="G105" s="458">
        <f t="shared" si="18"/>
        <v>844168.7</v>
      </c>
      <c r="H105" s="458">
        <f t="shared" si="18"/>
        <v>1092776.5484616465</v>
      </c>
      <c r="I105" s="458">
        <f t="shared" si="18"/>
        <v>491342.8485116465</v>
      </c>
      <c r="J105" s="458">
        <f t="shared" si="18"/>
        <v>485527.12458799762</v>
      </c>
      <c r="K105" s="458">
        <f t="shared" si="18"/>
        <v>485527.12458799762</v>
      </c>
      <c r="L105" s="458">
        <f t="shared" si="18"/>
        <v>0</v>
      </c>
      <c r="M105" s="458">
        <f t="shared" si="18"/>
        <v>0</v>
      </c>
      <c r="N105" s="458">
        <f t="shared" si="18"/>
        <v>0</v>
      </c>
    </row>
    <row r="106" spans="2:14" ht="19" customHeight="1">
      <c r="B106" s="992" t="s">
        <v>740</v>
      </c>
      <c r="C106" s="992"/>
      <c r="D106" s="992"/>
      <c r="E106" s="992"/>
      <c r="F106" s="992"/>
      <c r="G106" s="992"/>
      <c r="H106" s="992"/>
      <c r="I106" s="992"/>
      <c r="J106" s="992"/>
      <c r="K106" s="992"/>
      <c r="L106" s="992"/>
      <c r="M106" s="992"/>
      <c r="N106" s="992"/>
    </row>
    <row r="107" spans="2:14" ht="19" customHeight="1">
      <c r="D107" s="900"/>
    </row>
    <row r="108" spans="2:14" s="259" customFormat="1" ht="19" customHeight="1">
      <c r="B108" s="440" t="s">
        <v>741</v>
      </c>
      <c r="C108" s="441"/>
      <c r="D108" s="441"/>
      <c r="E108" s="440"/>
      <c r="F108" s="442"/>
      <c r="G108" s="440"/>
      <c r="H108" s="120"/>
      <c r="I108" s="440" t="s">
        <v>742</v>
      </c>
      <c r="J108" s="441"/>
      <c r="K108" s="441"/>
      <c r="L108" s="440"/>
      <c r="M108" s="442"/>
      <c r="N108" s="440"/>
    </row>
    <row r="109" spans="2:14" s="398" customFormat="1" ht="19" customHeight="1">
      <c r="B109" s="181" t="s">
        <v>705</v>
      </c>
      <c r="C109" s="991" t="s">
        <v>743</v>
      </c>
      <c r="D109" s="991"/>
      <c r="E109" s="991" t="s">
        <v>744</v>
      </c>
      <c r="F109" s="991"/>
      <c r="G109" s="902" t="s">
        <v>745</v>
      </c>
      <c r="H109" s="121"/>
      <c r="I109" s="989"/>
      <c r="J109" s="990"/>
      <c r="K109" s="990"/>
      <c r="L109" s="991" t="s">
        <v>177</v>
      </c>
      <c r="M109" s="991"/>
      <c r="N109" s="122"/>
    </row>
    <row r="110" spans="2:14" ht="19" customHeight="1" thickBot="1">
      <c r="B110" s="136" t="s">
        <v>690</v>
      </c>
      <c r="C110" s="963" t="str">
        <f ca="1">+CONCATENATE(TEXT(Budget!$N$89,"$0,000")," pu"," / ",TEXT(Budget!$N$87,"$0.0")," pgsf")</f>
        <v>$304,010 pu / $216.2 pgsf</v>
      </c>
      <c r="D110" s="963"/>
      <c r="E110" s="963" t="str">
        <f ca="1">+CONCATENATE(TEXT(Budget!$N$88,"$0,000")," pu"," / ",TEXT(Budget!$N$86,"$0.0")," pgsf")</f>
        <v>$385,795 pu / $274.3 pgsf</v>
      </c>
      <c r="F110" s="963"/>
      <c r="G110" s="182">
        <f ca="1">+Budget!N83</f>
        <v>417606529.5285511</v>
      </c>
      <c r="I110" s="192" t="s">
        <v>746</v>
      </c>
      <c r="J110" s="193"/>
      <c r="K110" s="958" t="s">
        <v>747</v>
      </c>
      <c r="L110" s="958"/>
      <c r="M110" s="958" t="s">
        <v>748</v>
      </c>
      <c r="N110" s="958"/>
    </row>
    <row r="111" spans="2:14" ht="19" customHeight="1">
      <c r="B111" s="136" t="s">
        <v>691</v>
      </c>
      <c r="C111" s="964" t="s">
        <v>692</v>
      </c>
      <c r="D111" s="964"/>
      <c r="E111" s="964" t="s">
        <v>692</v>
      </c>
      <c r="F111" s="964"/>
      <c r="G111" s="909" t="s">
        <v>692</v>
      </c>
      <c r="I111" s="120" t="s">
        <v>251</v>
      </c>
      <c r="J111" s="906"/>
      <c r="K111" s="956">
        <v>528521068</v>
      </c>
      <c r="L111" s="957"/>
      <c r="M111" s="956">
        <v>141543902</v>
      </c>
      <c r="N111" s="957"/>
    </row>
    <row r="112" spans="2:14" ht="19" customHeight="1">
      <c r="B112" s="136" t="s">
        <v>693</v>
      </c>
      <c r="C112" s="964" t="s">
        <v>692</v>
      </c>
      <c r="D112" s="964"/>
      <c r="E112" s="964" t="s">
        <v>692</v>
      </c>
      <c r="F112" s="964"/>
      <c r="G112" s="909" t="s">
        <v>692</v>
      </c>
      <c r="I112" s="165"/>
      <c r="J112" s="906"/>
      <c r="K112" s="906"/>
      <c r="L112" s="191"/>
      <c r="M112" s="910"/>
      <c r="N112" s="910"/>
    </row>
    <row r="113" spans="2:14" ht="19" customHeight="1">
      <c r="B113" s="136" t="s">
        <v>694</v>
      </c>
      <c r="C113" s="960" t="str">
        <f ca="1">+CONCATENATE(TEXT(Budget!$M$89,"$0,000")," pu"," / ",TEXT(Budget!$M$87,"$0.0")," pgsf")</f>
        <v>$304,060 pu / $216.2 pgsf</v>
      </c>
      <c r="D113" s="960"/>
      <c r="E113" s="960" t="str">
        <f ca="1">+CONCATENATE(TEXT(Budget!$M$88,"$0,000")," pu"," / ",TEXT(Budget!$M$86,"$0.0")," pgsf")</f>
        <v>$381,355 pu / $271.1 pgsf</v>
      </c>
      <c r="F113" s="960"/>
      <c r="G113" s="905">
        <f ca="1">+Budget!M83</f>
        <v>275201146.63070071</v>
      </c>
      <c r="I113" s="120"/>
      <c r="J113" s="906"/>
      <c r="K113" s="906"/>
      <c r="L113" s="906"/>
      <c r="M113" s="906"/>
      <c r="N113" s="910"/>
    </row>
    <row r="114" spans="2:14" ht="19" customHeight="1">
      <c r="B114" s="136" t="s">
        <v>695</v>
      </c>
      <c r="C114" s="964" t="s">
        <v>692</v>
      </c>
      <c r="D114" s="964"/>
      <c r="E114" s="964" t="s">
        <v>692</v>
      </c>
      <c r="F114" s="964"/>
      <c r="G114" s="909" t="s">
        <v>692</v>
      </c>
      <c r="I114" s="120"/>
      <c r="J114" s="906"/>
      <c r="K114" s="906"/>
      <c r="L114" s="906"/>
      <c r="M114" s="906"/>
      <c r="N114" s="910"/>
    </row>
    <row r="115" spans="2:14" ht="19" customHeight="1">
      <c r="B115" s="136" t="s">
        <v>696</v>
      </c>
      <c r="C115" s="959">
        <f ca="1">+Budget!$R$87</f>
        <v>176.57145355450623</v>
      </c>
      <c r="D115" s="959"/>
      <c r="E115" s="959">
        <f ca="1">+Budget!$R$86</f>
        <v>278.8378429642861</v>
      </c>
      <c r="F115" s="959"/>
      <c r="G115" s="905">
        <f ca="1">+Budget!R83</f>
        <v>174273651.85267881</v>
      </c>
      <c r="I115" s="190"/>
      <c r="J115" s="163"/>
      <c r="K115" s="163"/>
      <c r="L115" s="163"/>
      <c r="M115" s="163"/>
      <c r="N115" s="164"/>
    </row>
    <row r="116" spans="2:14" ht="19" customHeight="1" thickBot="1">
      <c r="B116" s="136" t="s">
        <v>749</v>
      </c>
      <c r="C116" s="959">
        <f ca="1">+SUM(Budget!$O$46,Budget!$Q$46)/SUM(Budget!$O$12:$O$20,Budget!$Q$12:$Q$20)</f>
        <v>134.20801797962099</v>
      </c>
      <c r="D116" s="959"/>
      <c r="E116" s="959">
        <f ca="1">+SUM(Budget!$O$83,Budget!$Q$83)/SUM(Budget!$O$12:$O$20,Budget!$Q$12:$Q$20)</f>
        <v>223.62068602891608</v>
      </c>
      <c r="F116" s="959"/>
      <c r="G116" s="905">
        <f ca="1">+SUM(Budget!Q83,Budget!O83)</f>
        <v>98999784.773919523</v>
      </c>
      <c r="I116" s="192" t="s">
        <v>750</v>
      </c>
      <c r="J116" s="193"/>
      <c r="K116" s="958" t="s">
        <v>747</v>
      </c>
      <c r="L116" s="958"/>
      <c r="M116" s="958" t="s">
        <v>748</v>
      </c>
      <c r="N116" s="958"/>
    </row>
    <row r="117" spans="2:14" ht="19" customHeight="1">
      <c r="B117" s="136" t="s">
        <v>31</v>
      </c>
      <c r="C117" s="959">
        <f ca="1">+Budget!$P$87</f>
        <v>184.89174710901247</v>
      </c>
      <c r="D117" s="959"/>
      <c r="E117" s="960" t="str">
        <f ca="1">+CONCATENATE(TEXT(Budget!$P$88,"$0,000")," pu"," / ",TEXT(Budget!$P$86,"$0.0")," pgsf")</f>
        <v>$149,843 pu / $281.0 pgsf</v>
      </c>
      <c r="F117" s="960"/>
      <c r="G117" s="905">
        <f ca="1">+Budget!P83</f>
        <v>19370445.585821975</v>
      </c>
      <c r="I117" s="120" t="s">
        <v>751</v>
      </c>
      <c r="J117" s="906"/>
      <c r="K117" s="956">
        <v>366703111</v>
      </c>
      <c r="L117" s="957"/>
      <c r="M117" s="956">
        <v>0</v>
      </c>
      <c r="N117" s="957"/>
    </row>
    <row r="118" spans="2:14" ht="19" customHeight="1">
      <c r="B118" s="136" t="s">
        <v>697</v>
      </c>
      <c r="C118" s="960" t="str">
        <f ca="1">+CONCATENATE(TEXT(Budget!$T$89,"$0,000")," per space"," / ",TEXT(Budget!$T$87,"$0.0")," pgsf")</f>
        <v>$13,557 per space / $54.2 pgsf</v>
      </c>
      <c r="D118" s="960"/>
      <c r="E118" s="960" t="str">
        <f ca="1">+CONCATENATE(TEXT(Budget!$T$88,"$0,000")," per space"," / ",TEXT(Budget!$T$86,"$0.0")," pgsf")</f>
        <v>$30,518 per space / $122.1 pgsf</v>
      </c>
      <c r="F118" s="960"/>
      <c r="G118" s="905">
        <f ca="1">+Budget!T83</f>
        <v>83327703.823234096</v>
      </c>
      <c r="I118" s="120" t="s">
        <v>216</v>
      </c>
      <c r="J118" s="906"/>
      <c r="K118" s="956">
        <v>0</v>
      </c>
      <c r="L118" s="957"/>
      <c r="M118" s="956">
        <v>778822169</v>
      </c>
      <c r="N118" s="957"/>
    </row>
    <row r="119" spans="2:14" ht="19" customHeight="1">
      <c r="B119" s="136" t="s">
        <v>41</v>
      </c>
      <c r="C119" s="960">
        <v>0</v>
      </c>
      <c r="D119" s="960"/>
      <c r="E119" s="960">
        <v>0</v>
      </c>
      <c r="F119" s="960"/>
      <c r="G119" s="905">
        <v>0</v>
      </c>
      <c r="I119" s="120" t="s">
        <v>752</v>
      </c>
      <c r="J119" s="906"/>
      <c r="K119" s="956">
        <v>0</v>
      </c>
      <c r="L119" s="957"/>
      <c r="M119" s="956">
        <f>+'S&amp;U'!Q18</f>
        <v>10800000</v>
      </c>
      <c r="N119" s="957"/>
    </row>
    <row r="120" spans="2:14" ht="19" customHeight="1">
      <c r="B120" s="179" t="s">
        <v>753</v>
      </c>
      <c r="C120" s="959">
        <f ca="1">+Budget!$S$87</f>
        <v>116.64174710901247</v>
      </c>
      <c r="D120" s="959"/>
      <c r="E120" s="959">
        <f ca="1">+Budget!$S$86</f>
        <v>223.61703117438296</v>
      </c>
      <c r="F120" s="959"/>
      <c r="G120" s="905">
        <f ca="1">+Budget!S83</f>
        <v>8449145.9058928862</v>
      </c>
      <c r="I120" s="120" t="s">
        <v>296</v>
      </c>
      <c r="J120" s="906"/>
      <c r="K120" s="956">
        <v>0</v>
      </c>
      <c r="L120" s="957"/>
      <c r="M120" s="956">
        <f ca="1">+'S&amp;U'!Q19</f>
        <v>4058107.0001068749</v>
      </c>
      <c r="N120" s="957"/>
    </row>
    <row r="121" spans="2:14" ht="19" customHeight="1">
      <c r="B121" s="965" t="s">
        <v>754</v>
      </c>
      <c r="C121" s="965"/>
      <c r="D121" s="965"/>
      <c r="E121" s="965"/>
      <c r="F121" s="965"/>
      <c r="G121" s="965"/>
      <c r="I121" s="132" t="s">
        <v>768</v>
      </c>
      <c r="J121" s="906"/>
      <c r="K121" s="956">
        <v>77375650</v>
      </c>
      <c r="L121" s="957"/>
      <c r="M121" s="956">
        <v>77375650</v>
      </c>
      <c r="N121" s="957"/>
    </row>
    <row r="122" spans="2:14" ht="19" customHeight="1">
      <c r="B122" s="136"/>
      <c r="C122" s="913"/>
      <c r="D122" s="913"/>
      <c r="E122" s="913"/>
      <c r="F122" s="913"/>
      <c r="G122" s="183"/>
      <c r="I122" s="910" t="s">
        <v>246</v>
      </c>
      <c r="J122" s="906"/>
      <c r="K122" s="906"/>
      <c r="L122" s="910"/>
      <c r="M122" s="910"/>
      <c r="N122" s="910"/>
    </row>
    <row r="123" spans="2:14" ht="19" customHeight="1">
      <c r="B123" s="184" t="s">
        <v>255</v>
      </c>
      <c r="C123" s="184"/>
      <c r="D123" s="969" t="s">
        <v>520</v>
      </c>
      <c r="E123" s="969"/>
      <c r="F123" s="970" t="s">
        <v>517</v>
      </c>
      <c r="G123" s="970"/>
      <c r="I123" s="906"/>
      <c r="J123" s="906"/>
      <c r="K123" s="906"/>
      <c r="L123" s="906"/>
      <c r="M123" s="906"/>
      <c r="N123" s="910"/>
    </row>
    <row r="124" spans="2:14" ht="19" customHeight="1">
      <c r="B124" s="907" t="s">
        <v>521</v>
      </c>
      <c r="D124" s="971">
        <v>500000</v>
      </c>
      <c r="E124" s="972"/>
      <c r="F124" s="967">
        <f>+SUM(Infrastructure!J10)</f>
        <v>6799200</v>
      </c>
      <c r="G124" s="968"/>
      <c r="I124" s="163"/>
      <c r="J124" s="163"/>
      <c r="K124" s="163"/>
      <c r="L124" s="163"/>
      <c r="M124" s="163"/>
      <c r="N124" s="164"/>
    </row>
    <row r="125" spans="2:14" ht="19" customHeight="1" thickBot="1">
      <c r="B125" s="907" t="s">
        <v>327</v>
      </c>
      <c r="D125" s="966">
        <v>0</v>
      </c>
      <c r="E125" s="966"/>
      <c r="F125" s="971">
        <f>+Infrastructure!$J$17</f>
        <v>3500000</v>
      </c>
      <c r="G125" s="971"/>
      <c r="I125" s="192" t="s">
        <v>755</v>
      </c>
      <c r="J125" s="193"/>
      <c r="K125" s="958" t="s">
        <v>747</v>
      </c>
      <c r="L125" s="958"/>
      <c r="M125" s="958" t="s">
        <v>748</v>
      </c>
      <c r="N125" s="958"/>
    </row>
    <row r="126" spans="2:14" ht="19" customHeight="1">
      <c r="B126" s="907" t="s">
        <v>756</v>
      </c>
      <c r="D126" s="966">
        <f>+Infrastructure!J8</f>
        <v>568460</v>
      </c>
      <c r="E126" s="966"/>
      <c r="F126" s="967">
        <v>0</v>
      </c>
      <c r="G126" s="968"/>
      <c r="I126" s="120" t="s">
        <v>176</v>
      </c>
      <c r="J126" s="906"/>
      <c r="K126" s="956">
        <v>40000000</v>
      </c>
      <c r="L126" s="957"/>
      <c r="M126" s="956">
        <v>0</v>
      </c>
      <c r="N126" s="957"/>
    </row>
    <row r="127" spans="2:14" ht="19" customHeight="1">
      <c r="B127" s="907" t="s">
        <v>757</v>
      </c>
      <c r="D127" s="966">
        <f>Infrastructure!J7</f>
        <v>1994598</v>
      </c>
      <c r="E127" s="966"/>
      <c r="F127" s="967">
        <f>+Infrastructure!J6</f>
        <v>7978392</v>
      </c>
      <c r="G127" s="968"/>
      <c r="I127" s="120" t="s">
        <v>758</v>
      </c>
      <c r="J127" s="906"/>
      <c r="K127" s="956">
        <f>+'S&amp;U'!G20</f>
        <v>117834510.85754186</v>
      </c>
      <c r="L127" s="957"/>
      <c r="M127" s="956">
        <f>+'S&amp;U'!Q22</f>
        <v>117834510.85754186</v>
      </c>
      <c r="N127" s="957"/>
    </row>
    <row r="128" spans="2:14" ht="19" customHeight="1">
      <c r="B128" s="907" t="s">
        <v>759</v>
      </c>
      <c r="D128" s="966">
        <v>0</v>
      </c>
      <c r="E128" s="966"/>
      <c r="F128" s="973">
        <f>Infrastructure!J15</f>
        <v>1035000</v>
      </c>
      <c r="G128" s="974"/>
      <c r="I128" s="832" t="s">
        <v>272</v>
      </c>
      <c r="J128" s="912"/>
      <c r="K128" s="956">
        <f>+'S&amp;U'!G21</f>
        <v>11076000.000062399</v>
      </c>
      <c r="L128" s="957"/>
      <c r="M128" s="956">
        <f>+'S&amp;U'!Q23</f>
        <v>11076000.000062399</v>
      </c>
      <c r="N128" s="957"/>
    </row>
    <row r="129" spans="2:14" ht="19" customHeight="1">
      <c r="B129" s="907" t="s">
        <v>406</v>
      </c>
      <c r="D129" s="966">
        <v>0</v>
      </c>
      <c r="E129" s="966"/>
      <c r="F129" s="973">
        <f>+Infrastructure!J16</f>
        <v>55000000</v>
      </c>
      <c r="G129" s="974"/>
      <c r="I129" s="109" t="s">
        <v>760</v>
      </c>
      <c r="K129" s="986">
        <f>+'S&amp;U'!G22</f>
        <v>0</v>
      </c>
      <c r="L129" s="987"/>
      <c r="M129" s="986">
        <f>+'S&amp;U'!Q24</f>
        <v>0</v>
      </c>
      <c r="N129" s="987"/>
    </row>
    <row r="130" spans="2:14" ht="19" customHeight="1">
      <c r="B130" s="162" t="s">
        <v>761</v>
      </c>
      <c r="C130" s="162"/>
      <c r="D130" s="979"/>
      <c r="E130" s="979"/>
      <c r="F130" s="980">
        <f>+Budget!G24</f>
        <v>166707133</v>
      </c>
      <c r="G130" s="981"/>
      <c r="I130" s="120"/>
      <c r="J130" s="906"/>
      <c r="K130" s="905"/>
      <c r="L130" s="906"/>
      <c r="M130" s="905"/>
      <c r="N130" s="906"/>
    </row>
    <row r="131" spans="2:14" ht="19" customHeight="1">
      <c r="B131" s="187" t="s">
        <v>762</v>
      </c>
      <c r="C131" s="187"/>
      <c r="D131" s="978">
        <f>+SUM(D124:E129)+D130</f>
        <v>3063058</v>
      </c>
      <c r="E131" s="978"/>
      <c r="F131" s="978">
        <f>+SUM(F124:G129)+F130</f>
        <v>241019725</v>
      </c>
      <c r="G131" s="978"/>
      <c r="I131" s="163"/>
      <c r="J131" s="163"/>
      <c r="K131" s="163"/>
      <c r="L131" s="163"/>
      <c r="M131" s="163"/>
      <c r="N131" s="164"/>
    </row>
    <row r="132" spans="2:14" ht="19" customHeight="1">
      <c r="B132" s="460" t="s">
        <v>763</v>
      </c>
      <c r="C132" s="460"/>
      <c r="D132" s="975"/>
      <c r="E132" s="975"/>
      <c r="F132" s="976">
        <f ca="1">+SUM(G110:G120)</f>
        <v>1077228408.1007991</v>
      </c>
      <c r="G132" s="977"/>
      <c r="H132" s="123"/>
      <c r="I132" s="461" t="s">
        <v>252</v>
      </c>
      <c r="J132" s="462"/>
      <c r="K132" s="961">
        <v>1141510338</v>
      </c>
      <c r="L132" s="962"/>
      <c r="M132" s="961">
        <v>1141510338</v>
      </c>
      <c r="N132" s="962"/>
    </row>
    <row r="133" spans="2:14" ht="19" customHeight="1">
      <c r="D133" s="124"/>
      <c r="E133" s="125"/>
    </row>
    <row r="134" spans="2:14" ht="16" customHeight="1">
      <c r="D134" s="124"/>
      <c r="E134" s="125"/>
    </row>
    <row r="135" spans="2:14" ht="16" customHeight="1">
      <c r="D135" s="124"/>
      <c r="E135" s="125"/>
    </row>
    <row r="136" spans="2:14" ht="16" customHeight="1">
      <c r="D136" s="124"/>
      <c r="E136" s="125"/>
    </row>
    <row r="137" spans="2:14" ht="16" customHeight="1">
      <c r="D137" s="900"/>
    </row>
    <row r="138" spans="2:14" ht="16" customHeight="1">
      <c r="D138" s="900"/>
    </row>
    <row r="139" spans="2:14" ht="16" customHeight="1">
      <c r="D139" s="900"/>
    </row>
    <row r="140" spans="2:14" ht="16" customHeight="1">
      <c r="D140" s="900"/>
    </row>
    <row r="141" spans="2:14" ht="16" customHeight="1">
      <c r="D141" s="900"/>
    </row>
    <row r="142" spans="2:14" ht="16" customHeight="1">
      <c r="D142" s="900"/>
    </row>
    <row r="143" spans="2:14" ht="16" customHeight="1">
      <c r="D143" s="900"/>
    </row>
    <row r="144" spans="2:14" ht="16" customHeight="1">
      <c r="D144" s="900"/>
    </row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</sheetData>
  <mergeCells count="90">
    <mergeCell ref="D127:E127"/>
    <mergeCell ref="F127:G127"/>
    <mergeCell ref="D128:E128"/>
    <mergeCell ref="I74:J74"/>
    <mergeCell ref="K74:L74"/>
    <mergeCell ref="M74:N74"/>
    <mergeCell ref="E75:N75"/>
    <mergeCell ref="I109:K109"/>
    <mergeCell ref="L109:M109"/>
    <mergeCell ref="E109:F109"/>
    <mergeCell ref="B106:N106"/>
    <mergeCell ref="C109:D109"/>
    <mergeCell ref="I4:J4"/>
    <mergeCell ref="K4:L4"/>
    <mergeCell ref="M4:N4"/>
    <mergeCell ref="B71:N71"/>
    <mergeCell ref="B72:N72"/>
    <mergeCell ref="B14:C14"/>
    <mergeCell ref="B15:C15"/>
    <mergeCell ref="B26:C26"/>
    <mergeCell ref="B25:C25"/>
    <mergeCell ref="B59:C59"/>
    <mergeCell ref="F128:G128"/>
    <mergeCell ref="D132:E132"/>
    <mergeCell ref="F132:G132"/>
    <mergeCell ref="D129:E129"/>
    <mergeCell ref="D131:E131"/>
    <mergeCell ref="F131:G131"/>
    <mergeCell ref="D130:E130"/>
    <mergeCell ref="F130:G130"/>
    <mergeCell ref="F129:G129"/>
    <mergeCell ref="D126:E126"/>
    <mergeCell ref="F126:G126"/>
    <mergeCell ref="D123:E123"/>
    <mergeCell ref="F123:G123"/>
    <mergeCell ref="K126:L126"/>
    <mergeCell ref="D124:E124"/>
    <mergeCell ref="F124:G124"/>
    <mergeCell ref="F125:G125"/>
    <mergeCell ref="D125:E125"/>
    <mergeCell ref="K125:L125"/>
    <mergeCell ref="E119:F119"/>
    <mergeCell ref="E120:F120"/>
    <mergeCell ref="C119:D119"/>
    <mergeCell ref="C120:D120"/>
    <mergeCell ref="B121:G121"/>
    <mergeCell ref="E118:F118"/>
    <mergeCell ref="C110:D110"/>
    <mergeCell ref="C111:D111"/>
    <mergeCell ref="C112:D112"/>
    <mergeCell ref="E110:F110"/>
    <mergeCell ref="E111:F111"/>
    <mergeCell ref="E112:F112"/>
    <mergeCell ref="E113:F113"/>
    <mergeCell ref="E114:F114"/>
    <mergeCell ref="C114:D114"/>
    <mergeCell ref="C113:D113"/>
    <mergeCell ref="C115:D115"/>
    <mergeCell ref="C116:D116"/>
    <mergeCell ref="C117:D117"/>
    <mergeCell ref="C118:D118"/>
    <mergeCell ref="K132:L132"/>
    <mergeCell ref="M132:N132"/>
    <mergeCell ref="K118:L118"/>
    <mergeCell ref="M118:N118"/>
    <mergeCell ref="K119:L119"/>
    <mergeCell ref="M119:N119"/>
    <mergeCell ref="M120:N120"/>
    <mergeCell ref="M126:N126"/>
    <mergeCell ref="K120:L120"/>
    <mergeCell ref="M125:N125"/>
    <mergeCell ref="K127:L127"/>
    <mergeCell ref="M127:N127"/>
    <mergeCell ref="K129:L129"/>
    <mergeCell ref="M129:N129"/>
    <mergeCell ref="K128:L128"/>
    <mergeCell ref="M128:N128"/>
    <mergeCell ref="E115:F115"/>
    <mergeCell ref="E116:F116"/>
    <mergeCell ref="E117:F117"/>
    <mergeCell ref="K110:L110"/>
    <mergeCell ref="M110:N110"/>
    <mergeCell ref="K111:L111"/>
    <mergeCell ref="M111:N111"/>
    <mergeCell ref="K121:L121"/>
    <mergeCell ref="M121:N121"/>
    <mergeCell ref="K117:L117"/>
    <mergeCell ref="M117:N117"/>
    <mergeCell ref="K116:L116"/>
    <mergeCell ref="M116:N116"/>
  </mergeCells>
  <phoneticPr fontId="59" type="noConversion"/>
  <pageMargins left="0.7" right="0.7" top="0.75" bottom="0.75" header="0.3" footer="0.3"/>
  <pageSetup paperSize="3" scale="26" orientation="portrait" r:id="rId1"/>
  <headerFooter alignWithMargins="0">
    <oddHeader xml:space="preserve">&amp;L&amp;"Arial,Bold"2017 ULI Hines Student Competition&amp;RTeam &amp;A </oddHeader>
  </headerFooter>
  <rowBreaks count="1" manualBreakCount="1">
    <brk id="13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AF133"/>
  <sheetViews>
    <sheetView showGridLines="0" tabSelected="1" view="pageBreakPreview" topLeftCell="C5" zoomScale="70" zoomScaleNormal="80" zoomScaleSheetLayoutView="70" workbookViewId="0">
      <selection activeCell="O95" sqref="O95"/>
    </sheetView>
  </sheetViews>
  <sheetFormatPr defaultColWidth="10.81640625" defaultRowHeight="12.5"/>
  <cols>
    <col min="1" max="1" width="2.81640625" style="249" customWidth="1"/>
    <col min="2" max="2" width="44" style="249" bestFit="1" customWidth="1"/>
    <col min="3" max="3" width="2.81640625" style="249" customWidth="1"/>
    <col min="4" max="4" width="17.81640625" style="249" customWidth="1"/>
    <col min="5" max="5" width="12.453125" style="249" bestFit="1" customWidth="1"/>
    <col min="6" max="6" width="15" style="249" bestFit="1" customWidth="1"/>
    <col min="7" max="7" width="16.81640625" style="249" customWidth="1"/>
    <col min="8" max="8" width="15.7265625" style="249" customWidth="1"/>
    <col min="9" max="9" width="1.1796875" style="249" customWidth="1"/>
    <col min="10" max="10" width="1.453125" style="249" customWidth="1"/>
    <col min="11" max="11" width="1.81640625" style="249" customWidth="1"/>
    <col min="12" max="12" width="43" style="249" customWidth="1"/>
    <col min="13" max="13" width="3.453125" style="249" customWidth="1"/>
    <col min="14" max="14" width="2.453125" style="249" customWidth="1"/>
    <col min="15" max="15" width="19.26953125" style="249" customWidth="1"/>
    <col min="16" max="16" width="16.1796875" style="249" customWidth="1"/>
    <col min="17" max="17" width="10.26953125" style="249" customWidth="1"/>
    <col min="18" max="18" width="16.1796875" style="249" customWidth="1"/>
    <col min="19" max="19" width="8" style="249" customWidth="1"/>
    <col min="20" max="20" width="16.1796875" style="249" customWidth="1"/>
    <col min="21" max="21" width="7.7265625" style="249" customWidth="1"/>
    <col min="22" max="22" width="3.81640625" style="249" customWidth="1"/>
    <col min="23" max="16384" width="10.81640625" style="249"/>
  </cols>
  <sheetData>
    <row r="1" spans="2:21" ht="96" customHeight="1"/>
    <row r="2" spans="2:21" ht="19" customHeight="1">
      <c r="B2" s="152" t="s">
        <v>246</v>
      </c>
    </row>
    <row r="3" spans="2:21" ht="19" customHeight="1"/>
    <row r="4" spans="2:21" ht="19" customHeight="1">
      <c r="B4" s="489" t="s">
        <v>208</v>
      </c>
      <c r="C4" s="490"/>
      <c r="D4" s="490"/>
      <c r="E4" s="490"/>
      <c r="F4" s="942" t="s">
        <v>15</v>
      </c>
      <c r="G4" s="942"/>
      <c r="H4" s="943"/>
      <c r="I4" s="248"/>
      <c r="J4" s="248"/>
      <c r="L4" s="489" t="s">
        <v>209</v>
      </c>
      <c r="M4" s="490"/>
      <c r="N4" s="490"/>
      <c r="O4" s="490"/>
      <c r="P4" s="942" t="s">
        <v>15</v>
      </c>
      <c r="Q4" s="942"/>
      <c r="R4" s="942"/>
      <c r="S4" s="942"/>
      <c r="T4" s="942"/>
      <c r="U4" s="895"/>
    </row>
    <row r="5" spans="2:21" ht="19" customHeight="1">
      <c r="B5" s="491"/>
      <c r="C5" s="492"/>
      <c r="D5" s="492"/>
      <c r="E5" s="492"/>
      <c r="F5" s="493" t="s">
        <v>19</v>
      </c>
      <c r="G5" s="493" t="s">
        <v>20</v>
      </c>
      <c r="H5" s="494" t="s">
        <v>21</v>
      </c>
      <c r="I5" s="250"/>
      <c r="J5" s="250"/>
      <c r="L5" s="491"/>
      <c r="M5" s="492"/>
      <c r="N5" s="492"/>
      <c r="O5" s="493" t="s">
        <v>210</v>
      </c>
      <c r="P5" s="493" t="s">
        <v>19</v>
      </c>
      <c r="Q5" s="493"/>
      <c r="R5" s="493" t="s">
        <v>20</v>
      </c>
      <c r="S5" s="493"/>
      <c r="T5" s="493" t="s">
        <v>21</v>
      </c>
      <c r="U5" s="494"/>
    </row>
    <row r="6" spans="2:21" ht="19" customHeight="1">
      <c r="B6" s="251" t="s">
        <v>24</v>
      </c>
      <c r="C6" s="248"/>
      <c r="D6" s="248"/>
      <c r="E6" s="252"/>
      <c r="F6" s="252">
        <f>Assumptions!F22</f>
        <v>44561</v>
      </c>
      <c r="G6" s="252">
        <f>Assumptions!G22</f>
        <v>44926</v>
      </c>
      <c r="H6" s="253">
        <f>Assumptions!H22</f>
        <v>45657</v>
      </c>
      <c r="I6" s="254"/>
      <c r="J6" s="254"/>
      <c r="L6" s="255" t="str">
        <f>Assumptions!B7</f>
        <v>Project (Unlevered) Returns</v>
      </c>
      <c r="M6" s="256"/>
      <c r="N6" s="256"/>
      <c r="O6" s="256"/>
      <c r="P6" s="257"/>
      <c r="Q6" s="257"/>
      <c r="R6" s="257"/>
      <c r="S6" s="257"/>
      <c r="T6" s="257"/>
      <c r="U6" s="258"/>
    </row>
    <row r="7" spans="2:21" ht="19" customHeight="1">
      <c r="B7" s="251" t="s">
        <v>28</v>
      </c>
      <c r="C7" s="248"/>
      <c r="D7" s="259"/>
      <c r="E7" s="248"/>
      <c r="F7" s="252">
        <f>Assumptions!F24</f>
        <v>44926</v>
      </c>
      <c r="G7" s="252">
        <f>Assumptions!G24</f>
        <v>45291</v>
      </c>
      <c r="H7" s="253">
        <f>Assumptions!H24</f>
        <v>46022</v>
      </c>
      <c r="I7" s="252"/>
      <c r="J7" s="252"/>
      <c r="L7" s="260" t="str">
        <f>Assumptions!B8</f>
        <v>Total Cost less Subsidies</v>
      </c>
      <c r="M7" s="261"/>
      <c r="N7" s="261"/>
      <c r="O7" s="262">
        <f ca="1">+SUM(P7:T7)</f>
        <v>895224177.1869396</v>
      </c>
      <c r="P7" s="262">
        <f ca="1">Assumptions!E8</f>
        <v>329736198.91849077</v>
      </c>
      <c r="Q7" s="262"/>
      <c r="R7" s="262">
        <f ca="1">Assumptions!M8</f>
        <v>278481714.79583246</v>
      </c>
      <c r="S7" s="262"/>
      <c r="T7" s="262">
        <f ca="1">Assumptions!U8</f>
        <v>287006263.47261631</v>
      </c>
      <c r="U7" s="263"/>
    </row>
    <row r="8" spans="2:21" ht="19" customHeight="1">
      <c r="B8" s="251" t="s">
        <v>32</v>
      </c>
      <c r="C8" s="248"/>
      <c r="D8" s="248"/>
      <c r="E8" s="248"/>
      <c r="F8" s="252">
        <f>Assumptions!F26</f>
        <v>45657</v>
      </c>
      <c r="G8" s="252">
        <f>Assumptions!G26</f>
        <v>46022</v>
      </c>
      <c r="H8" s="253">
        <f>Assumptions!H26</f>
        <v>46752</v>
      </c>
      <c r="I8" s="252"/>
      <c r="J8" s="252"/>
      <c r="L8" s="264" t="s">
        <v>211</v>
      </c>
      <c r="M8" s="259"/>
      <c r="N8" s="259"/>
      <c r="O8" s="265">
        <f ca="1">+SUM(P8:T8)</f>
        <v>1276318630.621907</v>
      </c>
      <c r="P8" s="265">
        <f ca="1">Assumptions!E9</f>
        <v>409757976.53887665</v>
      </c>
      <c r="Q8" s="265"/>
      <c r="R8" s="265">
        <f ca="1">Assumptions!M9</f>
        <v>492017361.14867139</v>
      </c>
      <c r="S8" s="265"/>
      <c r="T8" s="265">
        <f ca="1">Assumptions!U9</f>
        <v>374543292.93435889</v>
      </c>
      <c r="U8" s="266"/>
    </row>
    <row r="9" spans="2:21" ht="19" customHeight="1">
      <c r="B9" s="251" t="s">
        <v>36</v>
      </c>
      <c r="C9" s="248"/>
      <c r="D9" s="248"/>
      <c r="E9" s="248"/>
      <c r="F9" s="252">
        <f>Assumptions!F28</f>
        <v>46387</v>
      </c>
      <c r="G9" s="252">
        <f>Assumptions!G28</f>
        <v>46752</v>
      </c>
      <c r="H9" s="253">
        <f>Assumptions!H28</f>
        <v>47483</v>
      </c>
      <c r="I9" s="252"/>
      <c r="J9" s="252"/>
      <c r="L9" s="260" t="str">
        <f>Assumptions!B10</f>
        <v>Yield-to-Cost</v>
      </c>
      <c r="M9" s="261"/>
      <c r="N9" s="261"/>
      <c r="O9" s="267">
        <f ca="1">+'Loan Sizing'!$E$62/O7</f>
        <v>8.5716620262675638E-2</v>
      </c>
      <c r="P9" s="267">
        <f ca="1">Assumptions!E10</f>
        <v>7.8343688391656244E-2</v>
      </c>
      <c r="Q9" s="267"/>
      <c r="R9" s="267">
        <f ca="1">Assumptions!M10</f>
        <v>0.10640521967303926</v>
      </c>
      <c r="S9" s="267"/>
      <c r="T9" s="267">
        <f ca="1">Assumptions!U10</f>
        <v>7.411313095135294E-2</v>
      </c>
      <c r="U9" s="268"/>
    </row>
    <row r="10" spans="2:21" ht="19" customHeight="1">
      <c r="B10" s="269" t="s">
        <v>40</v>
      </c>
      <c r="C10" s="270"/>
      <c r="D10" s="270"/>
      <c r="E10" s="270"/>
      <c r="F10" s="271">
        <f>Assumptions!F30</f>
        <v>48213</v>
      </c>
      <c r="G10" s="271">
        <f>Assumptions!G30</f>
        <v>48213</v>
      </c>
      <c r="H10" s="272">
        <f>Assumptions!H30</f>
        <v>48213</v>
      </c>
      <c r="I10" s="252"/>
      <c r="J10" s="252"/>
      <c r="L10" s="269" t="str">
        <f>Assumptions!B11</f>
        <v>Blended Exit Cap</v>
      </c>
      <c r="M10" s="270"/>
      <c r="N10" s="270"/>
      <c r="O10" s="273">
        <f ca="1">+'Loan Sizing'!$E$62/$O$8</f>
        <v>6.0122597135880154E-2</v>
      </c>
      <c r="P10" s="273">
        <f ca="1">Assumptions!E11</f>
        <v>6.3043922262898233E-2</v>
      </c>
      <c r="Q10" s="273"/>
      <c r="R10" s="273">
        <f ca="1">Assumptions!M11</f>
        <v>6.022533019687782E-2</v>
      </c>
      <c r="S10" s="273"/>
      <c r="T10" s="273">
        <f ca="1">Assumptions!U11</f>
        <v>5.6791653167668349E-2</v>
      </c>
      <c r="U10" s="274"/>
    </row>
    <row r="11" spans="2:21" ht="19" customHeight="1">
      <c r="B11" s="301"/>
      <c r="C11" s="259"/>
      <c r="D11" s="259"/>
      <c r="E11" s="275"/>
      <c r="F11" s="276"/>
      <c r="G11" s="276"/>
      <c r="H11" s="276"/>
      <c r="I11" s="252"/>
      <c r="J11" s="252"/>
      <c r="L11" s="255" t="str">
        <f>Assumptions!B13</f>
        <v>Equity Returns</v>
      </c>
      <c r="M11" s="256"/>
      <c r="N11" s="256"/>
      <c r="O11" s="256"/>
      <c r="P11" s="259"/>
      <c r="Q11" s="259"/>
      <c r="R11" s="259"/>
      <c r="S11" s="259"/>
      <c r="T11" s="259"/>
      <c r="U11" s="277"/>
    </row>
    <row r="12" spans="2:21" ht="19" customHeight="1">
      <c r="B12" s="489" t="s">
        <v>212</v>
      </c>
      <c r="C12" s="490"/>
      <c r="D12" s="940" t="s">
        <v>213</v>
      </c>
      <c r="E12" s="490"/>
      <c r="F12" s="942" t="s">
        <v>15</v>
      </c>
      <c r="G12" s="942"/>
      <c r="H12" s="943"/>
      <c r="L12" s="264" t="str">
        <f>Assumptions!B15</f>
        <v>Unlevered IRR</v>
      </c>
      <c r="M12" s="259"/>
      <c r="N12" s="259"/>
      <c r="O12" s="278">
        <v>0.12</v>
      </c>
      <c r="P12" s="278">
        <f>Assumptions!E15</f>
        <v>0.1</v>
      </c>
      <c r="Q12" s="278"/>
      <c r="R12" s="278">
        <f ca="1">Assumptions!M15</f>
        <v>0.15145135409570609</v>
      </c>
      <c r="S12" s="278"/>
      <c r="T12" s="278">
        <f ca="1">Assumptions!U15</f>
        <v>0.10431175222223343</v>
      </c>
      <c r="U12" s="279"/>
    </row>
    <row r="13" spans="2:21" ht="19" customHeight="1">
      <c r="B13" s="491"/>
      <c r="C13" s="492"/>
      <c r="D13" s="941"/>
      <c r="E13" s="495" t="s">
        <v>210</v>
      </c>
      <c r="F13" s="495" t="s">
        <v>19</v>
      </c>
      <c r="G13" s="495" t="s">
        <v>20</v>
      </c>
      <c r="H13" s="496" t="s">
        <v>21</v>
      </c>
      <c r="I13" s="248"/>
      <c r="J13" s="248"/>
      <c r="L13" s="264" t="s">
        <v>1</v>
      </c>
      <c r="M13" s="259"/>
      <c r="N13" s="259"/>
      <c r="O13" s="278">
        <f>+Assumptions!E3</f>
        <v>0.185</v>
      </c>
      <c r="P13" s="278">
        <f>Assumptions!E14</f>
        <v>0.124</v>
      </c>
      <c r="Q13" s="278"/>
      <c r="R13" s="278">
        <f ca="1">Assumptions!M14</f>
        <v>0.24777486724194886</v>
      </c>
      <c r="S13" s="278"/>
      <c r="T13" s="278">
        <f ca="1">Assumptions!U14</f>
        <v>0.22269373279225091</v>
      </c>
      <c r="U13" s="279"/>
    </row>
    <row r="14" spans="2:21" ht="19" customHeight="1">
      <c r="B14" s="765" t="s">
        <v>214</v>
      </c>
      <c r="C14" s="766"/>
      <c r="D14" s="766"/>
      <c r="E14" s="767"/>
      <c r="F14" s="276"/>
      <c r="G14" s="276"/>
      <c r="H14" s="281"/>
      <c r="I14" s="276"/>
      <c r="J14" s="276"/>
      <c r="L14" s="926"/>
      <c r="M14" s="927"/>
      <c r="N14" s="927"/>
      <c r="O14" s="928">
        <f>+Assumptions!$M$3</f>
        <v>0</v>
      </c>
      <c r="P14" s="928">
        <f>+Assumptions!E16</f>
        <v>0</v>
      </c>
      <c r="Q14" s="928"/>
      <c r="R14" s="928">
        <f>+Assumptions!M16</f>
        <v>0</v>
      </c>
      <c r="S14" s="928"/>
      <c r="T14" s="928">
        <f>+Assumptions!U16</f>
        <v>0</v>
      </c>
      <c r="U14" s="929"/>
    </row>
    <row r="15" spans="2:21" ht="19" customHeight="1">
      <c r="B15" s="709" t="s">
        <v>45</v>
      </c>
      <c r="C15" s="766"/>
      <c r="D15" s="768">
        <f>Assumptions!E62</f>
        <v>516</v>
      </c>
      <c r="E15" s="767">
        <f>SUM(F15:H15)</f>
        <v>588.86070517558255</v>
      </c>
      <c r="F15" s="276">
        <f>VLOOKUP(B15,Assumptions!$B$61:$H$80,5,FALSE)</f>
        <v>29.888372093023257</v>
      </c>
      <c r="G15" s="276">
        <f>VLOOKUP(B15,Assumptions!$B$61:$H$80,6,FALSE)</f>
        <v>227.09601563636002</v>
      </c>
      <c r="H15" s="281">
        <f>VLOOKUP(B15,Assumptions!$B$61:$H$80,7,FALSE)</f>
        <v>331.87631744619932</v>
      </c>
      <c r="I15" s="276"/>
      <c r="J15" s="276"/>
      <c r="L15" s="269" t="str">
        <f>Assumptions!B18</f>
        <v>Equity Multiple</v>
      </c>
      <c r="M15" s="270"/>
      <c r="N15" s="270"/>
      <c r="O15" s="284">
        <f ca="1">+SUM('Phase I Pro Forma'!D309,'Phase II Pro Forma'!D241,'Phase III Pro Forma'!D205)/-SUM('Phase I Pro Forma'!D308,'Phase II Pro Forma'!D240,'Phase III Pro Forma'!D204)</f>
        <v>2.3095107835009805</v>
      </c>
      <c r="P15" s="284">
        <f ca="1">Assumptions!E18</f>
        <v>1.7807732265312366</v>
      </c>
      <c r="Q15" s="284"/>
      <c r="R15" s="284">
        <f ca="1">Assumptions!M18</f>
        <v>2.8716220691149505</v>
      </c>
      <c r="S15" s="284"/>
      <c r="T15" s="284">
        <f ca="1">Assumptions!U18</f>
        <v>2.7880262741189221</v>
      </c>
      <c r="U15" s="285"/>
    </row>
    <row r="16" spans="2:21" ht="19" customHeight="1">
      <c r="B16" s="709" t="s">
        <v>49</v>
      </c>
      <c r="C16" s="766"/>
      <c r="D16" s="768">
        <f>Assumptions!E66</f>
        <v>720</v>
      </c>
      <c r="E16" s="767">
        <f t="shared" ref="E16:E25" si="0">SUM(F16:H16)</f>
        <v>263.76052419322968</v>
      </c>
      <c r="F16" s="276">
        <f>VLOOKUP(B16,Assumptions!$B$61:$H$80,5,FALSE)</f>
        <v>13.387499999999999</v>
      </c>
      <c r="G16" s="276">
        <f>VLOOKUP(B16,Assumptions!$B$61:$H$80,6,FALSE)</f>
        <v>101.7200903371196</v>
      </c>
      <c r="H16" s="281">
        <f>VLOOKUP(B16,Assumptions!$B$61:$H$80,7,FALSE)</f>
        <v>148.65293385611011</v>
      </c>
      <c r="I16" s="276"/>
      <c r="J16" s="276"/>
    </row>
    <row r="17" spans="2:21" ht="19" customHeight="1">
      <c r="B17" s="709" t="s">
        <v>51</v>
      </c>
      <c r="C17" s="766"/>
      <c r="D17" s="768">
        <f>Assumptions!E70</f>
        <v>1053</v>
      </c>
      <c r="E17" s="767">
        <f t="shared" si="0"/>
        <v>180.34907637143914</v>
      </c>
      <c r="F17" s="276">
        <f>VLOOKUP(B17,Assumptions!$B$61:$H$80,5,FALSE)</f>
        <v>9.1538461538461533</v>
      </c>
      <c r="G17" s="276">
        <f>VLOOKUP(B17,Assumptions!$B$61:$H$80,6,FALSE)</f>
        <v>69.552198521107414</v>
      </c>
      <c r="H17" s="281">
        <f>VLOOKUP(B17,Assumptions!$B$61:$H$80,7,FALSE)</f>
        <v>101.64303169648555</v>
      </c>
      <c r="I17" s="276"/>
      <c r="J17" s="276"/>
      <c r="L17" s="489" t="s">
        <v>215</v>
      </c>
      <c r="M17" s="490"/>
      <c r="N17" s="490"/>
      <c r="O17" s="490"/>
      <c r="P17" s="942" t="s">
        <v>15</v>
      </c>
      <c r="Q17" s="942"/>
      <c r="R17" s="942"/>
      <c r="S17" s="942"/>
      <c r="T17" s="942"/>
      <c r="U17" s="895"/>
    </row>
    <row r="18" spans="2:21" ht="19" customHeight="1">
      <c r="B18" s="709" t="s">
        <v>54</v>
      </c>
      <c r="C18" s="766"/>
      <c r="D18" s="768">
        <f>Assumptions!E74</f>
        <v>1535</v>
      </c>
      <c r="E18" s="767">
        <f t="shared" si="0"/>
        <v>49.487316591303042</v>
      </c>
      <c r="F18" s="276">
        <f>VLOOKUP(B18,Assumptions!$B$61:$H$80,5,FALSE)</f>
        <v>2.5117915309446257</v>
      </c>
      <c r="G18" s="276">
        <f>VLOOKUP(B18,Assumptions!$B$61:$H$80,6,FALSE)</f>
        <v>19.084942030677816</v>
      </c>
      <c r="H18" s="281">
        <f>VLOOKUP(B18,Assumptions!$B$61:$H$80,7,FALSE)</f>
        <v>27.890583029680595</v>
      </c>
      <c r="I18" s="276"/>
      <c r="J18" s="276"/>
      <c r="L18" s="491"/>
      <c r="M18" s="492"/>
      <c r="N18" s="492"/>
      <c r="O18" s="492"/>
      <c r="P18" s="493" t="s">
        <v>19</v>
      </c>
      <c r="Q18" s="493"/>
      <c r="R18" s="493" t="s">
        <v>20</v>
      </c>
      <c r="S18" s="493"/>
      <c r="T18" s="493" t="s">
        <v>21</v>
      </c>
      <c r="U18" s="494"/>
    </row>
    <row r="19" spans="2:21" ht="19" customHeight="1">
      <c r="B19" s="709" t="s">
        <v>82</v>
      </c>
      <c r="C19" s="766"/>
      <c r="D19" s="768">
        <f>Assumptions!E78</f>
        <v>0</v>
      </c>
      <c r="E19" s="767">
        <f t="shared" si="0"/>
        <v>0</v>
      </c>
      <c r="F19" s="276">
        <f>VLOOKUP(B19,Assumptions!$B$61:$H$80,5,FALSE)</f>
        <v>0</v>
      </c>
      <c r="G19" s="276">
        <f>VLOOKUP(B19,Assumptions!$B$61:$H$80,6,FALSE)</f>
        <v>0</v>
      </c>
      <c r="H19" s="281">
        <f>VLOOKUP(B19,Assumptions!$B$61:$H$80,7,FALSE)</f>
        <v>0</v>
      </c>
      <c r="I19" s="276"/>
      <c r="J19" s="276"/>
      <c r="L19" s="286" t="s">
        <v>216</v>
      </c>
      <c r="M19" s="287"/>
      <c r="N19" s="287"/>
      <c r="O19" s="287"/>
      <c r="P19" s="287"/>
      <c r="Q19" s="287"/>
      <c r="R19" s="287"/>
      <c r="S19" s="287"/>
      <c r="T19" s="287"/>
      <c r="U19" s="288"/>
    </row>
    <row r="20" spans="2:21" ht="19" customHeight="1">
      <c r="B20" s="769" t="s">
        <v>217</v>
      </c>
      <c r="C20" s="290"/>
      <c r="D20" s="290"/>
      <c r="E20" s="770">
        <f>SUM(E15:E19)</f>
        <v>1082.4576223315544</v>
      </c>
      <c r="F20" s="292">
        <f t="shared" ref="F20:H20" si="1">SUM(F15:F19)</f>
        <v>54.941509777814034</v>
      </c>
      <c r="G20" s="292">
        <f t="shared" si="1"/>
        <v>417.45324652526489</v>
      </c>
      <c r="H20" s="293">
        <f t="shared" si="1"/>
        <v>610.06286602847558</v>
      </c>
      <c r="I20" s="276"/>
      <c r="J20" s="276"/>
      <c r="L20" s="294" t="s">
        <v>218</v>
      </c>
      <c r="M20" s="287"/>
      <c r="N20" s="287"/>
      <c r="O20" s="287"/>
      <c r="P20" s="295">
        <f>Assumptions!N151</f>
        <v>0.06</v>
      </c>
      <c r="Q20" s="295"/>
      <c r="R20" s="295">
        <f>Assumptions!O151</f>
        <v>0.06</v>
      </c>
      <c r="S20" s="295"/>
      <c r="T20" s="295">
        <f>Assumptions!P151</f>
        <v>0.06</v>
      </c>
      <c r="U20" s="296"/>
    </row>
    <row r="21" spans="2:21" ht="19" customHeight="1">
      <c r="B21" s="765" t="s">
        <v>219</v>
      </c>
      <c r="C21" s="771"/>
      <c r="D21" s="771"/>
      <c r="E21" s="767"/>
      <c r="F21" s="276"/>
      <c r="G21" s="276"/>
      <c r="H21" s="281"/>
      <c r="I21" s="276"/>
      <c r="J21" s="276"/>
      <c r="L21" s="294" t="s">
        <v>220</v>
      </c>
      <c r="M21" s="287"/>
      <c r="N21" s="287"/>
      <c r="O21" s="287"/>
      <c r="P21" s="297">
        <f>SUM('Loan Sizing'!F15:F20)</f>
        <v>21996863.677505001</v>
      </c>
      <c r="Q21" s="297"/>
      <c r="R21" s="297">
        <f ca="1">SUM('Loan Sizing'!G15:G20)</f>
        <v>29631908.03776738</v>
      </c>
      <c r="S21" s="297"/>
      <c r="T21" s="297">
        <f>SUM('Loan Sizing'!H15:H20)</f>
        <v>21270932.788604517</v>
      </c>
      <c r="U21" s="298"/>
    </row>
    <row r="22" spans="2:21" ht="19" customHeight="1">
      <c r="B22" s="709" t="str">
        <f>B15</f>
        <v>Studio Units</v>
      </c>
      <c r="C22" s="257"/>
      <c r="D22" s="768">
        <f>D15</f>
        <v>516</v>
      </c>
      <c r="E22" s="767">
        <f t="shared" si="0"/>
        <v>392.5746793975091</v>
      </c>
      <c r="F22" s="276">
        <f>VLOOKUP($B22,Assumptions!$B$34:$H$58,5,FALSE)</f>
        <v>19.925581395348839</v>
      </c>
      <c r="G22" s="276">
        <f>VLOOKUP($B22,Assumptions!$B$34:$H$58,6,FALSE)</f>
        <v>151.39778042820825</v>
      </c>
      <c r="H22" s="281">
        <f>VLOOKUP($B22,Assumptions!$B$34:$H$58,7,FALSE)</f>
        <v>221.25131757395201</v>
      </c>
      <c r="I22" s="276"/>
      <c r="J22" s="276"/>
      <c r="L22" s="294" t="s">
        <v>221</v>
      </c>
      <c r="M22" s="287"/>
      <c r="N22" s="287"/>
      <c r="O22" s="287"/>
      <c r="P22" s="297">
        <f>SUM('Loan Sizing'!F5:F10)</f>
        <v>345812684.03144884</v>
      </c>
      <c r="Q22" s="297"/>
      <c r="R22" s="297">
        <f ca="1">SUM('Loan Sizing'!G5:G10)</f>
        <v>492017361.14852887</v>
      </c>
      <c r="S22" s="297"/>
      <c r="T22" s="297">
        <f>SUM('Loan Sizing'!H5:H10)</f>
        <v>374543292.93435889</v>
      </c>
      <c r="U22" s="298"/>
    </row>
    <row r="23" spans="2:21" ht="19" customHeight="1">
      <c r="B23" s="709" t="str">
        <f>B16</f>
        <v>1-BR Units</v>
      </c>
      <c r="C23" s="257"/>
      <c r="D23" s="768">
        <f t="shared" ref="D23:D26" si="2">D16</f>
        <v>720</v>
      </c>
      <c r="E23" s="767">
        <f t="shared" si="0"/>
        <v>175.84074181346762</v>
      </c>
      <c r="F23" s="276">
        <f>VLOOKUP($B23,Assumptions!$B$34:$H$58,5,FALSE)</f>
        <v>8.9250000000000007</v>
      </c>
      <c r="G23" s="276">
        <f>VLOOKUP($B23,Assumptions!$B$34:$H$58,6,FALSE)</f>
        <v>67.813589150134931</v>
      </c>
      <c r="H23" s="281">
        <f>VLOOKUP($B23,Assumptions!$B$34:$H$58,7,FALSE)</f>
        <v>99.102152663332674</v>
      </c>
      <c r="I23" s="276"/>
      <c r="J23" s="276"/>
      <c r="L23" s="294" t="s">
        <v>222</v>
      </c>
      <c r="M23" s="287"/>
      <c r="N23" s="287"/>
      <c r="O23" s="287"/>
      <c r="P23" s="299">
        <f>'Loan Sizing'!F12</f>
        <v>0.65</v>
      </c>
      <c r="Q23" s="299"/>
      <c r="R23" s="299">
        <f>'Loan Sizing'!G12</f>
        <v>0.65</v>
      </c>
      <c r="S23" s="299"/>
      <c r="T23" s="299">
        <f>'Loan Sizing'!H12</f>
        <v>0.65</v>
      </c>
      <c r="U23" s="300"/>
    </row>
    <row r="24" spans="2:21" ht="19" customHeight="1">
      <c r="B24" s="709" t="str">
        <f>B17</f>
        <v>2-BR Units</v>
      </c>
      <c r="C24" s="257"/>
      <c r="D24" s="768">
        <f t="shared" si="2"/>
        <v>1053</v>
      </c>
      <c r="E24" s="767">
        <f t="shared" si="0"/>
        <v>120.23298585536247</v>
      </c>
      <c r="F24" s="276">
        <f>VLOOKUP($B24,Assumptions!$B$34:$H$58,5,FALSE)</f>
        <v>6.1025641025641022</v>
      </c>
      <c r="G24" s="276">
        <f>VLOOKUP($B24,Assumptions!$B$34:$H$58,6,FALSE)</f>
        <v>46.368266085562347</v>
      </c>
      <c r="H24" s="281">
        <f>VLOOKUP($B24,Assumptions!$B$34:$H$58,7,FALSE)</f>
        <v>67.762155667236016</v>
      </c>
      <c r="I24" s="276"/>
      <c r="J24" s="276"/>
      <c r="L24" s="294" t="s">
        <v>223</v>
      </c>
      <c r="M24" s="287"/>
      <c r="N24" s="287"/>
      <c r="O24" s="287"/>
      <c r="P24" s="297">
        <f>'Loan Sizing'!F13</f>
        <v>224778244.62044176</v>
      </c>
      <c r="Q24" s="297"/>
      <c r="R24" s="297">
        <f ca="1">'Loan Sizing'!G13</f>
        <v>319811284.74654377</v>
      </c>
      <c r="S24" s="297"/>
      <c r="T24" s="297">
        <f>'Loan Sizing'!H13</f>
        <v>243453140.40733328</v>
      </c>
      <c r="U24" s="298"/>
    </row>
    <row r="25" spans="2:21" ht="19" customHeight="1">
      <c r="B25" s="709" t="str">
        <f>B18</f>
        <v>3-BR Units</v>
      </c>
      <c r="C25" s="257"/>
      <c r="D25" s="768">
        <f>D18</f>
        <v>1535</v>
      </c>
      <c r="E25" s="767">
        <f t="shared" si="0"/>
        <v>32.991618007999136</v>
      </c>
      <c r="F25" s="276">
        <f>VLOOKUP($B25,Assumptions!$B$34:$H$58,5,FALSE)</f>
        <v>1.674527687296417</v>
      </c>
      <c r="G25" s="276">
        <f>VLOOKUP($B25,Assumptions!$B$34:$H$58,6,FALSE)</f>
        <v>12.723331384520433</v>
      </c>
      <c r="H25" s="281">
        <f>VLOOKUP($B25,Assumptions!$B$34:$H$58,7,FALSE)</f>
        <v>18.593758936182287</v>
      </c>
      <c r="L25" s="294" t="s">
        <v>224</v>
      </c>
      <c r="M25" s="287"/>
      <c r="N25" s="287"/>
      <c r="O25" s="287"/>
      <c r="P25" s="381">
        <f>'Loan Sizing'!F22</f>
        <v>1.25</v>
      </c>
      <c r="Q25" s="381"/>
      <c r="R25" s="381">
        <f>'Loan Sizing'!G22</f>
        <v>1.25</v>
      </c>
      <c r="S25" s="381"/>
      <c r="T25" s="381">
        <f>'Loan Sizing'!H22</f>
        <v>1.25</v>
      </c>
      <c r="U25" s="288"/>
    </row>
    <row r="26" spans="2:21" ht="19" customHeight="1">
      <c r="B26" s="709" t="str">
        <f>Assumptions!B50</f>
        <v>Live-Work Units (4-BR)</v>
      </c>
      <c r="C26" s="257"/>
      <c r="D26" s="768">
        <f t="shared" si="2"/>
        <v>0</v>
      </c>
      <c r="E26" s="767">
        <f>SUM(F26:H26)</f>
        <v>0</v>
      </c>
      <c r="F26" s="276">
        <f>VLOOKUP($B26,Assumptions!$B$34:$H$58,5,FALSE)</f>
        <v>0</v>
      </c>
      <c r="G26" s="276">
        <f>VLOOKUP($B26,Assumptions!$B$34:$H$58,6,FALSE)</f>
        <v>0</v>
      </c>
      <c r="H26" s="281">
        <f>VLOOKUP($B26,Assumptions!$B$34:$H$58,7,FALSE)</f>
        <v>0</v>
      </c>
      <c r="J26" s="248"/>
      <c r="L26" s="294" t="s">
        <v>225</v>
      </c>
      <c r="M26" s="287"/>
      <c r="N26" s="287"/>
      <c r="O26" s="287"/>
      <c r="P26" s="297">
        <f>'Loan Sizing'!F26</f>
        <v>242226491.50654978</v>
      </c>
      <c r="Q26" s="297"/>
      <c r="R26" s="297">
        <f ca="1">'Loan Sizing'!G26</f>
        <v>326302568.6690644</v>
      </c>
      <c r="S26" s="297"/>
      <c r="T26" s="297">
        <f>'Loan Sizing'!H26</f>
        <v>234232638.61585712</v>
      </c>
      <c r="U26" s="298"/>
    </row>
    <row r="27" spans="2:21" ht="19" customHeight="1">
      <c r="B27" s="289" t="s">
        <v>217</v>
      </c>
      <c r="C27" s="290"/>
      <c r="D27" s="290"/>
      <c r="E27" s="291">
        <f>SUM(E22:E26)</f>
        <v>721.64002507433838</v>
      </c>
      <c r="F27" s="292">
        <f t="shared" ref="F27:H27" si="3">SUM(F22:F26)</f>
        <v>36.62767318520936</v>
      </c>
      <c r="G27" s="292">
        <f t="shared" si="3"/>
        <v>278.30296704842596</v>
      </c>
      <c r="H27" s="293">
        <f t="shared" si="3"/>
        <v>406.70938484070297</v>
      </c>
      <c r="J27" s="301"/>
      <c r="L27" s="294"/>
      <c r="M27" s="287"/>
      <c r="N27" s="287"/>
      <c r="O27" s="287"/>
      <c r="P27" s="297"/>
      <c r="Q27" s="297"/>
      <c r="R27" s="297"/>
      <c r="S27" s="297"/>
      <c r="T27" s="297"/>
      <c r="U27" s="298"/>
    </row>
    <row r="28" spans="2:21" ht="19" customHeight="1">
      <c r="J28" s="276"/>
      <c r="L28" s="286" t="s">
        <v>168</v>
      </c>
      <c r="M28" s="287"/>
      <c r="N28" s="287"/>
      <c r="O28" s="287"/>
      <c r="P28" s="287"/>
      <c r="Q28" s="287"/>
      <c r="R28" s="287"/>
      <c r="S28" s="287"/>
      <c r="T28" s="287"/>
      <c r="U28" s="288"/>
    </row>
    <row r="29" spans="2:21" ht="19" customHeight="1">
      <c r="B29" s="489" t="s">
        <v>226</v>
      </c>
      <c r="C29" s="490"/>
      <c r="D29" s="490"/>
      <c r="E29" s="490"/>
      <c r="F29" s="942" t="s">
        <v>15</v>
      </c>
      <c r="G29" s="942"/>
      <c r="H29" s="943"/>
      <c r="J29" s="302"/>
      <c r="L29" s="294" t="s">
        <v>227</v>
      </c>
      <c r="M29" s="287"/>
      <c r="N29" s="287"/>
      <c r="O29" s="287"/>
      <c r="P29" s="295">
        <f>'Loan Sizing'!F41</f>
        <v>0.06</v>
      </c>
      <c r="Q29" s="295"/>
      <c r="R29" s="295">
        <f>'Loan Sizing'!G41</f>
        <v>0.06</v>
      </c>
      <c r="S29" s="295"/>
      <c r="T29" s="295">
        <f>'Loan Sizing'!H41</f>
        <v>0.06</v>
      </c>
      <c r="U29" s="296"/>
    </row>
    <row r="30" spans="2:21" ht="19" customHeight="1">
      <c r="B30" s="491"/>
      <c r="C30" s="492"/>
      <c r="D30" s="896"/>
      <c r="E30" s="495" t="s">
        <v>210</v>
      </c>
      <c r="F30" s="495" t="s">
        <v>19</v>
      </c>
      <c r="G30" s="495" t="s">
        <v>20</v>
      </c>
      <c r="H30" s="496" t="s">
        <v>21</v>
      </c>
      <c r="J30" s="302"/>
      <c r="L30" s="294" t="s">
        <v>228</v>
      </c>
      <c r="M30" s="287"/>
      <c r="N30" s="287"/>
      <c r="O30" s="287"/>
      <c r="P30" s="297">
        <f ca="1">'Loan Sizing'!F36</f>
        <v>3651867.5876161545</v>
      </c>
      <c r="Q30" s="297"/>
      <c r="R30" s="297">
        <f>'Loan Sizing'!G36</f>
        <v>0</v>
      </c>
      <c r="S30" s="297"/>
      <c r="T30" s="297">
        <f>'Loan Sizing'!H36</f>
        <v>0</v>
      </c>
      <c r="U30" s="298"/>
    </row>
    <row r="31" spans="2:21" ht="19" customHeight="1">
      <c r="B31" s="280" t="s">
        <v>29</v>
      </c>
      <c r="C31" s="257"/>
      <c r="D31" s="257"/>
      <c r="E31" s="257"/>
      <c r="F31" s="257"/>
      <c r="G31" s="257"/>
      <c r="H31" s="258"/>
      <c r="J31" s="303"/>
      <c r="L31" s="294" t="s">
        <v>229</v>
      </c>
      <c r="M31" s="287"/>
      <c r="N31" s="287"/>
      <c r="O31" s="287"/>
      <c r="P31" s="297">
        <f ca="1">'Loan Sizing'!F31</f>
        <v>60599496.972913936</v>
      </c>
      <c r="Q31" s="297"/>
      <c r="R31" s="297">
        <f>'Loan Sizing'!G31</f>
        <v>0</v>
      </c>
      <c r="S31" s="297"/>
      <c r="T31" s="297">
        <f>'Loan Sizing'!H31</f>
        <v>0</v>
      </c>
      <c r="U31" s="298"/>
    </row>
    <row r="32" spans="2:21" ht="19" customHeight="1">
      <c r="B32" s="282" t="s">
        <v>230</v>
      </c>
      <c r="C32" s="257"/>
      <c r="D32" s="283"/>
      <c r="E32" s="275">
        <f t="shared" ref="E32" si="4">SUM(F32:H32)</f>
        <v>273722.7</v>
      </c>
      <c r="F32" s="276">
        <f>Assumptions!F125</f>
        <v>106496.40000000001</v>
      </c>
      <c r="G32" s="276">
        <f>Assumptions!G125</f>
        <v>107750.7</v>
      </c>
      <c r="H32" s="281">
        <f>Assumptions!H125</f>
        <v>59475.6</v>
      </c>
      <c r="J32" s="302"/>
      <c r="L32" s="294" t="s">
        <v>222</v>
      </c>
      <c r="M32" s="287"/>
      <c r="N32" s="287"/>
      <c r="O32" s="287"/>
      <c r="P32" s="299">
        <f>'Loan Sizing'!F33</f>
        <v>0.8</v>
      </c>
      <c r="Q32" s="299"/>
      <c r="R32" s="299">
        <f>'Loan Sizing'!G33</f>
        <v>0.8</v>
      </c>
      <c r="S32" s="299"/>
      <c r="T32" s="299">
        <f>'Loan Sizing'!H33</f>
        <v>0.8</v>
      </c>
      <c r="U32" s="300"/>
    </row>
    <row r="33" spans="2:21" ht="19" customHeight="1">
      <c r="B33" s="282" t="str">
        <f>Assumptions!B132</f>
        <v>Food Hall</v>
      </c>
      <c r="C33" s="257"/>
      <c r="D33" s="283"/>
      <c r="E33" s="275">
        <f>SUM(F33:H33)</f>
        <v>14977</v>
      </c>
      <c r="F33" s="276">
        <v>14977</v>
      </c>
      <c r="G33" s="276">
        <f>Assumptions!G133</f>
        <v>0</v>
      </c>
      <c r="H33" s="281">
        <f>Assumptions!H133</f>
        <v>0</v>
      </c>
      <c r="J33" s="302"/>
      <c r="L33" s="294" t="s">
        <v>223</v>
      </c>
      <c r="M33" s="287"/>
      <c r="N33" s="287"/>
      <c r="O33" s="287"/>
      <c r="P33" s="297">
        <f ca="1">'Loan Sizing'!F34</f>
        <v>48479597.57833115</v>
      </c>
      <c r="Q33" s="297"/>
      <c r="R33" s="297">
        <f>'Loan Sizing'!G34</f>
        <v>0</v>
      </c>
      <c r="S33" s="297"/>
      <c r="T33" s="297">
        <f>'Loan Sizing'!H34</f>
        <v>0</v>
      </c>
      <c r="U33" s="298"/>
    </row>
    <row r="34" spans="2:21" ht="19" customHeight="1">
      <c r="B34" s="304" t="s">
        <v>217</v>
      </c>
      <c r="C34" s="305"/>
      <c r="D34" s="305"/>
      <c r="E34" s="306">
        <f>SUM(E32:E33)</f>
        <v>288699.7</v>
      </c>
      <c r="F34" s="307">
        <f>SUM(F32:F33)</f>
        <v>121473.40000000001</v>
      </c>
      <c r="G34" s="307">
        <f t="shared" ref="G34:H34" si="5">SUM(G32:G33)</f>
        <v>107750.7</v>
      </c>
      <c r="H34" s="308">
        <f t="shared" si="5"/>
        <v>59475.6</v>
      </c>
      <c r="J34" s="302"/>
      <c r="L34" s="294" t="s">
        <v>224</v>
      </c>
      <c r="M34" s="287"/>
      <c r="N34" s="287"/>
      <c r="O34" s="287"/>
      <c r="P34" s="381">
        <f>'Loan Sizing'!F38</f>
        <v>1.3</v>
      </c>
      <c r="Q34" s="381"/>
      <c r="R34" s="381">
        <f>'Loan Sizing'!G38</f>
        <v>1.3</v>
      </c>
      <c r="S34" s="381"/>
      <c r="T34" s="381">
        <f>'Loan Sizing'!H38</f>
        <v>1.3</v>
      </c>
      <c r="U34" s="288"/>
    </row>
    <row r="35" spans="2:21" ht="19" customHeight="1">
      <c r="B35" s="280" t="s">
        <v>35</v>
      </c>
      <c r="C35" s="257"/>
      <c r="D35" s="257"/>
      <c r="E35" s="275"/>
      <c r="F35" s="257"/>
      <c r="G35" s="257"/>
      <c r="H35" s="258"/>
      <c r="J35" s="302"/>
      <c r="L35" s="294" t="s">
        <v>225</v>
      </c>
      <c r="M35" s="287"/>
      <c r="N35" s="287"/>
      <c r="O35" s="287"/>
      <c r="P35" s="297">
        <f ca="1">'Loan Sizing'!F42</f>
        <v>46818815.225848131</v>
      </c>
      <c r="Q35" s="297"/>
      <c r="R35" s="297">
        <f>'Loan Sizing'!G42</f>
        <v>0</v>
      </c>
      <c r="S35" s="297"/>
      <c r="T35" s="297">
        <f>'Loan Sizing'!H42</f>
        <v>0</v>
      </c>
      <c r="U35" s="298"/>
    </row>
    <row r="36" spans="2:21" ht="19" customHeight="1">
      <c r="B36" s="282" t="str">
        <f>Assumptions!B159</f>
        <v>Conventional Office</v>
      </c>
      <c r="C36" s="257"/>
      <c r="D36" s="283"/>
      <c r="E36" s="275">
        <f>SUM(F36:H36)</f>
        <v>562500</v>
      </c>
      <c r="F36" s="276">
        <f>Assumptions!F160</f>
        <v>281250</v>
      </c>
      <c r="G36" s="276">
        <f>Assumptions!G160</f>
        <v>281250</v>
      </c>
      <c r="H36" s="281">
        <f>Assumptions!H160</f>
        <v>0</v>
      </c>
      <c r="J36" s="302"/>
      <c r="L36" s="294"/>
      <c r="M36" s="287"/>
      <c r="N36" s="287"/>
      <c r="O36" s="287"/>
      <c r="P36" s="297"/>
      <c r="Q36" s="297"/>
      <c r="R36" s="297"/>
      <c r="S36" s="297"/>
      <c r="T36" s="297"/>
      <c r="U36" s="298"/>
    </row>
    <row r="37" spans="2:21" ht="19" customHeight="1">
      <c r="B37" s="304" t="s">
        <v>217</v>
      </c>
      <c r="C37" s="305"/>
      <c r="D37" s="305"/>
      <c r="E37" s="306">
        <f>SUM(E36)</f>
        <v>562500</v>
      </c>
      <c r="F37" s="307">
        <f>SUM(F36)</f>
        <v>281250</v>
      </c>
      <c r="G37" s="307">
        <f t="shared" ref="G37:H37" si="6">SUM(G36)</f>
        <v>281250</v>
      </c>
      <c r="H37" s="308">
        <f t="shared" si="6"/>
        <v>0</v>
      </c>
      <c r="J37" s="302"/>
      <c r="L37" s="286" t="s">
        <v>231</v>
      </c>
      <c r="M37" s="287"/>
      <c r="N37" s="287"/>
      <c r="O37" s="287"/>
      <c r="P37" s="287"/>
      <c r="Q37" s="287"/>
      <c r="R37" s="287"/>
      <c r="S37" s="287"/>
      <c r="T37" s="287"/>
      <c r="U37" s="288"/>
    </row>
    <row r="38" spans="2:21" ht="19" customHeight="1">
      <c r="B38" s="280" t="s">
        <v>232</v>
      </c>
      <c r="C38" s="257"/>
      <c r="D38" s="257"/>
      <c r="E38" s="275"/>
      <c r="F38" s="257"/>
      <c r="G38" s="257"/>
      <c r="H38" s="258"/>
      <c r="J38" s="302"/>
      <c r="L38" s="294" t="s">
        <v>227</v>
      </c>
      <c r="M38" s="287"/>
      <c r="N38" s="287"/>
      <c r="O38" s="287"/>
      <c r="P38" s="295">
        <f>'Loan Sizing'!F57</f>
        <v>5.5E-2</v>
      </c>
      <c r="Q38" s="295"/>
      <c r="R38" s="295">
        <f>'Loan Sizing'!G57</f>
        <v>5.5E-2</v>
      </c>
      <c r="S38" s="295"/>
      <c r="T38" s="295">
        <f>'Loan Sizing'!H57</f>
        <v>5.5E-2</v>
      </c>
      <c r="U38" s="296"/>
    </row>
    <row r="39" spans="2:21" ht="19" customHeight="1">
      <c r="B39" s="709" t="s">
        <v>206</v>
      </c>
      <c r="C39" s="257"/>
      <c r="D39" s="283"/>
      <c r="E39" s="275">
        <f>SUM(F39:H39)</f>
        <v>37874.000001</v>
      </c>
      <c r="F39" s="276">
        <f>Assumptions!F210</f>
        <v>37874</v>
      </c>
      <c r="G39" s="276">
        <f>Assumptions!G210</f>
        <v>9.9999999999999995E-7</v>
      </c>
      <c r="H39" s="281">
        <f>Assumptions!H210</f>
        <v>0</v>
      </c>
      <c r="J39" s="302"/>
      <c r="L39" s="294" t="s">
        <v>233</v>
      </c>
      <c r="M39" s="287"/>
      <c r="N39" s="287"/>
      <c r="O39" s="287"/>
      <c r="P39" s="297">
        <f>'Loan Sizing'!F52</f>
        <v>184018.75439826321</v>
      </c>
      <c r="Q39" s="297"/>
      <c r="R39" s="297">
        <f ca="1">'Loan Sizing'!G52</f>
        <v>7.8374999999999991E-6</v>
      </c>
      <c r="S39" s="297"/>
      <c r="T39" s="297">
        <f>'Loan Sizing'!H52</f>
        <v>0</v>
      </c>
      <c r="U39" s="298"/>
    </row>
    <row r="40" spans="2:21" ht="19" customHeight="1">
      <c r="B40" s="304" t="s">
        <v>217</v>
      </c>
      <c r="C40" s="305"/>
      <c r="D40" s="305"/>
      <c r="E40" s="306">
        <f>SUM(E39:E39)</f>
        <v>37874.000001</v>
      </c>
      <c r="F40" s="307">
        <f>SUM(F39:F39)</f>
        <v>37874</v>
      </c>
      <c r="G40" s="307">
        <f>SUM(G39:G39)</f>
        <v>9.9999999999999995E-7</v>
      </c>
      <c r="H40" s="308">
        <f>SUM(H39:H39)</f>
        <v>0</v>
      </c>
      <c r="J40" s="303"/>
      <c r="L40" s="294" t="s">
        <v>234</v>
      </c>
      <c r="M40" s="287"/>
      <c r="N40" s="287"/>
      <c r="O40" s="287"/>
      <c r="P40" s="297">
        <f>'Loan Sizing'!F47</f>
        <v>3345795.5345138763</v>
      </c>
      <c r="Q40" s="297"/>
      <c r="R40" s="297">
        <f ca="1">'Loan Sizing'!G47</f>
        <v>1.4249999999999999E-4</v>
      </c>
      <c r="S40" s="297"/>
      <c r="T40" s="297">
        <f ca="1">'Loan Sizing'!H47</f>
        <v>0</v>
      </c>
      <c r="U40" s="298"/>
    </row>
    <row r="41" spans="2:21" ht="19" customHeight="1">
      <c r="J41" s="302"/>
      <c r="L41" s="294" t="s">
        <v>222</v>
      </c>
      <c r="M41" s="287"/>
      <c r="N41" s="287"/>
      <c r="O41" s="287"/>
      <c r="P41" s="299">
        <f>'Loan Sizing'!F49</f>
        <v>0.75</v>
      </c>
      <c r="Q41" s="299"/>
      <c r="R41" s="299">
        <f>'Loan Sizing'!G49</f>
        <v>0.75</v>
      </c>
      <c r="S41" s="299"/>
      <c r="T41" s="299">
        <f>'Loan Sizing'!H49</f>
        <v>0.75</v>
      </c>
      <c r="U41" s="300"/>
    </row>
    <row r="42" spans="2:21" ht="19" customHeight="1">
      <c r="B42" s="489" t="s">
        <v>235</v>
      </c>
      <c r="C42" s="490"/>
      <c r="D42" s="940" t="s">
        <v>236</v>
      </c>
      <c r="E42" s="490"/>
      <c r="F42" s="942" t="s">
        <v>15</v>
      </c>
      <c r="G42" s="942"/>
      <c r="H42" s="943"/>
      <c r="J42" s="302"/>
      <c r="L42" s="294" t="s">
        <v>223</v>
      </c>
      <c r="M42" s="287"/>
      <c r="N42" s="287"/>
      <c r="O42" s="287"/>
      <c r="P42" s="297">
        <f>'Loan Sizing'!F50</f>
        <v>2509346.6508854073</v>
      </c>
      <c r="Q42" s="297"/>
      <c r="R42" s="297">
        <f ca="1">'Loan Sizing'!G50</f>
        <v>1.06875E-4</v>
      </c>
      <c r="S42" s="297"/>
      <c r="T42" s="297">
        <f ca="1">'Loan Sizing'!H50</f>
        <v>0</v>
      </c>
      <c r="U42" s="298"/>
    </row>
    <row r="43" spans="2:21" ht="19" customHeight="1">
      <c r="B43" s="491"/>
      <c r="C43" s="492"/>
      <c r="D43" s="941"/>
      <c r="E43" s="495" t="s">
        <v>210</v>
      </c>
      <c r="F43" s="495" t="s">
        <v>19</v>
      </c>
      <c r="G43" s="495" t="s">
        <v>20</v>
      </c>
      <c r="H43" s="496" t="s">
        <v>21</v>
      </c>
      <c r="J43" s="302"/>
      <c r="L43" s="294" t="s">
        <v>224</v>
      </c>
      <c r="M43" s="287"/>
      <c r="N43" s="287"/>
      <c r="O43" s="287"/>
      <c r="P43" s="381">
        <f>'Loan Sizing'!F54</f>
        <v>1.3</v>
      </c>
      <c r="Q43" s="381"/>
      <c r="R43" s="381">
        <f>'Loan Sizing'!G54</f>
        <v>1.3</v>
      </c>
      <c r="S43" s="381"/>
      <c r="T43" s="381">
        <f>'Loan Sizing'!H54</f>
        <v>1.3</v>
      </c>
      <c r="U43" s="288"/>
    </row>
    <row r="44" spans="2:21" ht="19" customHeight="1">
      <c r="B44" s="280" t="s">
        <v>237</v>
      </c>
      <c r="C44" s="257"/>
      <c r="D44" s="257"/>
      <c r="E44" s="275"/>
      <c r="F44" s="257"/>
      <c r="G44" s="257"/>
      <c r="H44" s="258"/>
      <c r="J44" s="302"/>
      <c r="L44" s="294" t="s">
        <v>225</v>
      </c>
      <c r="M44" s="287"/>
      <c r="N44" s="287"/>
      <c r="O44" s="287"/>
      <c r="P44" s="297">
        <f>'Loan Sizing'!F58</f>
        <v>2573688.8727029818</v>
      </c>
      <c r="Q44" s="297"/>
      <c r="R44" s="297">
        <f ca="1">'Loan Sizing'!G58</f>
        <v>1.096153846153846E-4</v>
      </c>
      <c r="S44" s="297"/>
      <c r="T44" s="297">
        <f>'Loan Sizing'!H58</f>
        <v>0</v>
      </c>
      <c r="U44" s="298"/>
    </row>
    <row r="45" spans="2:21" ht="19" customHeight="1">
      <c r="B45" s="709" t="s">
        <v>238</v>
      </c>
      <c r="C45" s="257"/>
      <c r="D45" s="768">
        <f>Assumptions!E94</f>
        <v>400</v>
      </c>
      <c r="E45" s="767">
        <f>SUM(F45:H45)</f>
        <v>129.27187499999999</v>
      </c>
      <c r="F45" s="772">
        <f>Assumptions!$F$93</f>
        <v>129.27187499999999</v>
      </c>
      <c r="G45" s="772">
        <v>0</v>
      </c>
      <c r="H45" s="773">
        <v>0</v>
      </c>
      <c r="J45" s="302"/>
      <c r="L45" s="294"/>
      <c r="M45" s="287"/>
      <c r="N45" s="287"/>
      <c r="O45" s="287"/>
      <c r="P45" s="297"/>
      <c r="Q45" s="297"/>
      <c r="R45" s="297"/>
      <c r="S45" s="297"/>
      <c r="T45" s="297"/>
      <c r="U45" s="298"/>
    </row>
    <row r="46" spans="2:21" ht="19" customHeight="1">
      <c r="B46" s="709" t="s">
        <v>239</v>
      </c>
      <c r="C46" s="257"/>
      <c r="D46" s="768">
        <f>+D45</f>
        <v>400</v>
      </c>
      <c r="E46" s="767">
        <f>SUM(F46:H46)</f>
        <v>0</v>
      </c>
      <c r="F46" s="772">
        <v>0</v>
      </c>
      <c r="G46" s="772">
        <f>Assumptions!$G$93</f>
        <v>0</v>
      </c>
      <c r="H46" s="773">
        <v>0</v>
      </c>
      <c r="J46" s="302"/>
      <c r="L46" s="286" t="s">
        <v>240</v>
      </c>
      <c r="M46" s="257"/>
      <c r="N46" s="257"/>
      <c r="O46" s="257"/>
      <c r="P46" s="310">
        <f>'Phase I Pro Forma'!D301</f>
        <v>61171525</v>
      </c>
      <c r="Q46" s="310"/>
      <c r="R46" s="310">
        <f ca="1">'Phase II Pro Forma'!D233</f>
        <v>101366297.51979429</v>
      </c>
      <c r="S46" s="310"/>
      <c r="T46" s="310">
        <v>0</v>
      </c>
      <c r="U46" s="311"/>
    </row>
    <row r="47" spans="2:21" ht="19" customHeight="1">
      <c r="B47" s="709" t="s">
        <v>241</v>
      </c>
      <c r="C47" s="257"/>
      <c r="D47" s="768">
        <f>+D45</f>
        <v>400</v>
      </c>
      <c r="E47" s="767">
        <f>SUM(F47:H47)</f>
        <v>0</v>
      </c>
      <c r="F47" s="772">
        <v>0</v>
      </c>
      <c r="G47" s="772">
        <v>0</v>
      </c>
      <c r="H47" s="773">
        <f>Assumptions!$H$93</f>
        <v>0</v>
      </c>
      <c r="J47" s="302"/>
      <c r="L47" s="286" t="s">
        <v>242</v>
      </c>
      <c r="M47" s="257"/>
      <c r="N47" s="257"/>
      <c r="O47" s="257"/>
      <c r="P47" s="310">
        <f ca="1">'Loan Sizing'!F64</f>
        <v>274106406.49717534</v>
      </c>
      <c r="Q47" s="310"/>
      <c r="R47" s="310">
        <f ca="1">'Loan Sizing'!G64</f>
        <v>319811284.74665064</v>
      </c>
      <c r="S47" s="310"/>
      <c r="T47" s="310">
        <f>'Loan Sizing'!H64</f>
        <v>235781398.61585712</v>
      </c>
      <c r="U47" s="311"/>
    </row>
    <row r="48" spans="2:21" ht="19" customHeight="1">
      <c r="B48" s="774" t="s">
        <v>217</v>
      </c>
      <c r="C48" s="775"/>
      <c r="D48" s="775"/>
      <c r="E48" s="776">
        <f>SUM(E45:E47)</f>
        <v>129.27187499999999</v>
      </c>
      <c r="F48" s="777">
        <f t="shared" ref="F48:H48" si="7">SUM(F45:F47)</f>
        <v>129.27187499999999</v>
      </c>
      <c r="G48" s="777">
        <f t="shared" si="7"/>
        <v>0</v>
      </c>
      <c r="H48" s="778">
        <f t="shared" si="7"/>
        <v>0</v>
      </c>
      <c r="J48" s="302"/>
      <c r="L48" s="312" t="s">
        <v>243</v>
      </c>
      <c r="M48" s="313"/>
      <c r="N48" s="313"/>
      <c r="O48" s="313"/>
      <c r="P48" s="314">
        <f>'Phase I Pro Forma'!J280</f>
        <v>16977894.798318658</v>
      </c>
      <c r="Q48" s="314"/>
      <c r="R48" s="314">
        <f ca="1">R46*0.09</f>
        <v>9122966.7767814845</v>
      </c>
      <c r="S48" s="314"/>
      <c r="T48" s="314">
        <v>0</v>
      </c>
      <c r="U48" s="315"/>
    </row>
    <row r="49" spans="2:21" ht="19" customHeight="1">
      <c r="B49" s="779" t="s">
        <v>244</v>
      </c>
      <c r="C49" s="326"/>
      <c r="D49" s="326"/>
      <c r="E49" s="780"/>
      <c r="F49" s="326"/>
      <c r="G49" s="326"/>
      <c r="H49" s="327"/>
      <c r="J49" s="303"/>
    </row>
    <row r="50" spans="2:21" ht="19" customHeight="1">
      <c r="B50" s="873" t="str">
        <f>Assumptions!B141</f>
        <v>Nader Museum</v>
      </c>
      <c r="C50" s="257"/>
      <c r="D50" s="768"/>
      <c r="E50" s="767">
        <f t="shared" ref="E50:E51" si="8">SUM(F50:H50)</f>
        <v>107898.0001</v>
      </c>
      <c r="F50" s="772">
        <f>Assumptions!F142</f>
        <v>107898</v>
      </c>
      <c r="G50" s="772">
        <f>Assumptions!G142</f>
        <v>1E-4</v>
      </c>
      <c r="H50" s="773">
        <f>Assumptions!H142</f>
        <v>0</v>
      </c>
      <c r="J50" s="302"/>
      <c r="L50" s="489" t="s">
        <v>245</v>
      </c>
      <c r="M50" s="490"/>
      <c r="N50" s="490"/>
      <c r="O50" s="490"/>
      <c r="P50" s="942" t="s">
        <v>15</v>
      </c>
      <c r="Q50" s="942"/>
      <c r="R50" s="942"/>
      <c r="S50" s="942"/>
      <c r="T50" s="942"/>
      <c r="U50" s="895"/>
    </row>
    <row r="51" spans="2:21" ht="19" customHeight="1">
      <c r="B51" s="873" t="s">
        <v>246</v>
      </c>
      <c r="C51" s="257"/>
      <c r="D51" s="768"/>
      <c r="E51" s="767">
        <f t="shared" si="8"/>
        <v>0</v>
      </c>
      <c r="F51" s="772">
        <f>Assumptions!F146</f>
        <v>0</v>
      </c>
      <c r="G51" s="772">
        <f>Assumptions!G146</f>
        <v>0</v>
      </c>
      <c r="H51" s="773">
        <f>Assumptions!H146</f>
        <v>0</v>
      </c>
      <c r="J51" s="302"/>
      <c r="L51" s="498"/>
      <c r="M51" s="499"/>
      <c r="N51" s="499"/>
      <c r="O51" s="515" t="s">
        <v>210</v>
      </c>
      <c r="P51" s="515" t="s">
        <v>19</v>
      </c>
      <c r="Q51" s="515" t="s">
        <v>247</v>
      </c>
      <c r="R51" s="515" t="s">
        <v>20</v>
      </c>
      <c r="S51" s="515" t="s">
        <v>247</v>
      </c>
      <c r="T51" s="515" t="s">
        <v>21</v>
      </c>
      <c r="U51" s="516" t="s">
        <v>247</v>
      </c>
    </row>
    <row r="52" spans="2:21" ht="19" customHeight="1">
      <c r="B52" s="872" t="s">
        <v>246</v>
      </c>
      <c r="C52" s="313"/>
      <c r="D52" s="637"/>
      <c r="E52" s="638">
        <v>0</v>
      </c>
      <c r="F52" s="639">
        <v>0</v>
      </c>
      <c r="G52" s="639">
        <f>Assumptions!G150</f>
        <v>0</v>
      </c>
      <c r="H52" s="640">
        <f>Assumptions!H150</f>
        <v>0</v>
      </c>
      <c r="J52" s="302"/>
      <c r="L52" s="280" t="s">
        <v>248</v>
      </c>
      <c r="M52" s="259"/>
      <c r="N52" s="259"/>
      <c r="O52" s="259"/>
      <c r="P52" s="259"/>
      <c r="Q52" s="259"/>
      <c r="R52" s="259"/>
      <c r="S52" s="259"/>
      <c r="T52" s="259"/>
      <c r="U52" s="277"/>
    </row>
    <row r="53" spans="2:21" ht="19" customHeight="1">
      <c r="B53" s="632" t="s">
        <v>217</v>
      </c>
      <c r="C53" s="633"/>
      <c r="D53" s="633"/>
      <c r="E53" s="634">
        <f>SUM(E50:E52)</f>
        <v>107898.0001</v>
      </c>
      <c r="F53" s="635">
        <f>SUM(F50:F52)</f>
        <v>107898</v>
      </c>
      <c r="G53" s="635">
        <f t="shared" ref="G53:H53" si="9">SUM(G50:G52)</f>
        <v>1E-4</v>
      </c>
      <c r="H53" s="636">
        <f t="shared" si="9"/>
        <v>0</v>
      </c>
      <c r="J53" s="302"/>
      <c r="L53" s="890" t="s">
        <v>249</v>
      </c>
      <c r="M53" s="248"/>
      <c r="N53" s="248"/>
      <c r="O53" s="303"/>
      <c r="P53" s="303"/>
      <c r="Q53" s="303"/>
      <c r="R53" s="276"/>
      <c r="S53" s="276"/>
      <c r="T53" s="276"/>
      <c r="U53" s="281"/>
    </row>
    <row r="54" spans="2:21" ht="19" customHeight="1">
      <c r="B54" s="280" t="s">
        <v>250</v>
      </c>
      <c r="C54" s="257"/>
      <c r="D54" s="257"/>
      <c r="E54" s="275"/>
      <c r="F54" s="257"/>
      <c r="G54" s="257"/>
      <c r="H54" s="258"/>
      <c r="J54" s="302"/>
      <c r="L54" s="616" t="s">
        <v>251</v>
      </c>
      <c r="M54" s="248"/>
      <c r="N54" s="248"/>
      <c r="O54" s="317">
        <v>86569818</v>
      </c>
      <c r="P54" s="317">
        <f>O54</f>
        <v>86569818</v>
      </c>
      <c r="Q54" s="318">
        <f>P54/P$55</f>
        <v>1</v>
      </c>
      <c r="R54" s="317">
        <v>0</v>
      </c>
      <c r="S54" s="318">
        <v>0</v>
      </c>
      <c r="T54" s="317">
        <v>0</v>
      </c>
      <c r="U54" s="319">
        <v>0</v>
      </c>
    </row>
    <row r="55" spans="2:21" ht="19" customHeight="1">
      <c r="B55" s="282" t="s">
        <v>39</v>
      </c>
      <c r="C55" s="257"/>
      <c r="D55" s="283">
        <f>Assumptions!F178</f>
        <v>250</v>
      </c>
      <c r="E55" s="275">
        <f>SUM(F55:H55)</f>
        <v>2730.424</v>
      </c>
      <c r="F55" s="276">
        <f>Assumptions!F177</f>
        <v>1516.5360000000001</v>
      </c>
      <c r="G55" s="276">
        <f>Assumptions!G177</f>
        <v>421.71199999999999</v>
      </c>
      <c r="H55" s="281">
        <f>Assumptions!H177</f>
        <v>792.17600000000004</v>
      </c>
      <c r="J55" s="302"/>
      <c r="L55" s="891" t="s">
        <v>252</v>
      </c>
      <c r="M55" s="386"/>
      <c r="N55" s="386"/>
      <c r="O55" s="387">
        <f>O54</f>
        <v>86569818</v>
      </c>
      <c r="P55" s="387">
        <f>P54</f>
        <v>86569818</v>
      </c>
      <c r="Q55" s="388"/>
      <c r="R55" s="387">
        <f>R54</f>
        <v>0</v>
      </c>
      <c r="S55" s="388"/>
      <c r="T55" s="387">
        <f>T54</f>
        <v>0</v>
      </c>
      <c r="U55" s="389"/>
    </row>
    <row r="56" spans="2:21" ht="19" customHeight="1">
      <c r="B56" s="282" t="s">
        <v>41</v>
      </c>
      <c r="C56" s="257"/>
      <c r="D56" s="283">
        <v>250</v>
      </c>
      <c r="E56" s="275">
        <f>SUM(F56:H56)</f>
        <v>1427</v>
      </c>
      <c r="F56" s="276">
        <f>Assumptions!F191</f>
        <v>1427</v>
      </c>
      <c r="G56" s="276">
        <f>Assumptions!G191</f>
        <v>0</v>
      </c>
      <c r="H56" s="281">
        <f>Assumptions!H191</f>
        <v>0</v>
      </c>
      <c r="J56" s="302"/>
      <c r="L56" s="890" t="s">
        <v>253</v>
      </c>
      <c r="M56" s="248"/>
      <c r="N56" s="248"/>
      <c r="O56" s="317"/>
      <c r="P56" s="322"/>
      <c r="Q56" s="323"/>
      <c r="R56" s="322"/>
      <c r="S56" s="323"/>
      <c r="T56" s="322"/>
      <c r="U56" s="324"/>
    </row>
    <row r="57" spans="2:21" ht="19" customHeight="1">
      <c r="B57" s="304" t="s">
        <v>217</v>
      </c>
      <c r="C57" s="305"/>
      <c r="D57" s="305"/>
      <c r="E57" s="306">
        <f>SUM(E55:E56)</f>
        <v>4157.424</v>
      </c>
      <c r="F57" s="307">
        <f>SUM(F55:F56)</f>
        <v>2943.5360000000001</v>
      </c>
      <c r="G57" s="307">
        <f t="shared" ref="G57:H57" si="10">SUM(G55:G56)</f>
        <v>421.71199999999999</v>
      </c>
      <c r="H57" s="308">
        <f t="shared" si="10"/>
        <v>792.17600000000004</v>
      </c>
      <c r="J57" s="302"/>
      <c r="L57" s="616" t="s">
        <v>254</v>
      </c>
      <c r="M57" s="248"/>
      <c r="N57" s="248"/>
      <c r="O57" s="317">
        <f>SUM(P57:T57)</f>
        <v>166707134</v>
      </c>
      <c r="P57" s="317">
        <f>'S&amp;U'!H7</f>
        <v>79998202</v>
      </c>
      <c r="Q57" s="318">
        <v>1</v>
      </c>
      <c r="R57" s="317">
        <f>'S&amp;U'!I7</f>
        <v>86708931</v>
      </c>
      <c r="S57" s="318">
        <v>0</v>
      </c>
      <c r="T57" s="317">
        <f>'S&amp;U'!J7</f>
        <v>0</v>
      </c>
      <c r="U57" s="319">
        <v>0</v>
      </c>
    </row>
    <row r="58" spans="2:21" ht="19" customHeight="1">
      <c r="B58" s="382"/>
      <c r="J58" s="309"/>
      <c r="L58" s="616" t="s">
        <v>255</v>
      </c>
      <c r="M58" s="248"/>
      <c r="N58" s="248"/>
      <c r="O58" s="317">
        <f>SUM(P58+R58+T58)</f>
        <v>77375650</v>
      </c>
      <c r="P58" s="317">
        <f>'S&amp;U'!H8</f>
        <v>67748080</v>
      </c>
      <c r="Q58" s="318">
        <f>P58/O58</f>
        <v>0.87557364623108169</v>
      </c>
      <c r="R58" s="317">
        <f>'S&amp;U'!I8</f>
        <v>7301355</v>
      </c>
      <c r="S58" s="318">
        <f>R58/O58</f>
        <v>9.4362438312311434E-2</v>
      </c>
      <c r="T58" s="317">
        <f>'S&amp;U'!J8</f>
        <v>2326215</v>
      </c>
      <c r="U58" s="319">
        <f>T58/O58</f>
        <v>3.0063915456606825E-2</v>
      </c>
    </row>
    <row r="59" spans="2:21" ht="19" customHeight="1">
      <c r="B59" s="489" t="s">
        <v>256</v>
      </c>
      <c r="C59" s="490"/>
      <c r="D59" s="490"/>
      <c r="E59" s="942" t="s">
        <v>257</v>
      </c>
      <c r="F59" s="942"/>
      <c r="G59" s="497" t="s">
        <v>258</v>
      </c>
      <c r="H59" s="895" t="s">
        <v>57</v>
      </c>
      <c r="J59" s="303"/>
      <c r="L59" s="616" t="s">
        <v>259</v>
      </c>
      <c r="M59" s="259"/>
      <c r="N59" s="259"/>
      <c r="O59" s="317">
        <f>SUM(P59+R59+T59)</f>
        <v>2687323.32</v>
      </c>
      <c r="P59" s="317">
        <f>'S&amp;U'!H9</f>
        <v>2687323.32</v>
      </c>
      <c r="Q59" s="318">
        <v>1</v>
      </c>
      <c r="R59" s="317">
        <f>'S&amp;U'!I9</f>
        <v>0</v>
      </c>
      <c r="S59" s="318">
        <v>0</v>
      </c>
      <c r="T59" s="317">
        <f>'S&amp;U'!J9</f>
        <v>0</v>
      </c>
      <c r="U59" s="319">
        <v>0</v>
      </c>
    </row>
    <row r="60" spans="2:21" ht="19" customHeight="1">
      <c r="B60" s="498"/>
      <c r="C60" s="499"/>
      <c r="D60" s="500"/>
      <c r="E60" s="501" t="s">
        <v>48</v>
      </c>
      <c r="F60" s="501" t="s">
        <v>47</v>
      </c>
      <c r="G60" s="501" t="s">
        <v>260</v>
      </c>
      <c r="H60" s="502" t="s">
        <v>261</v>
      </c>
      <c r="J60" s="302"/>
      <c r="L60" s="616" t="s">
        <v>262</v>
      </c>
      <c r="M60" s="259"/>
      <c r="N60" s="259"/>
      <c r="O60" s="317">
        <f ca="1">SUM(P60:T60)</f>
        <v>34883835.968719169</v>
      </c>
      <c r="P60" s="317">
        <f ca="1">'S&amp;U'!H10</f>
        <v>16041062.186010391</v>
      </c>
      <c r="Q60" s="318">
        <f ca="1">P60/P$64</f>
        <v>9.6357376328330829E-2</v>
      </c>
      <c r="R60" s="317">
        <f ca="1">'S&amp;U'!I10</f>
        <v>7605262.3537985599</v>
      </c>
      <c r="S60" s="318">
        <f ca="1">R60/R$64</f>
        <v>7.4843490755165151E-2</v>
      </c>
      <c r="T60" s="317">
        <f ca="1">'S&amp;U'!J10</f>
        <v>11237511.257709347</v>
      </c>
      <c r="U60" s="319">
        <f ca="1">T60/T$64</f>
        <v>0.8284973497841106</v>
      </c>
    </row>
    <row r="61" spans="2:21" ht="19" customHeight="1">
      <c r="B61" s="325" t="s">
        <v>214</v>
      </c>
      <c r="C61" s="326"/>
      <c r="D61" s="326"/>
      <c r="E61" s="326"/>
      <c r="F61" s="326"/>
      <c r="G61" s="326"/>
      <c r="H61" s="327"/>
      <c r="J61" s="302"/>
      <c r="L61" s="616" t="s">
        <v>263</v>
      </c>
      <c r="M61" s="259"/>
      <c r="N61" s="259"/>
      <c r="O61" s="317">
        <f ca="1">SUM(P61:T61)</f>
        <v>0</v>
      </c>
      <c r="P61" s="317">
        <f>'S&amp;U'!H11</f>
        <v>0</v>
      </c>
      <c r="Q61" s="318">
        <f t="shared" ref="Q61" ca="1" si="11">P61/P$64</f>
        <v>0</v>
      </c>
      <c r="R61" s="317">
        <f>'S&amp;U'!I11</f>
        <v>0</v>
      </c>
      <c r="S61" s="318">
        <f ca="1">R61/R$64</f>
        <v>0</v>
      </c>
      <c r="T61" s="317">
        <f>'S&amp;U'!J11</f>
        <v>0</v>
      </c>
      <c r="U61" s="319">
        <f ca="1">T61/T$64</f>
        <v>0</v>
      </c>
    </row>
    <row r="62" spans="2:21" ht="19" customHeight="1">
      <c r="B62" s="781" t="s">
        <v>45</v>
      </c>
      <c r="C62" s="257"/>
      <c r="D62" s="257"/>
      <c r="E62" s="329">
        <f>Assumptions!F64</f>
        <v>1821</v>
      </c>
      <c r="F62" s="390">
        <f>Assumptions!F63</f>
        <v>42.348837209302324</v>
      </c>
      <c r="G62" s="330">
        <f>Assumptions!$M$64</f>
        <v>0.03</v>
      </c>
      <c r="H62" s="331">
        <f>Assumptions!$M$55</f>
        <v>0.05</v>
      </c>
      <c r="J62" s="302"/>
      <c r="L62" s="616" t="s">
        <v>264</v>
      </c>
      <c r="M62" s="259"/>
      <c r="N62" s="259"/>
      <c r="O62" s="317">
        <f ca="1">SUM(P62:T62)</f>
        <v>0</v>
      </c>
      <c r="P62" s="317">
        <f>'S&amp;U'!H12</f>
        <v>0</v>
      </c>
      <c r="Q62" s="318">
        <f ca="1">P62/P$64</f>
        <v>0</v>
      </c>
      <c r="R62" s="317">
        <f>'S&amp;U'!I12</f>
        <v>0</v>
      </c>
      <c r="S62" s="318">
        <f ca="1">R62/R$64</f>
        <v>0</v>
      </c>
      <c r="T62" s="317">
        <f>'S&amp;U'!J12</f>
        <v>0</v>
      </c>
      <c r="U62" s="319">
        <f ca="1">T62/T$64</f>
        <v>0</v>
      </c>
    </row>
    <row r="63" spans="2:21" ht="19" customHeight="1">
      <c r="B63" s="781" t="s">
        <v>49</v>
      </c>
      <c r="C63" s="257"/>
      <c r="D63" s="257"/>
      <c r="E63" s="329">
        <f>Assumptions!F68</f>
        <v>1922</v>
      </c>
      <c r="F63" s="390">
        <f>Assumptions!F67</f>
        <v>32.033333333333331</v>
      </c>
      <c r="G63" s="330">
        <f>Assumptions!$M$64</f>
        <v>0.03</v>
      </c>
      <c r="H63" s="331">
        <f>Assumptions!$M$55</f>
        <v>0.05</v>
      </c>
      <c r="J63" s="302"/>
      <c r="L63" s="616" t="s">
        <v>265</v>
      </c>
      <c r="M63" s="257"/>
      <c r="N63" s="257"/>
      <c r="O63" s="317">
        <f ca="1">SUM(P63:T63)</f>
        <v>0</v>
      </c>
      <c r="P63" s="317">
        <f ca="1">'S&amp;U'!H13</f>
        <v>0</v>
      </c>
      <c r="Q63" s="318">
        <f ca="1">P63/P$64</f>
        <v>0</v>
      </c>
      <c r="R63" s="317">
        <f ca="1">'S&amp;U'!I13</f>
        <v>0</v>
      </c>
      <c r="S63" s="318">
        <f ca="1">R63/R$64</f>
        <v>0</v>
      </c>
      <c r="T63" s="317">
        <f ca="1">'S&amp;U'!J13</f>
        <v>0</v>
      </c>
      <c r="U63" s="319">
        <f ca="1">T63/T$64</f>
        <v>0</v>
      </c>
    </row>
    <row r="64" spans="2:21" ht="19" customHeight="1">
      <c r="B64" s="781" t="s">
        <v>51</v>
      </c>
      <c r="C64" s="257"/>
      <c r="D64" s="257"/>
      <c r="E64" s="329">
        <f>Assumptions!F72</f>
        <v>2801</v>
      </c>
      <c r="F64" s="390">
        <f>Assumptions!F71</f>
        <v>31.920227920227919</v>
      </c>
      <c r="G64" s="330">
        <f>Assumptions!$M$64</f>
        <v>0.03</v>
      </c>
      <c r="H64" s="331">
        <f>Assumptions!$M$55</f>
        <v>0.05</v>
      </c>
      <c r="J64" s="302"/>
      <c r="L64" s="385" t="s">
        <v>266</v>
      </c>
      <c r="M64" s="386"/>
      <c r="N64" s="386"/>
      <c r="O64" s="387">
        <f ca="1">SUM(P64:T64)</f>
        <v>281653942.11751825</v>
      </c>
      <c r="P64" s="387">
        <f ca="1">'S&amp;U'!H14</f>
        <v>166474667.50601038</v>
      </c>
      <c r="Q64" s="388"/>
      <c r="R64" s="387">
        <f ca="1">'S&amp;U'!I14</f>
        <v>101615548.35379855</v>
      </c>
      <c r="S64" s="388"/>
      <c r="T64" s="387">
        <f ca="1">'S&amp;U'!J14</f>
        <v>13563726.257709347</v>
      </c>
      <c r="U64" s="389"/>
    </row>
    <row r="65" spans="2:21" ht="19" customHeight="1">
      <c r="B65" s="781" t="s">
        <v>54</v>
      </c>
      <c r="C65" s="257"/>
      <c r="D65" s="257"/>
      <c r="E65" s="329">
        <f>Assumptions!F76</f>
        <v>4175</v>
      </c>
      <c r="F65" s="390">
        <f>Assumptions!F75</f>
        <v>32.638436482084693</v>
      </c>
      <c r="G65" s="330">
        <f>Assumptions!$M$64</f>
        <v>0.03</v>
      </c>
      <c r="H65" s="331">
        <f>Assumptions!$M$55</f>
        <v>0.05</v>
      </c>
      <c r="J65" s="302"/>
      <c r="L65" s="282"/>
      <c r="M65" s="248"/>
      <c r="N65" s="248"/>
      <c r="O65" s="317"/>
      <c r="P65" s="317"/>
      <c r="Q65" s="320"/>
      <c r="R65" s="317"/>
      <c r="S65" s="320"/>
      <c r="T65" s="317"/>
      <c r="U65" s="321"/>
    </row>
    <row r="66" spans="2:21" ht="19" customHeight="1">
      <c r="B66" s="781" t="s">
        <v>82</v>
      </c>
      <c r="C66" s="257"/>
      <c r="D66" s="257"/>
      <c r="E66" s="329">
        <f>Assumptions!F80</f>
        <v>0</v>
      </c>
      <c r="F66" s="390">
        <f>Assumptions!F79</f>
        <v>0</v>
      </c>
      <c r="G66" s="330">
        <f>Assumptions!$M$64</f>
        <v>0.03</v>
      </c>
      <c r="H66" s="331">
        <f>Assumptions!$M$55</f>
        <v>0.05</v>
      </c>
      <c r="J66" s="302"/>
      <c r="L66" s="286" t="s">
        <v>267</v>
      </c>
      <c r="M66" s="257"/>
      <c r="N66" s="257"/>
      <c r="O66" s="317"/>
      <c r="P66" s="332"/>
      <c r="Q66" s="333"/>
      <c r="R66" s="332"/>
      <c r="S66" s="333"/>
      <c r="T66" s="332"/>
      <c r="U66" s="334"/>
    </row>
    <row r="67" spans="2:21" ht="19" customHeight="1">
      <c r="B67" s="774" t="s">
        <v>268</v>
      </c>
      <c r="C67" s="775"/>
      <c r="D67" s="775"/>
      <c r="E67" s="335">
        <f>Assumptions!F86</f>
        <v>2116.5081514918438</v>
      </c>
      <c r="F67" s="391">
        <f>Assumptions!F85</f>
        <v>36.191768845319714</v>
      </c>
      <c r="G67" s="335"/>
      <c r="H67" s="336"/>
      <c r="J67" s="302"/>
      <c r="L67" s="316" t="s">
        <v>249</v>
      </c>
      <c r="M67" s="257"/>
      <c r="N67" s="257"/>
      <c r="O67" s="317"/>
      <c r="P67" s="322"/>
      <c r="Q67" s="323"/>
      <c r="R67" s="322"/>
      <c r="S67" s="323"/>
      <c r="T67" s="322"/>
      <c r="U67" s="324"/>
    </row>
    <row r="68" spans="2:21" ht="19" customHeight="1">
      <c r="B68" s="782" t="s">
        <v>269</v>
      </c>
      <c r="C68" s="326"/>
      <c r="D68" s="326"/>
      <c r="E68" s="337"/>
      <c r="F68" s="783"/>
      <c r="G68" s="337"/>
      <c r="H68" s="338"/>
      <c r="J68" s="302"/>
      <c r="L68" s="282" t="s">
        <v>270</v>
      </c>
      <c r="M68" s="257"/>
      <c r="N68" s="257"/>
      <c r="O68" s="317">
        <f ca="1">SUM(P68:T68)</f>
        <v>366703110.59818566</v>
      </c>
      <c r="P68" s="317">
        <f>'S&amp;U'!H17</f>
        <v>61171525</v>
      </c>
      <c r="Q68" s="318">
        <f t="shared" ref="Q68:Q74" ca="1" si="12">P68/P$75</f>
        <v>0.13629223593770262</v>
      </c>
      <c r="R68" s="317">
        <f ca="1">'S&amp;U'!I17</f>
        <v>101366297.51979429</v>
      </c>
      <c r="S68" s="318">
        <f t="shared" ref="S68:S74" ca="1" si="13">R68/R$75</f>
        <v>0.30646099821622946</v>
      </c>
      <c r="T68" s="317">
        <f ca="1">'S&amp;U'!J17</f>
        <v>204165287.63563812</v>
      </c>
      <c r="U68" s="319">
        <f t="shared" ref="U68:U74" ca="1" si="14">T68/T$75</f>
        <v>0.56411710578059526</v>
      </c>
    </row>
    <row r="69" spans="2:21" ht="19" customHeight="1">
      <c r="B69" s="781" t="s">
        <v>45</v>
      </c>
      <c r="C69" s="257"/>
      <c r="D69" s="257"/>
      <c r="E69" s="329">
        <f>Assumptions!F37</f>
        <v>889</v>
      </c>
      <c r="F69" s="390">
        <f>Assumptions!F36</f>
        <v>20.674418604651162</v>
      </c>
      <c r="G69" s="330">
        <f>Assumptions!$M$63</f>
        <v>0.02</v>
      </c>
      <c r="H69" s="331">
        <f>Assumptions!$M$54</f>
        <v>0.02</v>
      </c>
      <c r="J69" s="302"/>
      <c r="L69" s="709" t="s">
        <v>271</v>
      </c>
      <c r="M69" s="257"/>
      <c r="N69" s="257"/>
      <c r="O69" s="317">
        <f>SUM(P69+R69+T69)</f>
        <v>77375650</v>
      </c>
      <c r="P69" s="317">
        <f>'S&amp;U'!H18</f>
        <v>67748080</v>
      </c>
      <c r="Q69" s="318">
        <f t="shared" ca="1" si="12"/>
        <v>0.15094502390918574</v>
      </c>
      <c r="R69" s="317">
        <f>'S&amp;U'!I18</f>
        <v>7301355</v>
      </c>
      <c r="S69" s="318">
        <f t="shared" ca="1" si="13"/>
        <v>2.2074206086042703E-2</v>
      </c>
      <c r="T69" s="317">
        <f>'S&amp;U'!J18</f>
        <v>2326215</v>
      </c>
      <c r="U69" s="319">
        <f t="shared" ca="1" si="14"/>
        <v>6.4274279355720706E-3</v>
      </c>
    </row>
    <row r="70" spans="2:21" ht="19" customHeight="1">
      <c r="B70" s="781" t="s">
        <v>49</v>
      </c>
      <c r="C70" s="257"/>
      <c r="D70" s="257"/>
      <c r="E70" s="329">
        <f>Assumptions!F41</f>
        <v>953</v>
      </c>
      <c r="F70" s="390">
        <f>Assumptions!F40</f>
        <v>15.883333333333333</v>
      </c>
      <c r="G70" s="330">
        <f>Assumptions!$M$63</f>
        <v>0.02</v>
      </c>
      <c r="H70" s="331">
        <f>Assumptions!$M$54</f>
        <v>0.02</v>
      </c>
      <c r="J70" s="303"/>
      <c r="L70" s="709" t="s">
        <v>176</v>
      </c>
      <c r="M70" s="257"/>
      <c r="N70" s="257"/>
      <c r="O70" s="317">
        <f t="shared" ref="O70:O74" ca="1" si="15">SUM(P70:T70)</f>
        <v>40000000.089121357</v>
      </c>
      <c r="P70" s="317">
        <f>'S&amp;U'!H19</f>
        <v>40000000</v>
      </c>
      <c r="Q70" s="318">
        <f t="shared" ca="1" si="12"/>
        <v>8.9121358957588603E-2</v>
      </c>
      <c r="R70" s="317">
        <f>'S&amp;U'!I19</f>
        <v>0</v>
      </c>
      <c r="S70" s="318">
        <f t="shared" ca="1" si="13"/>
        <v>0</v>
      </c>
      <c r="T70" s="317">
        <f>'S&amp;U'!J19</f>
        <v>0</v>
      </c>
      <c r="U70" s="319">
        <f t="shared" ca="1" si="14"/>
        <v>0</v>
      </c>
    </row>
    <row r="71" spans="2:21" ht="38.15" customHeight="1">
      <c r="B71" s="781" t="s">
        <v>51</v>
      </c>
      <c r="C71" s="257"/>
      <c r="D71" s="257"/>
      <c r="E71" s="329">
        <f>Assumptions!F45</f>
        <v>1144</v>
      </c>
      <c r="F71" s="390">
        <f>Assumptions!F44</f>
        <v>13.037037037037036</v>
      </c>
      <c r="G71" s="330">
        <f>Assumptions!$M$63</f>
        <v>0.02</v>
      </c>
      <c r="H71" s="331">
        <f>Assumptions!$M$54</f>
        <v>0.02</v>
      </c>
      <c r="J71" s="302"/>
      <c r="L71" s="282" t="s">
        <v>178</v>
      </c>
      <c r="M71" s="257"/>
      <c r="N71" s="257"/>
      <c r="O71" s="317">
        <f ca="1">SUM(P71:T71)</f>
        <v>117834511.00646447</v>
      </c>
      <c r="P71" s="317">
        <f>'S&amp;U'!H20</f>
        <v>5803911.2099087201</v>
      </c>
      <c r="Q71" s="318">
        <f t="shared" ca="1" si="12"/>
        <v>1.2931311357406185E-2</v>
      </c>
      <c r="R71" s="317">
        <f>'S&amp;U'!I20</f>
        <v>44981034.314584278</v>
      </c>
      <c r="S71" s="318">
        <f t="shared" ca="1" si="13"/>
        <v>0.13599128126539414</v>
      </c>
      <c r="T71" s="317">
        <f>'S&amp;U'!J20</f>
        <v>67049565.333048873</v>
      </c>
      <c r="U71" s="319">
        <f t="shared" ca="1" si="14"/>
        <v>0.18526071291329604</v>
      </c>
    </row>
    <row r="72" spans="2:21" ht="38.15" customHeight="1">
      <c r="B72" s="781" t="s">
        <v>54</v>
      </c>
      <c r="C72" s="257"/>
      <c r="D72" s="257"/>
      <c r="E72" s="329">
        <f>Assumptions!F49</f>
        <v>1321</v>
      </c>
      <c r="F72" s="390">
        <f>Assumptions!F48</f>
        <v>10.327035830618893</v>
      </c>
      <c r="G72" s="330">
        <f>Assumptions!$M$63</f>
        <v>0.02</v>
      </c>
      <c r="H72" s="331">
        <f>Assumptions!$M$54</f>
        <v>0.02</v>
      </c>
      <c r="J72" s="302"/>
      <c r="L72" s="282" t="s">
        <v>272</v>
      </c>
      <c r="M72" s="257"/>
      <c r="N72" s="257"/>
      <c r="O72" s="317">
        <f t="shared" ca="1" si="15"/>
        <v>11076000.012401253</v>
      </c>
      <c r="P72" s="317">
        <f>'S&amp;U'!H21</f>
        <v>5538000</v>
      </c>
      <c r="Q72" s="318">
        <f t="shared" ca="1" si="12"/>
        <v>1.2338852147678141E-2</v>
      </c>
      <c r="R72" s="317">
        <f>'S&amp;U'!I21</f>
        <v>6.2400000000000012E-5</v>
      </c>
      <c r="S72" s="318">
        <f t="shared" ca="1" si="13"/>
        <v>1.8865408677828496E-13</v>
      </c>
      <c r="T72" s="317">
        <f>'S&amp;U'!J21</f>
        <v>5538000</v>
      </c>
      <c r="U72" s="319">
        <f t="shared" ca="1" si="14"/>
        <v>1.5301722285858412E-2</v>
      </c>
    </row>
    <row r="73" spans="2:21" ht="19" customHeight="1">
      <c r="B73" s="781" t="s">
        <v>55</v>
      </c>
      <c r="C73" s="257"/>
      <c r="D73" s="257"/>
      <c r="E73" s="329">
        <f>Assumptions!F53</f>
        <v>1136</v>
      </c>
      <c r="F73" s="390">
        <f>Assumptions!F52</f>
        <v>0</v>
      </c>
      <c r="G73" s="330">
        <f>Assumptions!$M$63</f>
        <v>0.02</v>
      </c>
      <c r="H73" s="331">
        <f>Assumptions!$M$54</f>
        <v>0.02</v>
      </c>
      <c r="J73" s="302"/>
      <c r="L73" s="616" t="s">
        <v>186</v>
      </c>
      <c r="M73" s="257"/>
      <c r="N73" s="257"/>
      <c r="O73" s="317">
        <v>0</v>
      </c>
      <c r="P73" s="317">
        <v>0</v>
      </c>
      <c r="Q73" s="318">
        <f t="shared" ca="1" si="12"/>
        <v>0</v>
      </c>
      <c r="R73" s="317">
        <v>0</v>
      </c>
      <c r="S73" s="318">
        <f t="shared" ca="1" si="13"/>
        <v>0</v>
      </c>
      <c r="T73" s="317">
        <v>0</v>
      </c>
      <c r="U73" s="319">
        <f t="shared" ca="1" si="14"/>
        <v>0</v>
      </c>
    </row>
    <row r="74" spans="2:21" ht="19" customHeight="1">
      <c r="B74" s="774" t="s">
        <v>268</v>
      </c>
      <c r="C74" s="775"/>
      <c r="D74" s="775"/>
      <c r="E74" s="335">
        <f>Assumptions!F58</f>
        <v>966.8304915152803</v>
      </c>
      <c r="F74" s="391">
        <f>Assumptions!F57</f>
        <v>16.532563617514946</v>
      </c>
      <c r="G74" s="335"/>
      <c r="H74" s="336"/>
      <c r="J74" s="302"/>
      <c r="L74" s="282" t="s">
        <v>251</v>
      </c>
      <c r="M74" s="257"/>
      <c r="N74" s="257"/>
      <c r="O74" s="317">
        <f t="shared" ca="1" si="15"/>
        <v>528521068.16535181</v>
      </c>
      <c r="P74" s="317">
        <f ca="1">'S&amp;U'!H23</f>
        <v>268564673.91849077</v>
      </c>
      <c r="Q74" s="318">
        <f t="shared" ca="1" si="12"/>
        <v>0.59837121769043866</v>
      </c>
      <c r="R74" s="317">
        <f ca="1">'S&amp;U'!I23</f>
        <v>177115417.27603814</v>
      </c>
      <c r="S74" s="318">
        <f t="shared" ca="1" si="13"/>
        <v>0.53547351443214497</v>
      </c>
      <c r="T74" s="317">
        <f ca="1">'S&amp;U'!J23</f>
        <v>82840975.836978197</v>
      </c>
      <c r="U74" s="319">
        <f t="shared" ca="1" si="14"/>
        <v>0.22889303108467815</v>
      </c>
    </row>
    <row r="75" spans="2:21" ht="19" customHeight="1">
      <c r="J75" s="302"/>
      <c r="L75" s="385" t="s">
        <v>252</v>
      </c>
      <c r="M75" s="386"/>
      <c r="N75" s="386"/>
      <c r="O75" s="387">
        <f ca="1">SUM(P75:T75)</f>
        <v>1141510338.0445437</v>
      </c>
      <c r="P75" s="387">
        <f ca="1">'S&amp;U'!H26</f>
        <v>448826190.12839949</v>
      </c>
      <c r="Q75" s="388"/>
      <c r="R75" s="387">
        <f ca="1">'S&amp;U'!I26</f>
        <v>330764104.11047912</v>
      </c>
      <c r="S75" s="388"/>
      <c r="T75" s="387">
        <f ca="1">'S&amp;U'!J26</f>
        <v>361920043.80566519</v>
      </c>
      <c r="U75" s="389"/>
    </row>
    <row r="76" spans="2:21" ht="19" customHeight="1">
      <c r="B76" s="489" t="s">
        <v>273</v>
      </c>
      <c r="C76" s="490"/>
      <c r="D76" s="490"/>
      <c r="E76" s="894" t="s">
        <v>274</v>
      </c>
      <c r="F76" s="894" t="s">
        <v>257</v>
      </c>
      <c r="G76" s="497" t="s">
        <v>258</v>
      </c>
      <c r="H76" s="895" t="s">
        <v>57</v>
      </c>
      <c r="J76" s="302"/>
      <c r="L76" s="316" t="s">
        <v>253</v>
      </c>
      <c r="M76" s="257"/>
      <c r="N76" s="257"/>
      <c r="O76" s="317"/>
      <c r="P76" s="322"/>
      <c r="Q76" s="323"/>
      <c r="R76" s="322"/>
      <c r="S76" s="323"/>
      <c r="T76" s="322"/>
      <c r="U76" s="324"/>
    </row>
    <row r="77" spans="2:21" ht="19" customHeight="1">
      <c r="B77" s="491"/>
      <c r="C77" s="492"/>
      <c r="D77" s="896"/>
      <c r="E77" s="495"/>
      <c r="F77" s="495" t="s">
        <v>47</v>
      </c>
      <c r="G77" s="495" t="s">
        <v>260</v>
      </c>
      <c r="H77" s="496" t="s">
        <v>260</v>
      </c>
      <c r="J77" s="302"/>
      <c r="L77" s="282" t="s">
        <v>254</v>
      </c>
      <c r="M77" s="257"/>
      <c r="N77" s="257"/>
      <c r="O77" s="317">
        <f ca="1">SUM(P77:T77)</f>
        <v>166707133.44038603</v>
      </c>
      <c r="P77" s="317">
        <f>'S&amp;U'!H29</f>
        <v>79998202</v>
      </c>
      <c r="Q77" s="318">
        <f t="shared" ref="Q77:Q83" ca="1" si="16">P77/P$84</f>
        <v>0.17823871191009205</v>
      </c>
      <c r="R77" s="317">
        <f>'S&amp;U'!I29</f>
        <v>86708931</v>
      </c>
      <c r="S77" s="318">
        <f ca="1">R77/R$84</f>
        <v>0.26214734284176794</v>
      </c>
      <c r="T77" s="317">
        <f>'S&amp;U'!J29</f>
        <v>0</v>
      </c>
      <c r="U77" s="319">
        <f t="shared" ref="U77:U83" ca="1" si="17">T77/T$84</f>
        <v>0</v>
      </c>
    </row>
    <row r="78" spans="2:21" ht="19" customHeight="1">
      <c r="B78" s="280" t="s">
        <v>29</v>
      </c>
      <c r="C78" s="257"/>
      <c r="D78" s="257"/>
      <c r="E78" s="257"/>
      <c r="F78" s="257"/>
      <c r="G78" s="257"/>
      <c r="H78" s="258"/>
      <c r="J78" s="302"/>
      <c r="L78" s="282" t="s">
        <v>255</v>
      </c>
      <c r="M78" s="925"/>
      <c r="N78" s="925"/>
      <c r="O78" s="317">
        <f ca="1">SUM(P78:T78)</f>
        <v>77375650.17301923</v>
      </c>
      <c r="P78" s="317">
        <f>'S&amp;U'!H30</f>
        <v>67748080</v>
      </c>
      <c r="Q78" s="318">
        <f ca="1">P78/P$84</f>
        <v>0.15094502390918574</v>
      </c>
      <c r="R78" s="317">
        <f>'S&amp;U'!I30</f>
        <v>7301355</v>
      </c>
      <c r="S78" s="318">
        <f ca="1">R78/R$84</f>
        <v>2.2074206086042703E-2</v>
      </c>
      <c r="T78" s="317">
        <f>'S&amp;U'!J30</f>
        <v>2326215</v>
      </c>
      <c r="U78" s="319">
        <f ca="1">T78/T$84</f>
        <v>6.4274279355720706E-3</v>
      </c>
    </row>
    <row r="79" spans="2:21" ht="19" customHeight="1">
      <c r="B79" s="282" t="str">
        <f>B32</f>
        <v>Conventional Retail</v>
      </c>
      <c r="C79" s="257"/>
      <c r="D79" s="283"/>
      <c r="E79" s="276" t="s">
        <v>275</v>
      </c>
      <c r="F79" s="390">
        <f>Assumptions!F126</f>
        <v>67</v>
      </c>
      <c r="G79" s="339">
        <f>Assumptions!$M$65/Assumptions!$M$66</f>
        <v>0.02</v>
      </c>
      <c r="H79" s="340">
        <f>Assumptions!M56</f>
        <v>0.05</v>
      </c>
      <c r="L79" s="282" t="s">
        <v>276</v>
      </c>
      <c r="M79" s="925"/>
      <c r="N79" s="925"/>
      <c r="O79" s="317">
        <f ca="1">SUM(P79:T79)</f>
        <v>780751754.92534113</v>
      </c>
      <c r="P79" s="317">
        <f ca="1">'S&amp;U'!H31</f>
        <v>249062286.4725</v>
      </c>
      <c r="Q79" s="318">
        <f ca="1">P79/P$84</f>
        <v>0.55491923588783587</v>
      </c>
      <c r="R79" s="317">
        <f ca="1">'S&amp;U'!I31</f>
        <v>204668813.39310002</v>
      </c>
      <c r="S79" s="318">
        <f ca="1">R79/R$84</f>
        <v>0.61877577055561694</v>
      </c>
      <c r="T79" s="317">
        <f ca="1">'S&amp;U'!J31</f>
        <v>327020653.88604617</v>
      </c>
      <c r="U79" s="319">
        <f ca="1">T79/T$84</f>
        <v>0.90357154703938303</v>
      </c>
    </row>
    <row r="80" spans="2:21" ht="19" customHeight="1">
      <c r="B80" s="282" t="str">
        <f>B33</f>
        <v>Food Hall</v>
      </c>
      <c r="C80" s="257"/>
      <c r="D80" s="283"/>
      <c r="E80" s="276" t="s">
        <v>275</v>
      </c>
      <c r="F80" s="390">
        <f>Assumptions!F134</f>
        <v>30</v>
      </c>
      <c r="G80" s="339">
        <f>Assumptions!$M$65/Assumptions!$M$66</f>
        <v>0.02</v>
      </c>
      <c r="H80" s="340">
        <f>$H$79</f>
        <v>0.05</v>
      </c>
      <c r="L80" s="282" t="s">
        <v>262</v>
      </c>
      <c r="M80" s="925"/>
      <c r="N80" s="925"/>
      <c r="O80" s="317">
        <f ca="1">SUM(P80:T80)</f>
        <v>65194667.564015239</v>
      </c>
      <c r="P80" s="317">
        <f ca="1">'S&amp;U'!H32</f>
        <v>29750887.562973391</v>
      </c>
      <c r="Q80" s="318">
        <f t="shared" ca="1" si="16"/>
        <v>6.6285988245165253E-2</v>
      </c>
      <c r="R80" s="317">
        <f ca="1">'S&amp;U'!I32</f>
        <v>14193767.632288469</v>
      </c>
      <c r="S80" s="318">
        <f ca="1">R80/R$84</f>
        <v>4.2912055618791037E-2</v>
      </c>
      <c r="T80" s="317">
        <f ca="1">'S&amp;U'!J32</f>
        <v>21250012.259555332</v>
      </c>
      <c r="U80" s="319">
        <f t="shared" ca="1" si="17"/>
        <v>5.8714659835103343E-2</v>
      </c>
    </row>
    <row r="81" spans="2:32" ht="19" customHeight="1">
      <c r="B81" s="304" t="s">
        <v>268</v>
      </c>
      <c r="C81" s="305"/>
      <c r="D81" s="305"/>
      <c r="E81" s="361"/>
      <c r="F81" s="391">
        <f>Assumptions!E138</f>
        <v>67.228582296777006</v>
      </c>
      <c r="G81" s="341">
        <f>+SUMPRODUCT(G79:G80,$F79:$F80)/$F81</f>
        <v>2.8856773915534512E-2</v>
      </c>
      <c r="H81" s="342">
        <f>+SUMPRODUCT(H79:H80,$F79:$F80)/SUM($F79:$F80)</f>
        <v>4.9999999999999996E-2</v>
      </c>
      <c r="L81" s="282" t="s">
        <v>263</v>
      </c>
      <c r="M81" s="925"/>
      <c r="N81" s="925"/>
      <c r="O81" s="317">
        <f t="shared" ref="O81" ca="1" si="18">SUM(P81:T81)</f>
        <v>21088807.532463856</v>
      </c>
      <c r="P81" s="317">
        <f>'S&amp;U'!H33</f>
        <v>10602597.694999998</v>
      </c>
      <c r="Q81" s="318">
        <f t="shared" ca="1" si="16"/>
        <v>2.3622947876474908E-2</v>
      </c>
      <c r="R81" s="317">
        <f ca="1">'S&amp;U'!I33</f>
        <v>10346636.882559894</v>
      </c>
      <c r="S81" s="318">
        <f t="shared" ref="S81:S83" ca="1" si="19">R81/R$84</f>
        <v>3.1281014940799004E-2</v>
      </c>
      <c r="T81" s="317">
        <f ca="1">'S&amp;U'!J33</f>
        <v>139572.9</v>
      </c>
      <c r="U81" s="319">
        <f t="shared" ca="1" si="17"/>
        <v>3.856456761343242E-4</v>
      </c>
    </row>
    <row r="82" spans="2:32" ht="19" customHeight="1">
      <c r="B82" s="280" t="s">
        <v>35</v>
      </c>
      <c r="C82" s="257"/>
      <c r="D82" s="257"/>
      <c r="E82" s="257"/>
      <c r="F82" s="390"/>
      <c r="G82" s="339"/>
      <c r="H82" s="340"/>
      <c r="L82" s="282" t="s">
        <v>264</v>
      </c>
      <c r="M82" s="925"/>
      <c r="N82" s="925"/>
      <c r="O82" s="317">
        <f ca="1">SUM(P82:T82)</f>
        <v>2000000.0033720532</v>
      </c>
      <c r="P82" s="317">
        <f ca="1">'S&amp;U'!H34</f>
        <v>921573.63690485631</v>
      </c>
      <c r="Q82" s="318">
        <f t="shared" ca="1" si="16"/>
        <v>2.0532973725112028E-3</v>
      </c>
      <c r="R82" s="317">
        <f ca="1">'S&amp;U'!I34</f>
        <v>436197.10222555295</v>
      </c>
      <c r="S82" s="318">
        <f ca="1">R82/R$84</f>
        <v>1.3187558649951265E-3</v>
      </c>
      <c r="T82" s="317">
        <f ca="1">'S&amp;U'!J34</f>
        <v>642229.2608695908</v>
      </c>
      <c r="U82" s="319">
        <f t="shared" ca="1" si="17"/>
        <v>1.7745059215743216E-3</v>
      </c>
    </row>
    <row r="83" spans="2:32" ht="19" customHeight="1">
      <c r="B83" s="282" t="str">
        <f>B36</f>
        <v>Conventional Office</v>
      </c>
      <c r="C83" s="257"/>
      <c r="D83" s="283"/>
      <c r="E83" s="276" t="s">
        <v>275</v>
      </c>
      <c r="F83" s="390">
        <f>Assumptions!F161</f>
        <v>43.4</v>
      </c>
      <c r="G83" s="339">
        <f>Assumptions!M70/Assumptions!M71</f>
        <v>0.02</v>
      </c>
      <c r="H83" s="340">
        <f>Assumptions!M58</f>
        <v>0.05</v>
      </c>
      <c r="L83" s="282" t="s">
        <v>265</v>
      </c>
      <c r="M83" s="925"/>
      <c r="N83" s="925"/>
      <c r="O83" s="317">
        <f ca="1">SUM(P83:T83)</f>
        <v>28392326.405946344</v>
      </c>
      <c r="P83" s="317">
        <f ca="1">'S&amp;U'!H35</f>
        <v>10742562.761021346</v>
      </c>
      <c r="Q83" s="318">
        <f t="shared" ca="1" si="16"/>
        <v>2.3934794798735184E-2</v>
      </c>
      <c r="R83" s="317">
        <f ca="1">'S&amp;U'!I35</f>
        <v>7108403.1003052182</v>
      </c>
      <c r="S83" s="318">
        <f t="shared" ca="1" si="19"/>
        <v>2.1490854091987345E-2</v>
      </c>
      <c r="T83" s="317">
        <f ca="1">'S&amp;U'!J35</f>
        <v>10541360.499194132</v>
      </c>
      <c r="U83" s="319">
        <f t="shared" ca="1" si="17"/>
        <v>2.9126213592233011E-2</v>
      </c>
    </row>
    <row r="84" spans="2:32" ht="19" customHeight="1">
      <c r="B84" s="304" t="s">
        <v>268</v>
      </c>
      <c r="C84" s="305"/>
      <c r="D84" s="305"/>
      <c r="E84" s="361"/>
      <c r="F84" s="391">
        <f>Assumptions!F173</f>
        <v>43.4</v>
      </c>
      <c r="G84" s="341">
        <f>G83</f>
        <v>0.02</v>
      </c>
      <c r="H84" s="343">
        <f>+H83</f>
        <v>0.05</v>
      </c>
      <c r="L84" s="385" t="s">
        <v>266</v>
      </c>
      <c r="M84" s="386"/>
      <c r="N84" s="386"/>
      <c r="O84" s="387">
        <f ca="1">SUM(P84:T84)</f>
        <v>1141510338.0445437</v>
      </c>
      <c r="P84" s="387">
        <f ca="1">'S&amp;U'!H36</f>
        <v>448826190.12839949</v>
      </c>
      <c r="Q84" s="388"/>
      <c r="R84" s="387">
        <f ca="1">'S&amp;U'!I36</f>
        <v>330764104.11047912</v>
      </c>
      <c r="S84" s="388"/>
      <c r="T84" s="387">
        <f ca="1">'S&amp;U'!J36</f>
        <v>361920043.80566519</v>
      </c>
      <c r="U84" s="389"/>
    </row>
    <row r="85" spans="2:32" ht="19" customHeight="1">
      <c r="B85" s="280" t="s">
        <v>232</v>
      </c>
      <c r="C85" s="257"/>
      <c r="D85" s="257"/>
      <c r="E85" s="257"/>
      <c r="F85" s="390"/>
      <c r="G85" s="339"/>
      <c r="H85" s="340"/>
      <c r="L85" s="282"/>
      <c r="M85" s="248"/>
      <c r="N85" s="248"/>
      <c r="O85" s="317"/>
      <c r="P85" s="317"/>
      <c r="Q85" s="320"/>
      <c r="R85" s="317"/>
      <c r="S85" s="320"/>
      <c r="T85" s="317"/>
      <c r="U85" s="321"/>
    </row>
    <row r="86" spans="2:32" ht="19" customHeight="1">
      <c r="B86" s="282" t="str">
        <f>B39</f>
        <v>Urban Fulfillment Center</v>
      </c>
      <c r="C86" s="257"/>
      <c r="D86" s="283"/>
      <c r="E86" s="276" t="s">
        <v>277</v>
      </c>
      <c r="F86" s="390">
        <f>Assumptions!F211</f>
        <v>8</v>
      </c>
      <c r="G86" s="339">
        <f>Assumptions!M72/Assumptions!M73</f>
        <v>0.02</v>
      </c>
      <c r="H86" s="340">
        <f>Assumptions!M59</f>
        <v>0.05</v>
      </c>
      <c r="L86" s="286" t="s">
        <v>278</v>
      </c>
      <c r="M86" s="257"/>
      <c r="N86" s="257"/>
      <c r="O86" s="317"/>
      <c r="P86" s="332"/>
      <c r="Q86" s="333"/>
      <c r="R86" s="332"/>
      <c r="S86" s="333"/>
      <c r="T86" s="332"/>
      <c r="U86" s="334"/>
    </row>
    <row r="87" spans="2:32" ht="19" customHeight="1">
      <c r="B87" s="304" t="s">
        <v>268</v>
      </c>
      <c r="C87" s="305"/>
      <c r="D87" s="305"/>
      <c r="E87" s="307"/>
      <c r="F87" s="391">
        <f>Assumptions!E219</f>
        <v>8.0000000000066009</v>
      </c>
      <c r="G87" s="341">
        <f>+G86</f>
        <v>0.02</v>
      </c>
      <c r="H87" s="343">
        <f>+H86</f>
        <v>0.05</v>
      </c>
      <c r="L87" s="316" t="s">
        <v>249</v>
      </c>
      <c r="M87" s="257"/>
      <c r="N87" s="257"/>
      <c r="O87" s="317"/>
      <c r="P87" s="322"/>
      <c r="Q87" s="323"/>
      <c r="R87" s="322"/>
      <c r="S87" s="323"/>
      <c r="T87" s="322"/>
      <c r="U87" s="324"/>
      <c r="W87" s="257"/>
      <c r="X87" s="257"/>
      <c r="Y87" s="257"/>
      <c r="Z87" s="317"/>
      <c r="AA87" s="317"/>
      <c r="AB87" s="318"/>
      <c r="AC87" s="317"/>
      <c r="AD87" s="318"/>
      <c r="AE87" s="317"/>
      <c r="AF87" s="319"/>
    </row>
    <row r="88" spans="2:32" ht="19" customHeight="1">
      <c r="L88" s="282" t="s">
        <v>279</v>
      </c>
      <c r="M88" s="257"/>
      <c r="N88" s="257"/>
      <c r="O88" s="317">
        <f ca="1">SUM(P88:T88)</f>
        <v>778822169.45054245</v>
      </c>
      <c r="P88" s="317">
        <f>'S&amp;U'!R17</f>
        <v>224778244.62044176</v>
      </c>
      <c r="Q88" s="318">
        <f t="shared" ref="Q88:Q95" ca="1" si="20">P88/P$96</f>
        <v>0.50081356561687618</v>
      </c>
      <c r="R88" s="317">
        <f ca="1">'S&amp;U'!S17</f>
        <v>319811284.74654377</v>
      </c>
      <c r="S88" s="318">
        <f t="shared" ref="S88:S95" ca="1" si="21">R88/R$96</f>
        <v>0.96688631194309715</v>
      </c>
      <c r="T88" s="317">
        <f>'S&amp;U'!T17</f>
        <v>234232638.61585712</v>
      </c>
      <c r="U88" s="319">
        <f t="shared" ref="U88:U95" ca="1" si="22">T88/T$96</f>
        <v>0.64719443596671733</v>
      </c>
    </row>
    <row r="89" spans="2:32" ht="19" customHeight="1">
      <c r="B89" s="503" t="s">
        <v>280</v>
      </c>
      <c r="C89" s="504"/>
      <c r="D89" s="504"/>
      <c r="E89" s="897"/>
      <c r="F89" s="944" t="s">
        <v>15</v>
      </c>
      <c r="G89" s="944"/>
      <c r="H89" s="945"/>
      <c r="L89" s="282" t="s">
        <v>168</v>
      </c>
      <c r="M89" s="257"/>
      <c r="N89" s="257"/>
      <c r="O89" s="317">
        <f ca="1">SUM(P89:T89)</f>
        <v>10800000.024062768</v>
      </c>
      <c r="P89" s="317">
        <v>10800000</v>
      </c>
      <c r="Q89" s="318">
        <f ca="1">P89/P$96</f>
        <v>2.406276691854892E-2</v>
      </c>
      <c r="R89" s="317">
        <v>0</v>
      </c>
      <c r="S89" s="318">
        <f ca="1">R89/R$96</f>
        <v>0</v>
      </c>
      <c r="T89" s="317">
        <v>0</v>
      </c>
      <c r="U89" s="319">
        <f ca="1">T89/T$96</f>
        <v>0</v>
      </c>
    </row>
    <row r="90" spans="2:32" ht="19" customHeight="1">
      <c r="B90" s="505"/>
      <c r="C90" s="506"/>
      <c r="D90" s="507"/>
      <c r="E90" s="508" t="s">
        <v>102</v>
      </c>
      <c r="F90" s="508" t="s">
        <v>19</v>
      </c>
      <c r="G90" s="508" t="s">
        <v>20</v>
      </c>
      <c r="H90" s="509" t="s">
        <v>21</v>
      </c>
      <c r="L90" s="282" t="s">
        <v>231</v>
      </c>
      <c r="M90" s="257"/>
      <c r="N90" s="257"/>
      <c r="O90" s="317">
        <f t="shared" ref="O90" ca="1" si="23">SUM(P90:T90)</f>
        <v>4058107.0091484752</v>
      </c>
      <c r="P90" s="317">
        <f>'S&amp;U'!R19</f>
        <v>4058107</v>
      </c>
      <c r="Q90" s="318">
        <f t="shared" ca="1" si="20"/>
        <v>9.041600265882575E-3</v>
      </c>
      <c r="R90" s="317">
        <f ca="1">'S&amp;U'!S19</f>
        <v>1.06875E-4</v>
      </c>
      <c r="S90" s="318">
        <f t="shared" ca="1" si="21"/>
        <v>3.2311547314790389E-13</v>
      </c>
      <c r="T90" s="317">
        <f>'S&amp;U'!T19</f>
        <v>0</v>
      </c>
      <c r="U90" s="319">
        <f t="shared" ca="1" si="22"/>
        <v>0</v>
      </c>
    </row>
    <row r="91" spans="2:32" ht="19" customHeight="1">
      <c r="B91" s="280" t="s">
        <v>31</v>
      </c>
      <c r="C91" s="257"/>
      <c r="D91" s="257"/>
      <c r="E91" s="257"/>
      <c r="F91" s="257"/>
      <c r="G91" s="257"/>
      <c r="H91" s="258"/>
      <c r="L91" s="282" t="s">
        <v>765</v>
      </c>
      <c r="M91" s="257"/>
      <c r="N91" s="257"/>
      <c r="O91" s="317">
        <f t="shared" ref="O91:O96" ca="1" si="24">SUM(P91:T91)</f>
        <v>77375650.17301923</v>
      </c>
      <c r="P91" s="317">
        <f>'S&amp;U'!R20</f>
        <v>67748080</v>
      </c>
      <c r="Q91" s="318">
        <f t="shared" ca="1" si="20"/>
        <v>0.15094502390918574</v>
      </c>
      <c r="R91" s="317">
        <f>'S&amp;U'!S20</f>
        <v>7301355</v>
      </c>
      <c r="S91" s="318">
        <f t="shared" ca="1" si="21"/>
        <v>2.2074206086042703E-2</v>
      </c>
      <c r="T91" s="317">
        <f>'S&amp;U'!T20</f>
        <v>2326215</v>
      </c>
      <c r="U91" s="319">
        <f t="shared" ca="1" si="22"/>
        <v>6.4274279355720706E-3</v>
      </c>
    </row>
    <row r="92" spans="2:32" ht="19" customHeight="1">
      <c r="B92" s="282" t="s">
        <v>281</v>
      </c>
      <c r="C92" s="257"/>
      <c r="D92" s="257"/>
      <c r="E92" s="257"/>
      <c r="F92" s="345" t="s">
        <v>282</v>
      </c>
      <c r="G92" s="345" t="s">
        <v>283</v>
      </c>
      <c r="H92" s="346" t="s">
        <v>284</v>
      </c>
      <c r="L92" s="709" t="s">
        <v>178</v>
      </c>
      <c r="M92" s="257"/>
      <c r="N92" s="257"/>
      <c r="O92" s="317">
        <f t="shared" ca="1" si="24"/>
        <v>117834511.00646447</v>
      </c>
      <c r="P92" s="317">
        <f>'S&amp;U'!R22</f>
        <v>5803911.2099087201</v>
      </c>
      <c r="Q92" s="318">
        <f t="shared" ca="1" si="20"/>
        <v>1.2931311357406185E-2</v>
      </c>
      <c r="R92" s="317">
        <f>'S&amp;U'!S22</f>
        <v>44981034.314584278</v>
      </c>
      <c r="S92" s="318">
        <f t="shared" ca="1" si="21"/>
        <v>0.13599128126539414</v>
      </c>
      <c r="T92" s="317">
        <f>'S&amp;U'!T22</f>
        <v>67049565.333048873</v>
      </c>
      <c r="U92" s="319">
        <f t="shared" ca="1" si="22"/>
        <v>0.18526071291329604</v>
      </c>
    </row>
    <row r="93" spans="2:32" ht="19" customHeight="1">
      <c r="B93" s="282" t="s">
        <v>103</v>
      </c>
      <c r="C93" s="257"/>
      <c r="D93" s="257"/>
      <c r="E93" s="330">
        <f>Assumptions!E96</f>
        <v>0.76700000000000002</v>
      </c>
      <c r="F93" s="329">
        <f>Assumptions!F97</f>
        <v>199.35</v>
      </c>
      <c r="G93" s="329">
        <f>Assumptions!G97</f>
        <v>199.35</v>
      </c>
      <c r="H93" s="344">
        <f>Assumptions!H97</f>
        <v>199.35</v>
      </c>
      <c r="L93" s="709" t="s">
        <v>272</v>
      </c>
      <c r="M93" s="257"/>
      <c r="N93" s="257"/>
      <c r="O93" s="317">
        <f t="shared" ca="1" si="24"/>
        <v>11076000.012401253</v>
      </c>
      <c r="P93" s="317">
        <f>'S&amp;U'!R23</f>
        <v>5538000</v>
      </c>
      <c r="Q93" s="318">
        <f t="shared" ca="1" si="20"/>
        <v>1.2338852147678141E-2</v>
      </c>
      <c r="R93" s="317">
        <f>'S&amp;U'!S23</f>
        <v>6.2400000000000012E-5</v>
      </c>
      <c r="S93" s="318">
        <f t="shared" ca="1" si="21"/>
        <v>1.8865408677828496E-13</v>
      </c>
      <c r="T93" s="317">
        <f>'S&amp;U'!T23</f>
        <v>5538000</v>
      </c>
      <c r="U93" s="319">
        <f t="shared" ca="1" si="22"/>
        <v>1.5301722285858412E-2</v>
      </c>
    </row>
    <row r="94" spans="2:32" ht="19" customHeight="1">
      <c r="B94" s="350" t="str">
        <f>Assumptions!B95</f>
        <v>RevPAR</v>
      </c>
      <c r="C94" s="313"/>
      <c r="D94" s="313"/>
      <c r="E94" s="347"/>
      <c r="F94" s="348">
        <f>Assumptions!F95</f>
        <v>152.90145000000001</v>
      </c>
      <c r="G94" s="348">
        <f>Assumptions!G95</f>
        <v>152.90145000000001</v>
      </c>
      <c r="H94" s="349">
        <f>Assumptions!H95</f>
        <v>152.90145000000001</v>
      </c>
      <c r="L94" s="709" t="s">
        <v>176</v>
      </c>
      <c r="M94" s="257"/>
      <c r="N94" s="257"/>
      <c r="O94" s="317">
        <v>0</v>
      </c>
      <c r="P94" s="317">
        <v>0</v>
      </c>
      <c r="Q94" s="318">
        <f t="shared" ca="1" si="20"/>
        <v>0</v>
      </c>
      <c r="R94" s="317">
        <f>'S&amp;U'!S24</f>
        <v>0</v>
      </c>
      <c r="S94" s="318">
        <f t="shared" ca="1" si="21"/>
        <v>0</v>
      </c>
      <c r="T94" s="317">
        <f>'S&amp;U'!T24</f>
        <v>0</v>
      </c>
      <c r="U94" s="319">
        <f t="shared" ca="1" si="22"/>
        <v>0</v>
      </c>
    </row>
    <row r="95" spans="2:32" ht="19" customHeight="1">
      <c r="G95" s="383"/>
      <c r="H95" s="383"/>
      <c r="L95" s="282" t="s">
        <v>251</v>
      </c>
      <c r="M95" s="257"/>
      <c r="N95" s="257"/>
      <c r="O95" s="317">
        <f ca="1">SUM(P95:T95)</f>
        <v>0</v>
      </c>
      <c r="P95" s="317">
        <f ca="1">'S&amp;U'!R25</f>
        <v>130099847.29804897</v>
      </c>
      <c r="Q95" s="318">
        <f t="shared" ca="1" si="20"/>
        <v>0.28986687978442216</v>
      </c>
      <c r="R95" s="317">
        <f ca="1">'S&amp;U'!S25</f>
        <v>-41329569.950818181</v>
      </c>
      <c r="S95" s="318">
        <f t="shared" ca="1" si="21"/>
        <v>-0.12495179929504568</v>
      </c>
      <c r="T95" s="317">
        <f ca="1">'S&amp;U'!T25</f>
        <v>52773624.856759191</v>
      </c>
      <c r="U95" s="319">
        <f t="shared" ca="1" si="22"/>
        <v>0.14581570089855608</v>
      </c>
    </row>
    <row r="96" spans="2:32" ht="19" customHeight="1">
      <c r="B96" s="503" t="s">
        <v>285</v>
      </c>
      <c r="C96" s="504"/>
      <c r="D96" s="504"/>
      <c r="E96" s="894" t="s">
        <v>274</v>
      </c>
      <c r="F96" s="510" t="s">
        <v>286</v>
      </c>
      <c r="G96" s="510" t="s">
        <v>258</v>
      </c>
      <c r="H96" s="511" t="s">
        <v>57</v>
      </c>
      <c r="L96" s="385" t="s">
        <v>252</v>
      </c>
      <c r="M96" s="386"/>
      <c r="N96" s="386"/>
      <c r="O96" s="387">
        <f t="shared" ca="1" si="24"/>
        <v>1141510338.0445437</v>
      </c>
      <c r="P96" s="387">
        <f ca="1">'S&amp;U'!R26</f>
        <v>448826190.12839949</v>
      </c>
      <c r="Q96" s="388"/>
      <c r="R96" s="387">
        <f ca="1">'S&amp;U'!S26</f>
        <v>330764104.11047912</v>
      </c>
      <c r="S96" s="388"/>
      <c r="T96" s="387">
        <f ca="1">'S&amp;U'!T26</f>
        <v>361920043.80566519</v>
      </c>
      <c r="U96" s="389"/>
    </row>
    <row r="97" spans="2:21" ht="19" customHeight="1">
      <c r="B97" s="505"/>
      <c r="C97" s="512"/>
      <c r="D97" s="513"/>
      <c r="E97" s="514"/>
      <c r="F97" s="514" t="s">
        <v>287</v>
      </c>
      <c r="G97" s="514" t="s">
        <v>260</v>
      </c>
      <c r="H97" s="509" t="s">
        <v>260</v>
      </c>
      <c r="L97" s="316" t="s">
        <v>253</v>
      </c>
      <c r="M97" s="257"/>
      <c r="N97" s="257"/>
      <c r="O97" s="317"/>
      <c r="P97" s="322"/>
      <c r="Q97" s="323"/>
      <c r="R97" s="322"/>
      <c r="S97" s="323"/>
      <c r="T97" s="322"/>
      <c r="U97" s="324"/>
    </row>
    <row r="98" spans="2:21" ht="19" customHeight="1">
      <c r="B98" s="351" t="s">
        <v>244</v>
      </c>
      <c r="C98" s="352"/>
      <c r="D98" s="352"/>
      <c r="E98" s="353"/>
      <c r="F98" s="352"/>
      <c r="G98" s="352"/>
      <c r="H98" s="354"/>
      <c r="L98" s="282" t="s">
        <v>254</v>
      </c>
      <c r="M98" s="257"/>
      <c r="N98" s="257"/>
      <c r="O98" s="317">
        <f t="shared" ref="O98:O103" ca="1" si="25">SUM(P98:T98)</f>
        <v>166707133.44038603</v>
      </c>
      <c r="P98" s="317">
        <f>'S&amp;U'!R29</f>
        <v>79998202</v>
      </c>
      <c r="Q98" s="318">
        <f t="shared" ref="Q98:Q104" ca="1" si="26">P98/P$105</f>
        <v>0.17823871191009205</v>
      </c>
      <c r="R98" s="317">
        <f>'S&amp;U'!S29</f>
        <v>86708931</v>
      </c>
      <c r="S98" s="318">
        <f ca="1">R98/R$105</f>
        <v>0.26214734284176794</v>
      </c>
      <c r="T98" s="317">
        <f>'S&amp;U'!T29</f>
        <v>0</v>
      </c>
      <c r="U98" s="319">
        <f ca="1">T98/T$105</f>
        <v>0</v>
      </c>
    </row>
    <row r="99" spans="2:21" ht="19" customHeight="1">
      <c r="B99" s="871" t="s">
        <v>33</v>
      </c>
      <c r="C99" s="352"/>
      <c r="D99" s="355"/>
      <c r="E99" s="923" t="s">
        <v>288</v>
      </c>
      <c r="F99" s="924">
        <v>1</v>
      </c>
      <c r="G99" s="357">
        <f>Assumptions!$M$68/Assumptions!$M$69</f>
        <v>0.01</v>
      </c>
      <c r="H99" s="358">
        <f>Assumptions!$M$57</f>
        <v>0.05</v>
      </c>
      <c r="L99" s="282" t="s">
        <v>255</v>
      </c>
      <c r="M99" s="257"/>
      <c r="N99" s="257"/>
      <c r="O99" s="317">
        <v>77375650</v>
      </c>
      <c r="P99" s="317">
        <v>67748080</v>
      </c>
      <c r="Q99" s="318">
        <f t="shared" ca="1" si="26"/>
        <v>0.15094502390918574</v>
      </c>
      <c r="R99" s="317">
        <f>'S&amp;U'!S30</f>
        <v>7301355</v>
      </c>
      <c r="S99" s="318">
        <f ca="1">R99/R$105</f>
        <v>2.2074206086042703E-2</v>
      </c>
      <c r="T99" s="317">
        <f>'S&amp;U'!T30</f>
        <v>2326215</v>
      </c>
      <c r="U99" s="340">
        <f ca="1">T99/T$105</f>
        <v>6.4274279355720706E-3</v>
      </c>
    </row>
    <row r="100" spans="2:21" ht="19" customHeight="1">
      <c r="B100" s="871" t="s">
        <v>246</v>
      </c>
      <c r="C100" s="352"/>
      <c r="D100" s="355"/>
      <c r="E100" s="356" t="s">
        <v>275</v>
      </c>
      <c r="F100" s="392">
        <v>10</v>
      </c>
      <c r="G100" s="357">
        <f>Assumptions!$M$68/Assumptions!$M$69</f>
        <v>0.01</v>
      </c>
      <c r="H100" s="358">
        <f>Assumptions!$M$57</f>
        <v>0.05</v>
      </c>
      <c r="L100" s="282" t="s">
        <v>276</v>
      </c>
      <c r="M100" s="257"/>
      <c r="N100" s="257"/>
      <c r="O100" s="317">
        <f t="shared" ca="1" si="25"/>
        <v>780751754.92534113</v>
      </c>
      <c r="P100" s="317">
        <f ca="1">'S&amp;U'!R31</f>
        <v>249062286.4725</v>
      </c>
      <c r="Q100" s="318">
        <f t="shared" ca="1" si="26"/>
        <v>0.55491923588783587</v>
      </c>
      <c r="R100" s="317">
        <f ca="1">'S&amp;U'!S31</f>
        <v>204668813.39310002</v>
      </c>
      <c r="S100" s="318">
        <f ca="1">R100/R$105</f>
        <v>0.61877577055561694</v>
      </c>
      <c r="T100" s="317">
        <f ca="1">'S&amp;U'!T31</f>
        <v>327020653.88604617</v>
      </c>
      <c r="U100" s="340">
        <f ca="1">T100/T$105</f>
        <v>0.90357154703938303</v>
      </c>
    </row>
    <row r="101" spans="2:21" ht="19" customHeight="1">
      <c r="B101" s="871" t="s">
        <v>246</v>
      </c>
      <c r="C101" s="352"/>
      <c r="D101" s="355"/>
      <c r="E101" s="356" t="s">
        <v>275</v>
      </c>
      <c r="F101" s="392">
        <v>7</v>
      </c>
      <c r="G101" s="357">
        <f>Assumptions!$M$68/Assumptions!$M$69</f>
        <v>0.01</v>
      </c>
      <c r="H101" s="358">
        <f>Assumptions!$M$57</f>
        <v>0.05</v>
      </c>
      <c r="L101" s="282" t="s">
        <v>262</v>
      </c>
      <c r="M101" s="257"/>
      <c r="N101" s="257"/>
      <c r="O101" s="317">
        <f t="shared" ca="1" si="25"/>
        <v>65194667.564015239</v>
      </c>
      <c r="P101" s="317">
        <f ca="1">'S&amp;U'!R32</f>
        <v>29750887.562973391</v>
      </c>
      <c r="Q101" s="318">
        <f t="shared" ca="1" si="26"/>
        <v>6.6285988245165253E-2</v>
      </c>
      <c r="R101" s="317">
        <f ca="1">'S&amp;U'!S32</f>
        <v>14193767.632288469</v>
      </c>
      <c r="S101" s="318">
        <f ca="1">R101/R$105</f>
        <v>4.2912055618791037E-2</v>
      </c>
      <c r="T101" s="317">
        <f ca="1">'S&amp;U'!T32</f>
        <v>21250012.259555332</v>
      </c>
      <c r="U101" s="340">
        <f ca="1">T101/T$105</f>
        <v>5.8714659835103343E-2</v>
      </c>
    </row>
    <row r="102" spans="2:21" ht="19" customHeight="1">
      <c r="B102" s="304" t="s">
        <v>268</v>
      </c>
      <c r="C102" s="305"/>
      <c r="D102" s="305"/>
      <c r="E102" s="306"/>
      <c r="F102" s="393">
        <f>Assumptions!F155</f>
        <v>9.2680123820645425E-6</v>
      </c>
      <c r="G102" s="359">
        <f>Assumptions!$M$68/Assumptions!$M$69</f>
        <v>0.01</v>
      </c>
      <c r="H102" s="360">
        <f>Assumptions!$M$57</f>
        <v>0.05</v>
      </c>
      <c r="L102" s="282" t="s">
        <v>263</v>
      </c>
      <c r="M102" s="257"/>
      <c r="N102" s="257"/>
      <c r="O102" s="317">
        <f t="shared" ca="1" si="25"/>
        <v>21088807.532463856</v>
      </c>
      <c r="P102" s="317">
        <f>'S&amp;U'!R33</f>
        <v>10602597.694999998</v>
      </c>
      <c r="Q102" s="318">
        <f t="shared" ca="1" si="26"/>
        <v>2.3622947876474908E-2</v>
      </c>
      <c r="R102" s="317">
        <f ca="1">'S&amp;U'!S33</f>
        <v>10346636.882559894</v>
      </c>
      <c r="S102" s="318">
        <f t="shared" ref="S102" ca="1" si="27">R102/R$105</f>
        <v>3.1281014940799004E-2</v>
      </c>
      <c r="T102" s="317">
        <f ca="1">'S&amp;U'!T33</f>
        <v>139572.9</v>
      </c>
      <c r="U102" s="340">
        <f t="shared" ref="U102:U104" ca="1" si="28">T102/T$105</f>
        <v>3.856456761343242E-4</v>
      </c>
    </row>
    <row r="103" spans="2:21" ht="19" customHeight="1">
      <c r="B103" s="351" t="s">
        <v>250</v>
      </c>
      <c r="C103" s="352"/>
      <c r="D103" s="352"/>
      <c r="E103" s="353"/>
      <c r="F103" s="394"/>
      <c r="G103" s="352"/>
      <c r="H103" s="354"/>
      <c r="L103" s="282" t="s">
        <v>264</v>
      </c>
      <c r="M103" s="257"/>
      <c r="N103" s="257"/>
      <c r="O103" s="317">
        <f t="shared" ca="1" si="25"/>
        <v>2000000.0033720532</v>
      </c>
      <c r="P103" s="317">
        <f ca="1">'S&amp;U'!R34</f>
        <v>921573.63690485631</v>
      </c>
      <c r="Q103" s="318">
        <f t="shared" ca="1" si="26"/>
        <v>2.0532973725112028E-3</v>
      </c>
      <c r="R103" s="317">
        <f ca="1">'S&amp;U'!S34</f>
        <v>436197.10222555295</v>
      </c>
      <c r="S103" s="318">
        <f ca="1">R103/R$105</f>
        <v>1.3187558649951265E-3</v>
      </c>
      <c r="T103" s="317">
        <f ca="1">'S&amp;U'!T34</f>
        <v>642229.2608695908</v>
      </c>
      <c r="U103" s="340">
        <f ca="1">T103/T$105</f>
        <v>1.7745059215743216E-3</v>
      </c>
    </row>
    <row r="104" spans="2:21" ht="19" customHeight="1">
      <c r="B104" s="328" t="s">
        <v>39</v>
      </c>
      <c r="C104" s="352"/>
      <c r="D104" s="355"/>
      <c r="E104" s="353"/>
      <c r="F104" s="392">
        <v>240</v>
      </c>
      <c r="G104" s="357">
        <f>Assumptions!$M$74</f>
        <v>0.02</v>
      </c>
      <c r="H104" s="358">
        <f>Assumptions!$M$60</f>
        <v>0.1</v>
      </c>
      <c r="L104" s="282" t="s">
        <v>265</v>
      </c>
      <c r="M104" s="257"/>
      <c r="N104" s="257"/>
      <c r="O104" s="317">
        <f t="shared" ref="O104" ca="1" si="29">SUM(P104:T104)</f>
        <v>28392326.405946344</v>
      </c>
      <c r="P104" s="317">
        <f ca="1">'S&amp;U'!R35</f>
        <v>10742562.761021346</v>
      </c>
      <c r="Q104" s="318">
        <f t="shared" ca="1" si="26"/>
        <v>2.3934794798735184E-2</v>
      </c>
      <c r="R104" s="317">
        <f ca="1">'S&amp;U'!S35</f>
        <v>7108403.1003052182</v>
      </c>
      <c r="S104" s="318">
        <f ca="1">R104/R$105</f>
        <v>2.1490854091987345E-2</v>
      </c>
      <c r="T104" s="317">
        <f ca="1">'S&amp;U'!T35</f>
        <v>10541360.499194132</v>
      </c>
      <c r="U104" s="340">
        <f t="shared" ca="1" si="28"/>
        <v>2.9126213592233011E-2</v>
      </c>
    </row>
    <row r="105" spans="2:21" ht="19" customHeight="1">
      <c r="B105" s="328" t="s">
        <v>41</v>
      </c>
      <c r="C105" s="352"/>
      <c r="D105" s="355"/>
      <c r="E105" s="353"/>
      <c r="F105" s="392">
        <v>150</v>
      </c>
      <c r="G105" s="357">
        <f>Assumptions!$M$74</f>
        <v>0.02</v>
      </c>
      <c r="H105" s="358">
        <f>Assumptions!$M$60</f>
        <v>0.1</v>
      </c>
      <c r="L105" s="385" t="s">
        <v>266</v>
      </c>
      <c r="M105" s="386"/>
      <c r="N105" s="386"/>
      <c r="O105" s="387">
        <f ca="1">SUM(P105:T105)</f>
        <v>1141510338.0445437</v>
      </c>
      <c r="P105" s="387">
        <f ca="1">'S&amp;U'!R36</f>
        <v>448826190.12839949</v>
      </c>
      <c r="Q105" s="388"/>
      <c r="R105" s="387">
        <f ca="1">'S&amp;U'!S36</f>
        <v>330764104.11047912</v>
      </c>
      <c r="S105" s="388"/>
      <c r="T105" s="387">
        <f ca="1">'S&amp;U'!T36</f>
        <v>361920043.80566519</v>
      </c>
      <c r="U105" s="389"/>
    </row>
    <row r="106" spans="2:21" ht="19" customHeight="1">
      <c r="B106" s="304" t="s">
        <v>268</v>
      </c>
      <c r="C106" s="305"/>
      <c r="D106" s="305"/>
      <c r="E106" s="306"/>
      <c r="F106" s="393">
        <f>+F105</f>
        <v>150</v>
      </c>
      <c r="G106" s="359">
        <f>+G105</f>
        <v>0.02</v>
      </c>
      <c r="H106" s="360">
        <f>+H105</f>
        <v>0.1</v>
      </c>
    </row>
    <row r="107" spans="2:21" ht="19" customHeight="1"/>
    <row r="108" spans="2:21" ht="19" customHeight="1"/>
    <row r="109" spans="2:21" ht="19" customHeight="1"/>
    <row r="110" spans="2:21" ht="19" customHeight="1"/>
    <row r="111" spans="2:21" ht="19" customHeight="1"/>
    <row r="112" spans="2:21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</sheetData>
  <mergeCells count="11">
    <mergeCell ref="F29:H29"/>
    <mergeCell ref="F4:H4"/>
    <mergeCell ref="P4:T4"/>
    <mergeCell ref="D12:D13"/>
    <mergeCell ref="F12:H12"/>
    <mergeCell ref="P17:T17"/>
    <mergeCell ref="D42:D43"/>
    <mergeCell ref="F42:H42"/>
    <mergeCell ref="P50:T50"/>
    <mergeCell ref="E59:F59"/>
    <mergeCell ref="F89:H89"/>
  </mergeCells>
  <phoneticPr fontId="59" type="noConversion"/>
  <pageMargins left="0.7" right="0.7" top="0.75" bottom="0.75" header="0.3" footer="0.3"/>
  <pageSetup paperSize="3" scale="3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B1:AK80"/>
  <sheetViews>
    <sheetView showGridLines="0" topLeftCell="F12" zoomScale="80" zoomScaleNormal="80" workbookViewId="0">
      <selection activeCell="G23" sqref="G23"/>
    </sheetView>
  </sheetViews>
  <sheetFormatPr defaultColWidth="18.453125" defaultRowHeight="15.5" outlineLevelRow="1"/>
  <cols>
    <col min="1" max="6" width="18.453125" style="9"/>
    <col min="7" max="7" width="20.453125" style="9" bestFit="1" customWidth="1"/>
    <col min="8" max="16384" width="18.453125" style="9"/>
  </cols>
  <sheetData>
    <row r="1" spans="2:20">
      <c r="B1" s="8"/>
      <c r="C1" s="21"/>
      <c r="D1" s="21"/>
      <c r="E1" s="21"/>
      <c r="F1" s="21"/>
      <c r="G1" s="21"/>
      <c r="H1" s="25"/>
      <c r="I1" s="25"/>
      <c r="J1" s="25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>
      <c r="B2" s="517" t="s">
        <v>289</v>
      </c>
      <c r="C2" s="518"/>
      <c r="D2" s="441"/>
      <c r="E2" s="441"/>
      <c r="F2" s="518"/>
      <c r="G2" s="519" t="s">
        <v>210</v>
      </c>
      <c r="H2" s="520" t="str">
        <f>+Assumptions!F21</f>
        <v>I</v>
      </c>
      <c r="I2" s="520" t="str">
        <f>+Assumptions!G21</f>
        <v>II</v>
      </c>
      <c r="J2" s="520" t="str">
        <f>+Assumptions!H21</f>
        <v>III</v>
      </c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>
      <c r="B3" s="15" t="s">
        <v>251</v>
      </c>
      <c r="C3" s="15"/>
      <c r="D3" s="20"/>
      <c r="E3" s="15"/>
      <c r="F3" s="47">
        <f ca="1">+G3/Budget!$G$10</f>
        <v>55.139888147276402</v>
      </c>
      <c r="G3" s="317">
        <f ca="1">SUM(H3:J3)</f>
        <v>281653942.11751825</v>
      </c>
      <c r="H3" s="861">
        <f ca="1">H14</f>
        <v>166474667.50601038</v>
      </c>
      <c r="I3" s="861">
        <f t="shared" ref="I3" ca="1" si="0">I14</f>
        <v>101615548.35379855</v>
      </c>
      <c r="J3" s="861">
        <f ca="1">J14</f>
        <v>13563726.257709347</v>
      </c>
      <c r="K3" s="16"/>
      <c r="L3" s="21"/>
      <c r="M3" s="21"/>
      <c r="N3" s="21"/>
      <c r="O3" s="21"/>
      <c r="P3" s="21"/>
      <c r="Q3" s="21"/>
      <c r="R3" s="21"/>
      <c r="S3" s="21"/>
      <c r="T3" s="21"/>
    </row>
    <row r="4" spans="2:20">
      <c r="B4" s="17" t="s">
        <v>252</v>
      </c>
      <c r="C4" s="17"/>
      <c r="D4" s="17"/>
      <c r="E4" s="17"/>
      <c r="F4" s="48">
        <f ca="1">+G4/Budget!$G$10</f>
        <v>55.139888147276402</v>
      </c>
      <c r="G4" s="18">
        <f ca="1">+SUM(G3:G3)</f>
        <v>281653942.11751825</v>
      </c>
      <c r="H4" s="862">
        <f ca="1">H3</f>
        <v>166474667.50601038</v>
      </c>
      <c r="I4" s="862">
        <f t="shared" ref="I4:J4" ca="1" si="1">I3</f>
        <v>101615548.35379855</v>
      </c>
      <c r="J4" s="862">
        <f t="shared" ca="1" si="1"/>
        <v>13563726.257709347</v>
      </c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>
      <c r="B5" s="15"/>
      <c r="C5" s="15"/>
      <c r="D5" s="15"/>
      <c r="E5" s="15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>
      <c r="B6" s="440" t="s">
        <v>290</v>
      </c>
      <c r="C6" s="441"/>
      <c r="D6" s="441"/>
      <c r="E6" s="518"/>
      <c r="F6" s="518" t="s">
        <v>291</v>
      </c>
      <c r="G6" s="440" t="s">
        <v>210</v>
      </c>
      <c r="H6" s="442" t="str">
        <f>+H$2</f>
        <v>I</v>
      </c>
      <c r="I6" s="442" t="str">
        <f t="shared" ref="I6:J6" si="2">+I$2</f>
        <v>II</v>
      </c>
      <c r="J6" s="442" t="str">
        <f t="shared" si="2"/>
        <v>III</v>
      </c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>
      <c r="B7" s="15" t="s">
        <v>254</v>
      </c>
      <c r="C7" s="15"/>
      <c r="D7" s="20"/>
      <c r="E7" s="15"/>
      <c r="F7" s="47">
        <f ca="1">+G7/Budget!$G$10</f>
        <v>32.636548943233826</v>
      </c>
      <c r="G7" s="26">
        <f t="shared" ref="G7:G12" si="3">+SUM(H7:J7)</f>
        <v>166707133</v>
      </c>
      <c r="H7" s="16">
        <f>+Budget!H25</f>
        <v>79998202</v>
      </c>
      <c r="I7" s="16">
        <f>Budget!I25</f>
        <v>86708931</v>
      </c>
      <c r="J7" s="16">
        <f>+Budget!J25</f>
        <v>0</v>
      </c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>
      <c r="B8" s="15" t="s">
        <v>255</v>
      </c>
      <c r="C8" s="15"/>
      <c r="D8" s="20"/>
      <c r="E8" s="15"/>
      <c r="F8" s="47">
        <f ca="1">+G8/Budget!$G$10</f>
        <v>15.147967233288874</v>
      </c>
      <c r="G8" s="26">
        <f t="shared" si="3"/>
        <v>77375650</v>
      </c>
      <c r="H8" s="16">
        <f>+Budget!H32</f>
        <v>67748080</v>
      </c>
      <c r="I8" s="16">
        <f>+Budget!I32</f>
        <v>7301355</v>
      </c>
      <c r="J8" s="16">
        <f>+Budget!J32</f>
        <v>2326215</v>
      </c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>
      <c r="B9" s="15" t="s">
        <v>259</v>
      </c>
      <c r="C9" s="15"/>
      <c r="D9" s="20"/>
      <c r="E9" s="15"/>
      <c r="F9" s="47">
        <f ca="1">+G9/Budget!$G$10</f>
        <v>0.52610201783911437</v>
      </c>
      <c r="G9" s="26">
        <f>+SUM(H9:J9)</f>
        <v>2687323.32</v>
      </c>
      <c r="H9" s="16">
        <f>+Budget!H35</f>
        <v>2687323.32</v>
      </c>
      <c r="I9" s="16">
        <f>+Budget!I35</f>
        <v>0</v>
      </c>
      <c r="J9" s="16">
        <f>+Budget!J35</f>
        <v>0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2:20">
      <c r="B10" s="15" t="s">
        <v>262</v>
      </c>
      <c r="C10" s="15"/>
      <c r="D10" s="20"/>
      <c r="E10" s="15"/>
      <c r="F10" s="47">
        <f ca="1">+G10/Budget!$G$10</f>
        <v>6.8292699529146006</v>
      </c>
      <c r="G10" s="26">
        <f ca="1">+SUM(H10:J10)</f>
        <v>34883835.797518298</v>
      </c>
      <c r="H10" s="16">
        <f ca="1">+SUMPRODUCT(Budget!$E$50:$E$64,Budget!H$50:H$64)</f>
        <v>16041062.186010391</v>
      </c>
      <c r="I10" s="16">
        <f ca="1">+SUMPRODUCT(Budget!$E$50:$E$64,Budget!I$50:I$64)</f>
        <v>7605262.3537985599</v>
      </c>
      <c r="J10" s="16">
        <f ca="1">+SUMPRODUCT(Budget!$E$50:$E$64,Budget!J$50:J$64)</f>
        <v>11237511.257709347</v>
      </c>
      <c r="K10" s="16"/>
      <c r="L10" s="21"/>
      <c r="M10" s="21"/>
      <c r="N10" s="21"/>
      <c r="O10" s="21"/>
      <c r="P10" s="21"/>
      <c r="Q10" s="21"/>
      <c r="R10" s="21"/>
      <c r="S10" s="21"/>
      <c r="T10" s="21"/>
    </row>
    <row r="11" spans="2:20">
      <c r="B11" s="15" t="s">
        <v>263</v>
      </c>
      <c r="C11" s="15"/>
      <c r="D11" s="20"/>
      <c r="E11" s="15"/>
      <c r="F11" s="47">
        <f ca="1">+G11/Budget!$G$10</f>
        <v>0</v>
      </c>
      <c r="G11" s="26">
        <f t="shared" si="3"/>
        <v>0</v>
      </c>
      <c r="H11" s="16">
        <v>0</v>
      </c>
      <c r="I11" s="16">
        <v>0</v>
      </c>
      <c r="J11" s="16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>
      <c r="B12" s="15" t="s">
        <v>264</v>
      </c>
      <c r="C12" s="15"/>
      <c r="D12" s="20"/>
      <c r="E12" s="15"/>
      <c r="F12" s="47">
        <f ca="1">+G12/Budget!$G$10</f>
        <v>0</v>
      </c>
      <c r="G12" s="26">
        <f t="shared" si="3"/>
        <v>0</v>
      </c>
      <c r="H12" s="16">
        <v>0</v>
      </c>
      <c r="I12" s="16">
        <v>0</v>
      </c>
      <c r="J12" s="16"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2:20">
      <c r="B13" s="15" t="s">
        <v>265</v>
      </c>
      <c r="C13" s="15"/>
      <c r="D13" s="24"/>
      <c r="E13" s="15"/>
      <c r="F13" s="47">
        <f ca="1">+G13/Budget!$G$10</f>
        <v>0</v>
      </c>
      <c r="G13" s="26">
        <v>0</v>
      </c>
      <c r="H13" s="16">
        <f ca="1">+Budget!$E$80*Budget!H80</f>
        <v>0</v>
      </c>
      <c r="I13" s="16">
        <f ca="1">+Budget!$E$80*Budget!I80</f>
        <v>0</v>
      </c>
      <c r="J13" s="16">
        <f ca="1">+Budget!$E$80*Budget!J80</f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0">
      <c r="B14" s="17" t="s">
        <v>266</v>
      </c>
      <c r="C14" s="17"/>
      <c r="D14" s="17"/>
      <c r="E14" s="17"/>
      <c r="F14" s="48">
        <f ca="1">+G14/Budget!$G$10</f>
        <v>55.139888147276416</v>
      </c>
      <c r="G14" s="18">
        <f ca="1">+SUM(G7:G13)</f>
        <v>281653942.11751831</v>
      </c>
      <c r="H14" s="18">
        <f ca="1">+SUM(H7:H13)</f>
        <v>166474667.50601038</v>
      </c>
      <c r="I14" s="18">
        <f ca="1">+SUM(I7:I13)</f>
        <v>101615548.35379855</v>
      </c>
      <c r="J14" s="18">
        <f ca="1">J8+J10</f>
        <v>13563726.257709347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2:20">
      <c r="B15" s="15"/>
      <c r="C15" s="15"/>
      <c r="D15" s="15"/>
      <c r="E15" s="15"/>
      <c r="F15" s="15"/>
      <c r="G15" s="15"/>
      <c r="H15" s="15"/>
      <c r="I15" s="15"/>
      <c r="J15" s="15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>
      <c r="B16" s="517" t="s">
        <v>292</v>
      </c>
      <c r="C16" s="518"/>
      <c r="D16" s="441"/>
      <c r="E16" s="441"/>
      <c r="F16" s="518"/>
      <c r="G16" s="517" t="s">
        <v>210</v>
      </c>
      <c r="H16" s="442" t="str">
        <f t="shared" ref="H16:J16" si="4">+H$2</f>
        <v>I</v>
      </c>
      <c r="I16" s="442" t="str">
        <f t="shared" si="4"/>
        <v>II</v>
      </c>
      <c r="J16" s="442" t="str">
        <f t="shared" si="4"/>
        <v>III</v>
      </c>
      <c r="K16" s="21"/>
      <c r="L16" s="517" t="s">
        <v>293</v>
      </c>
      <c r="M16" s="518"/>
      <c r="N16" s="441"/>
      <c r="O16" s="441"/>
      <c r="P16" s="518"/>
      <c r="Q16" s="517" t="s">
        <v>210</v>
      </c>
      <c r="R16" s="442" t="str">
        <f>+H$2</f>
        <v>I</v>
      </c>
      <c r="S16" s="442" t="str">
        <f>+I$2</f>
        <v>II</v>
      </c>
      <c r="T16" s="442" t="str">
        <f>+J$2</f>
        <v>III</v>
      </c>
    </row>
    <row r="17" spans="2:20">
      <c r="B17" s="15" t="s">
        <v>270</v>
      </c>
      <c r="C17" s="15"/>
      <c r="D17" s="20"/>
      <c r="E17" s="15"/>
      <c r="F17" s="47">
        <f ca="1">+G17/Budget!$G$10</f>
        <v>71.790113486931943</v>
      </c>
      <c r="G17" s="13">
        <v>366703110</v>
      </c>
      <c r="H17" s="19">
        <v>61171525</v>
      </c>
      <c r="I17" s="19">
        <f ca="1">SUM('Phase II Pro Forma'!G233:H233)</f>
        <v>101366297.51979429</v>
      </c>
      <c r="J17" s="19">
        <f ca="1">SUM('Phase III Pro Forma'!F197:H197)</f>
        <v>204165287.63563812</v>
      </c>
      <c r="K17" s="19"/>
      <c r="L17" s="15" t="s">
        <v>294</v>
      </c>
      <c r="M17" s="15"/>
      <c r="N17" s="20"/>
      <c r="O17" s="15"/>
      <c r="P17" s="47"/>
      <c r="Q17" s="26">
        <f ca="1">SUM(R17:T17)</f>
        <v>778822167.98284268</v>
      </c>
      <c r="R17" s="16">
        <f>+'Loan Sizing'!F28</f>
        <v>224778244.62044176</v>
      </c>
      <c r="S17" s="16">
        <f ca="1">+'Loan Sizing'!G28</f>
        <v>319811284.74654377</v>
      </c>
      <c r="T17" s="16">
        <f>+'Loan Sizing'!H28</f>
        <v>234232638.61585712</v>
      </c>
    </row>
    <row r="18" spans="2:20">
      <c r="B18" s="659" t="s">
        <v>295</v>
      </c>
      <c r="C18" s="659"/>
      <c r="D18" s="823"/>
      <c r="E18" s="659"/>
      <c r="F18" s="824">
        <f ca="1">+G18/Budget!$G$10</f>
        <v>15.147967233288874</v>
      </c>
      <c r="G18" s="703">
        <f>+SUM(H18:J18)</f>
        <v>77375650</v>
      </c>
      <c r="H18" s="874">
        <f>Budget!H32</f>
        <v>67748080</v>
      </c>
      <c r="I18" s="874">
        <f>Budget!I32</f>
        <v>7301355</v>
      </c>
      <c r="J18" s="874">
        <f>Budget!J32</f>
        <v>2326215</v>
      </c>
      <c r="K18" s="538"/>
      <c r="L18" s="659" t="s">
        <v>168</v>
      </c>
      <c r="M18" s="659"/>
      <c r="N18" s="20"/>
      <c r="O18" s="15"/>
      <c r="P18" s="47">
        <f ca="1">+Q18/Budget!$G$10</f>
        <v>2.1143350152085292</v>
      </c>
      <c r="Q18" s="26">
        <v>10800000</v>
      </c>
      <c r="R18" s="819">
        <v>10800000</v>
      </c>
      <c r="S18" s="819" t="s">
        <v>246</v>
      </c>
      <c r="T18" s="819" t="s">
        <v>246</v>
      </c>
    </row>
    <row r="19" spans="2:20" outlineLevel="1">
      <c r="B19" s="659" t="s">
        <v>176</v>
      </c>
      <c r="C19" s="659"/>
      <c r="D19" s="823"/>
      <c r="E19" s="659"/>
      <c r="F19" s="824">
        <f ca="1">+G19/Budget!$G$10</f>
        <v>7.8308704266982563</v>
      </c>
      <c r="G19" s="703">
        <f t="shared" ref="G19:G21" si="5">+SUM(H19:J19)</f>
        <v>40000000</v>
      </c>
      <c r="H19" s="874">
        <f>+Assumptions!N173</f>
        <v>40000000</v>
      </c>
      <c r="I19" s="874">
        <f>+Assumptions!O173</f>
        <v>0</v>
      </c>
      <c r="J19" s="874">
        <f>+Assumptions!P173</f>
        <v>0</v>
      </c>
      <c r="K19" s="538"/>
      <c r="L19" s="659" t="s">
        <v>296</v>
      </c>
      <c r="M19" s="659"/>
      <c r="N19" s="823"/>
      <c r="O19" s="659"/>
      <c r="P19" s="824">
        <f ca="1">+Q19/Budget!$G$10</f>
        <v>0.79446275238785258</v>
      </c>
      <c r="Q19" s="703">
        <f t="shared" ref="Q19:Q24" ca="1" si="6">SUM(R19:T19)</f>
        <v>4058107.0001068749</v>
      </c>
      <c r="R19" s="819">
        <v>4058107</v>
      </c>
      <c r="S19" s="819">
        <f ca="1">+'Loan Sizing'!G60</f>
        <v>1.06875E-4</v>
      </c>
      <c r="T19" s="819">
        <v>0</v>
      </c>
    </row>
    <row r="20" spans="2:20">
      <c r="B20" s="659" t="s">
        <v>297</v>
      </c>
      <c r="C20" s="659"/>
      <c r="D20" s="823"/>
      <c r="E20" s="659"/>
      <c r="F20" s="824">
        <f ca="1">+G20/Budget!$G$10</f>
        <v>23.06866965796948</v>
      </c>
      <c r="G20" s="703">
        <f t="shared" si="5"/>
        <v>117834510.85754186</v>
      </c>
      <c r="H20" s="874">
        <f>+Assumptions!N176*Assumptions!N177</f>
        <v>5803911.2099087201</v>
      </c>
      <c r="I20" s="874">
        <f>+Assumptions!O176*Assumptions!O177</f>
        <v>44981034.314584278</v>
      </c>
      <c r="J20" s="874">
        <f>+Assumptions!P176*Assumptions!P177</f>
        <v>67049565.333048873</v>
      </c>
      <c r="K20" s="538"/>
      <c r="L20" s="659" t="s">
        <v>298</v>
      </c>
      <c r="M20" s="659"/>
      <c r="N20" s="823"/>
      <c r="O20" s="659"/>
      <c r="P20" s="824">
        <f ca="1">+Q20/Budget!$G$10</f>
        <v>15.147967233288874</v>
      </c>
      <c r="Q20" s="703">
        <f>SUM(R20:T20)</f>
        <v>77375650</v>
      </c>
      <c r="R20" s="819">
        <f t="shared" ref="R20:T23" si="7">+H18</f>
        <v>67748080</v>
      </c>
      <c r="S20" s="819">
        <f t="shared" si="7"/>
        <v>7301355</v>
      </c>
      <c r="T20" s="819">
        <f t="shared" si="7"/>
        <v>2326215</v>
      </c>
    </row>
    <row r="21" spans="2:20">
      <c r="B21" s="659" t="s">
        <v>299</v>
      </c>
      <c r="C21" s="659"/>
      <c r="D21" s="823"/>
      <c r="E21" s="659"/>
      <c r="F21" s="824">
        <f ca="1">+G21/Budget!$G$10</f>
        <v>2.1683680211649632</v>
      </c>
      <c r="G21" s="703">
        <f t="shared" si="5"/>
        <v>11076000.000062399</v>
      </c>
      <c r="H21" s="819">
        <f>+Assumptions!N185*Assumptions!N186+Assumptions!N189*Assumptions!N190</f>
        <v>5538000</v>
      </c>
      <c r="I21" s="819">
        <f>+Assumptions!O185*Assumptions!O186+Assumptions!O189*Assumptions!O190</f>
        <v>6.2400000000000012E-5</v>
      </c>
      <c r="J21" s="819">
        <f>+Assumptions!P185*Assumptions!P186+Assumptions!P189*Assumptions!P190</f>
        <v>5538000</v>
      </c>
      <c r="K21" s="538"/>
      <c r="L21" s="659" t="s">
        <v>176</v>
      </c>
      <c r="M21" s="659"/>
      <c r="N21" s="823"/>
      <c r="O21" s="659"/>
      <c r="P21" s="824">
        <f ca="1">+Q21/Budget!$G$10</f>
        <v>0</v>
      </c>
      <c r="Q21" s="703">
        <v>0</v>
      </c>
      <c r="R21" s="819">
        <v>0</v>
      </c>
      <c r="S21" s="819" t="s">
        <v>246</v>
      </c>
      <c r="T21" s="819" t="s">
        <v>246</v>
      </c>
    </row>
    <row r="22" spans="2:20" s="21" customFormat="1">
      <c r="B22" s="659" t="s">
        <v>300</v>
      </c>
      <c r="C22" s="659"/>
      <c r="D22" s="823"/>
      <c r="E22" s="659"/>
      <c r="F22" s="824">
        <f ca="1">+G22/Budget!$G$10</f>
        <v>0</v>
      </c>
      <c r="G22" s="703">
        <v>0</v>
      </c>
      <c r="H22" s="819">
        <v>0</v>
      </c>
      <c r="I22" s="819">
        <v>0</v>
      </c>
      <c r="J22" s="819">
        <v>0</v>
      </c>
      <c r="K22" s="538"/>
      <c r="L22" s="659" t="s">
        <v>297</v>
      </c>
      <c r="M22" s="659"/>
      <c r="N22" s="20"/>
      <c r="O22" s="15"/>
      <c r="P22" s="47">
        <f ca="1">+Q22/Budget!$G$10</f>
        <v>23.06866965796948</v>
      </c>
      <c r="Q22" s="26">
        <f t="shared" si="6"/>
        <v>117834510.85754186</v>
      </c>
      <c r="R22" s="16">
        <f t="shared" si="7"/>
        <v>5803911.2099087201</v>
      </c>
      <c r="S22" s="16">
        <f t="shared" si="7"/>
        <v>44981034.314584278</v>
      </c>
      <c r="T22" s="16">
        <f t="shared" si="7"/>
        <v>67049565.333048873</v>
      </c>
    </row>
    <row r="23" spans="2:20">
      <c r="B23" s="659" t="s">
        <v>251</v>
      </c>
      <c r="C23" s="659"/>
      <c r="D23" s="823"/>
      <c r="E23" s="659"/>
      <c r="F23" s="824">
        <f ca="1">+G23/Budget!$G$10</f>
        <v>103.89503481702877</v>
      </c>
      <c r="G23" s="703">
        <v>530694695</v>
      </c>
      <c r="H23" s="819">
        <f ca="1">H36-SUM(H17:H22)</f>
        <v>268564673.91849077</v>
      </c>
      <c r="I23" s="819">
        <f t="shared" ref="I23" ca="1" si="8">I36-SUM(I17:I22)</f>
        <v>177115417.27603814</v>
      </c>
      <c r="J23" s="819">
        <f ca="1">J36-SUM(J17:J22)</f>
        <v>82840975.836978197</v>
      </c>
      <c r="K23" s="538"/>
      <c r="L23" s="659" t="s">
        <v>299</v>
      </c>
      <c r="M23" s="659"/>
      <c r="N23" s="20"/>
      <c r="O23" s="15"/>
      <c r="P23" s="47">
        <f ca="1">+Q23/Budget!$G$10</f>
        <v>2.1683680211649632</v>
      </c>
      <c r="Q23" s="26">
        <f t="shared" si="6"/>
        <v>11076000.000062399</v>
      </c>
      <c r="R23" s="16">
        <f t="shared" si="7"/>
        <v>5538000</v>
      </c>
      <c r="S23" s="16">
        <f t="shared" si="7"/>
        <v>6.2400000000000012E-5</v>
      </c>
      <c r="T23" s="16">
        <f t="shared" si="7"/>
        <v>5538000</v>
      </c>
    </row>
    <row r="24" spans="2:20">
      <c r="B24" s="54" t="s">
        <v>246</v>
      </c>
      <c r="C24" s="21"/>
      <c r="D24" s="21"/>
      <c r="E24" s="21"/>
      <c r="F24" s="21"/>
      <c r="G24" s="538"/>
      <c r="H24" s="538"/>
      <c r="I24" s="538"/>
      <c r="J24" s="538"/>
      <c r="K24" s="538"/>
      <c r="L24" s="659"/>
      <c r="M24" s="659"/>
      <c r="N24" s="20"/>
      <c r="O24" s="15"/>
      <c r="P24" s="47">
        <f ca="1">+Q24/Budget!$G$10</f>
        <v>0</v>
      </c>
      <c r="Q24" s="26">
        <f t="shared" si="6"/>
        <v>0</v>
      </c>
      <c r="R24" s="16">
        <v>0</v>
      </c>
      <c r="S24" s="16">
        <v>0</v>
      </c>
      <c r="T24" s="16">
        <v>0</v>
      </c>
    </row>
    <row r="25" spans="2:20">
      <c r="B25" s="21"/>
      <c r="C25" s="15"/>
      <c r="D25" s="15"/>
      <c r="E25" s="15"/>
      <c r="F25" s="15"/>
      <c r="G25" s="15"/>
      <c r="H25" s="15"/>
      <c r="I25" s="15"/>
      <c r="J25" s="15"/>
      <c r="K25" s="21"/>
      <c r="L25" s="15" t="s">
        <v>251</v>
      </c>
      <c r="M25" s="15"/>
      <c r="N25" s="24"/>
      <c r="O25" s="15"/>
      <c r="P25" s="47">
        <f ca="1">+Q25/Budget!$G$10</f>
        <v>35.801461623117859</v>
      </c>
      <c r="Q25" s="26">
        <f ca="1">R25+T25</f>
        <v>182873472.15480816</v>
      </c>
      <c r="R25" s="16">
        <f ca="1">R36-SUM(R17:R23)</f>
        <v>130099847.29804897</v>
      </c>
      <c r="S25" s="16">
        <f ca="1">S36-SUM(S17:S24)</f>
        <v>-41329569.950818181</v>
      </c>
      <c r="T25" s="16">
        <f ca="1">T36-SUM(T17:T24)</f>
        <v>52773624.856759191</v>
      </c>
    </row>
    <row r="26" spans="2:20">
      <c r="B26" s="17" t="s">
        <v>252</v>
      </c>
      <c r="C26" s="17"/>
      <c r="D26" s="17"/>
      <c r="E26" s="17"/>
      <c r="F26" s="48">
        <f ca="1">+G26/Budget!$G$10</f>
        <v>223.47548869908368</v>
      </c>
      <c r="G26" s="18">
        <f ca="1">+SUM(H26+I26+J26)</f>
        <v>1141510338.0445437</v>
      </c>
      <c r="H26" s="18">
        <f ca="1">+SUM(H17:H23)</f>
        <v>448826190.12839949</v>
      </c>
      <c r="I26" s="18">
        <f ca="1">+SUM(I17:I23)</f>
        <v>330764104.11047912</v>
      </c>
      <c r="J26" s="18">
        <f ca="1">+SUM(J17:J23)</f>
        <v>361920043.80566519</v>
      </c>
      <c r="K26" s="21"/>
      <c r="L26" s="17" t="s">
        <v>252</v>
      </c>
      <c r="M26" s="17"/>
      <c r="N26" s="17"/>
      <c r="O26" s="17"/>
      <c r="P26" s="48">
        <f ca="1">+Q26/Budget!$G$10</f>
        <v>223.47548869908368</v>
      </c>
      <c r="Q26" s="18">
        <f ca="1">SUM(R26+S26+T26)</f>
        <v>1141510338.0445437</v>
      </c>
      <c r="R26" s="18">
        <f ca="1">SUM(R17:R25)</f>
        <v>448826190.12839949</v>
      </c>
      <c r="S26" s="18">
        <f ca="1">+SUM(S17:S25)</f>
        <v>330764104.11047912</v>
      </c>
      <c r="T26" s="18">
        <f ca="1">+SUM(T17:T25)</f>
        <v>361920043.80566519</v>
      </c>
    </row>
    <row r="28" spans="2:20">
      <c r="B28" s="440" t="s">
        <v>301</v>
      </c>
      <c r="C28" s="441"/>
      <c r="D28" s="441"/>
      <c r="E28" s="441"/>
      <c r="F28" s="441"/>
      <c r="G28" s="440" t="s">
        <v>210</v>
      </c>
      <c r="H28" s="442" t="str">
        <f>+H$2</f>
        <v>I</v>
      </c>
      <c r="I28" s="442" t="str">
        <f>+I$2</f>
        <v>II</v>
      </c>
      <c r="J28" s="442" t="str">
        <f>+J$2</f>
        <v>III</v>
      </c>
      <c r="K28" s="21"/>
      <c r="L28" s="440" t="s">
        <v>302</v>
      </c>
      <c r="M28" s="441"/>
      <c r="N28" s="441"/>
      <c r="O28" s="441"/>
      <c r="P28" s="441"/>
      <c r="Q28" s="440" t="s">
        <v>210</v>
      </c>
      <c r="R28" s="442" t="str">
        <f>+H$2</f>
        <v>I</v>
      </c>
      <c r="S28" s="442" t="str">
        <f>+I$2</f>
        <v>II</v>
      </c>
      <c r="T28" s="442" t="str">
        <f>+J$2</f>
        <v>III</v>
      </c>
    </row>
    <row r="29" spans="2:20">
      <c r="B29" s="15" t="s">
        <v>254</v>
      </c>
      <c r="C29" s="15"/>
      <c r="D29" s="20"/>
      <c r="E29" s="15"/>
      <c r="F29" s="47">
        <f ca="1">+G29/Budget!$G$10</f>
        <v>32.636548943233826</v>
      </c>
      <c r="G29" s="26">
        <f t="shared" ref="G29:G35" si="9">+SUM(H29:J29)</f>
        <v>166707133</v>
      </c>
      <c r="H29" s="16">
        <f>+Budget!H25</f>
        <v>79998202</v>
      </c>
      <c r="I29" s="16">
        <f>+Budget!I25</f>
        <v>86708931</v>
      </c>
      <c r="J29" s="16">
        <f>+Budget!J25</f>
        <v>0</v>
      </c>
      <c r="K29" s="21"/>
      <c r="L29" s="15" t="s">
        <v>254</v>
      </c>
      <c r="M29" s="15"/>
      <c r="N29" s="20"/>
      <c r="O29" s="15"/>
      <c r="P29" s="47">
        <f ca="1">+Q29/Budget!$G$10</f>
        <v>32.636548943233826</v>
      </c>
      <c r="Q29" s="26">
        <f t="shared" ref="Q29:Q35" si="10">+SUM(R29:T29)</f>
        <v>166707133</v>
      </c>
      <c r="R29" s="16">
        <f t="shared" ref="R29:T35" si="11">+H29</f>
        <v>79998202</v>
      </c>
      <c r="S29" s="16">
        <f t="shared" si="11"/>
        <v>86708931</v>
      </c>
      <c r="T29" s="16">
        <f t="shared" si="11"/>
        <v>0</v>
      </c>
    </row>
    <row r="30" spans="2:20">
      <c r="B30" s="15" t="s">
        <v>255</v>
      </c>
      <c r="C30" s="15"/>
      <c r="D30" s="20"/>
      <c r="E30" s="15"/>
      <c r="F30" s="47">
        <f ca="1">+G30/Budget!$G$10</f>
        <v>15.147967233288874</v>
      </c>
      <c r="G30" s="26">
        <f t="shared" si="9"/>
        <v>77375650</v>
      </c>
      <c r="H30" s="16">
        <f>+Budget!H32</f>
        <v>67748080</v>
      </c>
      <c r="I30" s="16">
        <f>+Budget!I32</f>
        <v>7301355</v>
      </c>
      <c r="J30" s="16">
        <f>+Budget!J32</f>
        <v>2326215</v>
      </c>
      <c r="K30" s="21"/>
      <c r="L30" s="15" t="s">
        <v>255</v>
      </c>
      <c r="M30" s="15"/>
      <c r="N30" s="20"/>
      <c r="O30" s="15"/>
      <c r="P30" s="47">
        <f ca="1">+Q30/Budget!$G$10</f>
        <v>15.147967233288874</v>
      </c>
      <c r="Q30" s="26">
        <f t="shared" si="10"/>
        <v>77375650</v>
      </c>
      <c r="R30" s="16">
        <f t="shared" si="11"/>
        <v>67748080</v>
      </c>
      <c r="S30" s="16">
        <f t="shared" si="11"/>
        <v>7301355</v>
      </c>
      <c r="T30" s="16">
        <f t="shared" si="11"/>
        <v>2326215</v>
      </c>
    </row>
    <row r="31" spans="2:20">
      <c r="B31" s="15" t="s">
        <v>276</v>
      </c>
      <c r="C31" s="15"/>
      <c r="D31" s="20"/>
      <c r="E31" s="15"/>
      <c r="F31" s="47">
        <f ca="1">+G31/Budget!$G$10</f>
        <v>152.84914547616413</v>
      </c>
      <c r="G31" s="26">
        <f ca="1">+SUM(H31:J31)</f>
        <v>780751753.75164616</v>
      </c>
      <c r="H31" s="16">
        <f ca="1">+Budget!H46</f>
        <v>249062286.4725</v>
      </c>
      <c r="I31" s="16">
        <f ca="1">+Budget!I46</f>
        <v>204668813.39310002</v>
      </c>
      <c r="J31" s="16">
        <f ca="1">+Budget!J46</f>
        <v>327020653.88604617</v>
      </c>
      <c r="K31" s="21"/>
      <c r="L31" s="15" t="s">
        <v>276</v>
      </c>
      <c r="M31" s="15"/>
      <c r="N31" s="20"/>
      <c r="O31" s="15"/>
      <c r="P31" s="47">
        <f ca="1">+Q31/Budget!$G$10</f>
        <v>152.84914547616413</v>
      </c>
      <c r="Q31" s="26">
        <f t="shared" ca="1" si="10"/>
        <v>780751753.75164616</v>
      </c>
      <c r="R31" s="16">
        <f t="shared" ca="1" si="11"/>
        <v>249062286.4725</v>
      </c>
      <c r="S31" s="16">
        <f t="shared" ca="1" si="11"/>
        <v>204668813.39310002</v>
      </c>
      <c r="T31" s="16">
        <f t="shared" ca="1" si="11"/>
        <v>327020653.88604617</v>
      </c>
    </row>
    <row r="32" spans="2:20">
      <c r="B32" s="15" t="s">
        <v>262</v>
      </c>
      <c r="C32" s="15"/>
      <c r="D32" s="20"/>
      <c r="E32" s="15"/>
      <c r="F32" s="47">
        <f ca="1">+G32/Budget!$G$10</f>
        <v>12.76327483375888</v>
      </c>
      <c r="G32" s="26">
        <f ca="1">+SUM(H32:J32)</f>
        <v>65194667.454817191</v>
      </c>
      <c r="H32" s="16">
        <f ca="1">+Budget!H65</f>
        <v>29750887.562973391</v>
      </c>
      <c r="I32" s="16">
        <f ca="1">+Budget!I65</f>
        <v>14193767.632288469</v>
      </c>
      <c r="J32" s="16">
        <f ca="1">+Budget!J65</f>
        <v>21250012.259555332</v>
      </c>
      <c r="K32" s="21"/>
      <c r="L32" s="15" t="s">
        <v>262</v>
      </c>
      <c r="M32" s="15"/>
      <c r="N32" s="20"/>
      <c r="O32" s="15"/>
      <c r="P32" s="47">
        <f ca="1">+Q32/Budget!$G$10</f>
        <v>12.76327483375888</v>
      </c>
      <c r="Q32" s="670">
        <f ca="1">SUM(R32:T32)</f>
        <v>65194667.454817191</v>
      </c>
      <c r="R32" s="642">
        <f ca="1">H32</f>
        <v>29750887.562973391</v>
      </c>
      <c r="S32" s="642">
        <f ca="1">I32</f>
        <v>14193767.632288469</v>
      </c>
      <c r="T32" s="642">
        <f ca="1">J32</f>
        <v>21250012.259555332</v>
      </c>
    </row>
    <row r="33" spans="2:37">
      <c r="B33" s="15" t="s">
        <v>263</v>
      </c>
      <c r="C33" s="15"/>
      <c r="D33" s="20"/>
      <c r="E33" s="15"/>
      <c r="F33" s="47">
        <f ca="1">+G33/Budget!$G$10</f>
        <v>4.1285929702589197</v>
      </c>
      <c r="G33" s="26">
        <f t="shared" ca="1" si="9"/>
        <v>21088807.477559891</v>
      </c>
      <c r="H33" s="16">
        <f>+Budget!H72</f>
        <v>10602597.694999998</v>
      </c>
      <c r="I33" s="16">
        <f ca="1">+Budget!I72</f>
        <v>10346636.882559894</v>
      </c>
      <c r="J33" s="16">
        <f ca="1">+Budget!J72</f>
        <v>139572.9</v>
      </c>
      <c r="K33" s="21"/>
      <c r="L33" s="15" t="s">
        <v>263</v>
      </c>
      <c r="M33" s="15"/>
      <c r="N33" s="20"/>
      <c r="O33" s="15"/>
      <c r="P33" s="47">
        <f ca="1">+Q33/Budget!$G$10</f>
        <v>4.1285929702589197</v>
      </c>
      <c r="Q33" s="26">
        <f t="shared" ca="1" si="10"/>
        <v>21088807.477559891</v>
      </c>
      <c r="R33" s="16">
        <f t="shared" si="11"/>
        <v>10602597.694999998</v>
      </c>
      <c r="S33" s="16">
        <f t="shared" ca="1" si="11"/>
        <v>10346636.882559894</v>
      </c>
      <c r="T33" s="16">
        <f t="shared" ca="1" si="11"/>
        <v>139572.9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2:37">
      <c r="B34" s="15" t="s">
        <v>264</v>
      </c>
      <c r="C34" s="15"/>
      <c r="D34" s="20"/>
      <c r="E34" s="15"/>
      <c r="F34" s="47">
        <f ca="1">+G34/Budget!$G$10</f>
        <v>0.39154352133491283</v>
      </c>
      <c r="G34" s="26">
        <f t="shared" ca="1" si="9"/>
        <v>2000000</v>
      </c>
      <c r="H34" s="16">
        <f ca="1">+Budget!H77</f>
        <v>921573.63690485631</v>
      </c>
      <c r="I34" s="16">
        <f ca="1">+Budget!I77</f>
        <v>436197.10222555295</v>
      </c>
      <c r="J34" s="16">
        <f ca="1">+Budget!J77</f>
        <v>642229.2608695908</v>
      </c>
      <c r="K34" s="21"/>
      <c r="L34" s="15" t="s">
        <v>264</v>
      </c>
      <c r="M34" s="15"/>
      <c r="N34" s="20"/>
      <c r="O34" s="15"/>
      <c r="P34" s="47">
        <f ca="1">+Q34/Budget!$G$10</f>
        <v>0.39154352133491283</v>
      </c>
      <c r="Q34" s="26">
        <f t="shared" ca="1" si="10"/>
        <v>2000000</v>
      </c>
      <c r="R34" s="16">
        <f t="shared" ca="1" si="11"/>
        <v>921573.63690485631</v>
      </c>
      <c r="S34" s="16">
        <f t="shared" ca="1" si="11"/>
        <v>436197.10222555295</v>
      </c>
      <c r="T34" s="16">
        <f t="shared" ca="1" si="11"/>
        <v>642229.2608695908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2:37">
      <c r="B35" s="15" t="s">
        <v>265</v>
      </c>
      <c r="C35" s="15"/>
      <c r="D35" s="24"/>
      <c r="E35" s="15"/>
      <c r="F35" s="47">
        <f ca="1">+G35/Budget!$G$10</f>
        <v>5.558415721044172</v>
      </c>
      <c r="G35" s="26">
        <f t="shared" ca="1" si="9"/>
        <v>28392326.360520698</v>
      </c>
      <c r="H35" s="16">
        <f ca="1">+Budget!H81</f>
        <v>10742562.761021346</v>
      </c>
      <c r="I35" s="16">
        <f ca="1">+Budget!I81</f>
        <v>7108403.1003052182</v>
      </c>
      <c r="J35" s="16">
        <f ca="1">+Budget!J81</f>
        <v>10541360.499194132</v>
      </c>
      <c r="K35" s="21"/>
      <c r="L35" s="15" t="s">
        <v>265</v>
      </c>
      <c r="M35" s="15"/>
      <c r="N35" s="24"/>
      <c r="O35" s="15"/>
      <c r="P35" s="47">
        <f ca="1">+Q35/Budget!$G$10</f>
        <v>5.558415721044172</v>
      </c>
      <c r="Q35" s="26">
        <f t="shared" ca="1" si="10"/>
        <v>28392326.360520698</v>
      </c>
      <c r="R35" s="16">
        <f t="shared" ca="1" si="11"/>
        <v>10742562.761021346</v>
      </c>
      <c r="S35" s="16">
        <f t="shared" ca="1" si="11"/>
        <v>7108403.1003052182</v>
      </c>
      <c r="T35" s="16">
        <f t="shared" ca="1" si="11"/>
        <v>10541360.499194132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2:37">
      <c r="B36" s="17" t="s">
        <v>266</v>
      </c>
      <c r="C36" s="17"/>
      <c r="D36" s="17"/>
      <c r="E36" s="17"/>
      <c r="F36" s="48">
        <f ca="1">+G36/Budget!$G$10</f>
        <v>27.703728022906862</v>
      </c>
      <c r="G36" s="18">
        <v>141510338</v>
      </c>
      <c r="H36" s="18">
        <f ca="1">+SUM(H29:H35)</f>
        <v>448826190.12839949</v>
      </c>
      <c r="I36" s="18">
        <f ca="1">+SUM(I29:I35)</f>
        <v>330764104.11047912</v>
      </c>
      <c r="J36" s="18">
        <f ca="1">+SUM(J29:J35)</f>
        <v>361920043.80566519</v>
      </c>
      <c r="K36" s="21"/>
      <c r="L36" s="17" t="s">
        <v>266</v>
      </c>
      <c r="M36" s="17"/>
      <c r="N36" s="17"/>
      <c r="O36" s="17"/>
      <c r="P36" s="48">
        <f ca="1">+Q36/Budget!$G$10</f>
        <v>27.703728022906862</v>
      </c>
      <c r="Q36" s="18">
        <v>141510338</v>
      </c>
      <c r="R36" s="18">
        <f ca="1">SUM(R29:R35)</f>
        <v>448826190.12839949</v>
      </c>
      <c r="S36" s="18">
        <f ca="1">+SUM(S29:S35)</f>
        <v>330764104.11047912</v>
      </c>
      <c r="T36" s="18">
        <f ca="1">+SUM(T29:T35)</f>
        <v>361920043.80566519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8" spans="2:37">
      <c r="B38" s="660" t="s">
        <v>303</v>
      </c>
      <c r="C38" s="661"/>
      <c r="D38" s="661"/>
      <c r="E38" s="661"/>
      <c r="F38" s="661"/>
      <c r="G38" s="660" t="s">
        <v>210</v>
      </c>
      <c r="H38" s="662" t="str">
        <f>+H$2</f>
        <v>I</v>
      </c>
      <c r="I38" s="662" t="str">
        <f>+I$2</f>
        <v>II</v>
      </c>
      <c r="J38" s="662" t="str">
        <f>+J$2</f>
        <v>III</v>
      </c>
      <c r="K38" s="16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2:37" s="21" customFormat="1">
      <c r="B39" s="8" t="s">
        <v>254</v>
      </c>
      <c r="C39" s="8"/>
      <c r="D39" s="90"/>
      <c r="E39" s="8"/>
      <c r="F39" s="47">
        <f ca="1">+G39/Budget!$G$10</f>
        <v>0</v>
      </c>
      <c r="G39" s="91">
        <f t="shared" ref="G39:G45" si="12">+SUM(H39:J39)</f>
        <v>0</v>
      </c>
      <c r="H39" s="92">
        <f t="shared" ref="H39:J45" si="13">+H29-H7</f>
        <v>0</v>
      </c>
      <c r="I39" s="92">
        <f t="shared" si="13"/>
        <v>0</v>
      </c>
      <c r="J39" s="92">
        <f t="shared" si="13"/>
        <v>0</v>
      </c>
      <c r="K39" s="16"/>
    </row>
    <row r="40" spans="2:37" s="21" customFormat="1">
      <c r="B40" s="8" t="s">
        <v>255</v>
      </c>
      <c r="C40" s="8"/>
      <c r="D40" s="90"/>
      <c r="E40" s="8"/>
      <c r="F40" s="47">
        <f ca="1">+G40/Budget!$G$10</f>
        <v>0</v>
      </c>
      <c r="G40" s="91">
        <f t="shared" si="12"/>
        <v>0</v>
      </c>
      <c r="H40" s="92">
        <f t="shared" si="13"/>
        <v>0</v>
      </c>
      <c r="I40" s="92">
        <f t="shared" si="13"/>
        <v>0</v>
      </c>
      <c r="J40" s="92">
        <f t="shared" si="13"/>
        <v>0</v>
      </c>
      <c r="K40" s="16"/>
    </row>
    <row r="41" spans="2:37">
      <c r="B41" s="8" t="s">
        <v>276</v>
      </c>
      <c r="C41" s="8"/>
      <c r="D41" s="90"/>
      <c r="E41" s="8"/>
      <c r="F41" s="47">
        <f ca="1">+G41/Budget!$G$10</f>
        <v>152.32304345832503</v>
      </c>
      <c r="G41" s="91">
        <f ca="1">+SUM(H41:J41)</f>
        <v>778064430.43164623</v>
      </c>
      <c r="H41" s="92">
        <f ca="1">+H31-H9</f>
        <v>246374963.1525</v>
      </c>
      <c r="I41" s="92">
        <f ca="1">+I31-I9</f>
        <v>204668813.39310002</v>
      </c>
      <c r="J41" s="92">
        <f ca="1">+J31-J9</f>
        <v>327020653.88604617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2:37" outlineLevel="1">
      <c r="B42" s="8" t="s">
        <v>262</v>
      </c>
      <c r="C42" s="8"/>
      <c r="D42" s="90"/>
      <c r="E42" s="8"/>
      <c r="F42" s="47">
        <f ca="1">+G42/Budget!$G$10</f>
        <v>5.9340048808442809</v>
      </c>
      <c r="G42" s="669">
        <f ca="1">+SUM(H42:J42)</f>
        <v>30310831.657298896</v>
      </c>
      <c r="H42" s="159">
        <f ca="1">+H32-H10</f>
        <v>13709825.376963001</v>
      </c>
      <c r="I42" s="159">
        <f t="shared" ref="I42:J42" ca="1" si="14">+I32-I10</f>
        <v>6588505.2784899091</v>
      </c>
      <c r="J42" s="159">
        <f t="shared" ca="1" si="14"/>
        <v>10012501.001845986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2:37">
      <c r="B43" s="8" t="s">
        <v>263</v>
      </c>
      <c r="C43" s="8"/>
      <c r="D43" s="90"/>
      <c r="E43" s="8"/>
      <c r="F43" s="47">
        <f ca="1">+G43/Budget!$G$10</f>
        <v>4.1285929702589197</v>
      </c>
      <c r="G43" s="91">
        <f t="shared" ca="1" si="12"/>
        <v>21088807.477559891</v>
      </c>
      <c r="H43" s="92">
        <f t="shared" si="13"/>
        <v>10602597.694999998</v>
      </c>
      <c r="I43" s="92">
        <f t="shared" ca="1" si="13"/>
        <v>10346636.882559894</v>
      </c>
      <c r="J43" s="92">
        <f t="shared" ca="1" si="13"/>
        <v>139572.9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2:37">
      <c r="B44" s="8" t="s">
        <v>264</v>
      </c>
      <c r="C44" s="8"/>
      <c r="D44" s="90"/>
      <c r="E44" s="8"/>
      <c r="F44" s="47">
        <f ca="1">+G44/Budget!$G$10</f>
        <v>0.39154352133491283</v>
      </c>
      <c r="G44" s="91">
        <f t="shared" ca="1" si="12"/>
        <v>2000000</v>
      </c>
      <c r="H44" s="92">
        <f t="shared" ca="1" si="13"/>
        <v>921573.63690485631</v>
      </c>
      <c r="I44" s="92">
        <f t="shared" ca="1" si="13"/>
        <v>436197.10222555295</v>
      </c>
      <c r="J44" s="92">
        <f t="shared" ca="1" si="13"/>
        <v>642229.2608695908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2:37" s="21" customFormat="1">
      <c r="B45" s="8" t="s">
        <v>265</v>
      </c>
      <c r="C45" s="8"/>
      <c r="D45" s="93"/>
      <c r="E45" s="8"/>
      <c r="F45" s="47">
        <f ca="1">+G45/Budget!$G$10</f>
        <v>5.558415721044172</v>
      </c>
      <c r="G45" s="91">
        <f t="shared" ca="1" si="12"/>
        <v>28392326.360520698</v>
      </c>
      <c r="H45" s="92">
        <f t="shared" ca="1" si="13"/>
        <v>10742562.761021346</v>
      </c>
      <c r="I45" s="92">
        <f t="shared" ca="1" si="13"/>
        <v>7108403.1003052182</v>
      </c>
      <c r="J45" s="92">
        <f t="shared" ca="1" si="13"/>
        <v>10541360.499194132</v>
      </c>
    </row>
    <row r="46" spans="2:37">
      <c r="B46" s="94" t="s">
        <v>266</v>
      </c>
      <c r="C46" s="94"/>
      <c r="D46" s="94"/>
      <c r="E46" s="94"/>
      <c r="F46" s="48">
        <f ca="1">+G46/Budget!$G$10</f>
        <v>168.33560055180735</v>
      </c>
      <c r="G46" s="95">
        <f ca="1">+SUM(G39:G45)</f>
        <v>859856395.92702579</v>
      </c>
      <c r="H46" s="95">
        <f ca="1">+SUM(H39:H45)</f>
        <v>282351522.6223892</v>
      </c>
      <c r="I46" s="95">
        <f ca="1">+SUM(I39:I45)</f>
        <v>229148555.75668061</v>
      </c>
      <c r="J46" s="95">
        <f ca="1">SUM(J39:J45)</f>
        <v>348356317.54795581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54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8" spans="2:37" ht="24" customHeight="1">
      <c r="B48" s="15"/>
      <c r="C48" s="15"/>
      <c r="D48" s="15"/>
      <c r="E48" s="15"/>
      <c r="F48" s="15"/>
      <c r="G48" s="15"/>
      <c r="H48" s="15"/>
      <c r="I48" s="15"/>
      <c r="J48" s="1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363"/>
      <c r="V48" s="363"/>
      <c r="W48" s="363"/>
      <c r="X48" s="946" t="s">
        <v>267</v>
      </c>
      <c r="Y48" s="946"/>
      <c r="Z48" s="946"/>
      <c r="AA48" s="363"/>
      <c r="AB48" s="363"/>
      <c r="AC48" s="946" t="s">
        <v>278</v>
      </c>
      <c r="AD48" s="946"/>
      <c r="AE48" s="946"/>
      <c r="AF48" s="363"/>
      <c r="AG48" s="363"/>
      <c r="AH48" s="363"/>
      <c r="AI48" s="363"/>
      <c r="AJ48" s="363"/>
      <c r="AK48" s="363"/>
    </row>
    <row r="49" spans="2:37" s="99" customFormat="1" ht="4" customHeight="1">
      <c r="B49" s="240"/>
      <c r="C49" s="240"/>
      <c r="D49" s="240"/>
      <c r="E49" s="240"/>
      <c r="F49" s="240"/>
      <c r="G49" s="240"/>
      <c r="H49" s="240"/>
      <c r="I49" s="240"/>
      <c r="J49" s="240"/>
      <c r="U49" s="364"/>
      <c r="V49" s="364"/>
      <c r="W49" s="364"/>
      <c r="X49" s="365"/>
      <c r="Y49" s="365"/>
      <c r="Z49" s="365"/>
      <c r="AA49" s="364"/>
      <c r="AB49" s="364"/>
      <c r="AC49" s="365"/>
      <c r="AD49" s="365"/>
      <c r="AE49" s="365"/>
      <c r="AF49" s="364"/>
      <c r="AG49" s="364"/>
      <c r="AH49" s="364"/>
      <c r="AI49" s="364"/>
      <c r="AJ49" s="364"/>
      <c r="AK49" s="364"/>
    </row>
    <row r="50" spans="2:37" ht="24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74" t="s">
        <v>304</v>
      </c>
      <c r="V50" s="375"/>
      <c r="W50" s="376" t="s">
        <v>210</v>
      </c>
      <c r="X50" s="898" t="s">
        <v>3</v>
      </c>
      <c r="Y50" s="898" t="s">
        <v>4</v>
      </c>
      <c r="Z50" s="898" t="s">
        <v>5</v>
      </c>
      <c r="AA50" s="363"/>
      <c r="AB50" s="376" t="s">
        <v>210</v>
      </c>
      <c r="AC50" s="898" t="str">
        <f>+X50</f>
        <v>Phase I</v>
      </c>
      <c r="AD50" s="898" t="str">
        <f>+Y50</f>
        <v>Phase II</v>
      </c>
      <c r="AE50" s="898" t="str">
        <f>+Z50</f>
        <v>Phase III</v>
      </c>
      <c r="AF50" s="363"/>
      <c r="AG50" s="377" t="s">
        <v>305</v>
      </c>
      <c r="AH50" s="377" t="s">
        <v>210</v>
      </c>
      <c r="AI50" s="898" t="str">
        <f>+X50</f>
        <v>Phase I</v>
      </c>
      <c r="AJ50" s="898" t="str">
        <f>+Y50</f>
        <v>Phase II</v>
      </c>
      <c r="AK50" s="898" t="str">
        <f>+Z50</f>
        <v>Phase III</v>
      </c>
    </row>
    <row r="51" spans="2:37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66" t="s">
        <v>306</v>
      </c>
      <c r="V51" s="366"/>
      <c r="W51" s="367">
        <f ca="1">+SUM(X51:Z51)</f>
        <v>366.70311015543246</v>
      </c>
      <c r="X51" s="368">
        <f>+H17/1000000</f>
        <v>61.171525000000003</v>
      </c>
      <c r="Y51" s="368">
        <f ca="1">+I17/1000000</f>
        <v>101.36629751979429</v>
      </c>
      <c r="Z51" s="368">
        <f ca="1">+J17/1000000</f>
        <v>204.16528763563812</v>
      </c>
      <c r="AA51" s="369"/>
      <c r="AB51" s="367">
        <f t="shared" ref="AB51" ca="1" si="15">+SUM(AC51:AE51)</f>
        <v>778.82216798284264</v>
      </c>
      <c r="AC51" s="368">
        <f t="shared" ref="AC51:AE54" si="16">+R17/1000000</f>
        <v>224.77824462044177</v>
      </c>
      <c r="AD51" s="368">
        <f t="shared" ca="1" si="16"/>
        <v>319.81128474654378</v>
      </c>
      <c r="AE51" s="368">
        <f t="shared" si="16"/>
        <v>234.23263861585713</v>
      </c>
      <c r="AF51" s="363"/>
      <c r="AG51" s="366" t="s">
        <v>307</v>
      </c>
      <c r="AH51" s="367">
        <f t="shared" ref="AH51:AK57" si="17">+G29/1000000</f>
        <v>166.707133</v>
      </c>
      <c r="AI51" s="368">
        <f t="shared" si="17"/>
        <v>79.998202000000006</v>
      </c>
      <c r="AJ51" s="368">
        <f t="shared" si="17"/>
        <v>86.708931000000007</v>
      </c>
      <c r="AK51" s="368">
        <f t="shared" si="17"/>
        <v>0</v>
      </c>
    </row>
    <row r="52" spans="2:37" s="21" customFormat="1" ht="24" customHeight="1">
      <c r="U52" s="370" t="s">
        <v>308</v>
      </c>
      <c r="V52" s="370"/>
      <c r="W52" s="371">
        <f t="shared" ref="W52:W53" si="18">+SUM(X52:Z52)</f>
        <v>0</v>
      </c>
      <c r="X52" s="372">
        <v>0</v>
      </c>
      <c r="Y52" s="372">
        <v>0</v>
      </c>
      <c r="Z52" s="372">
        <v>0</v>
      </c>
      <c r="AA52" s="369"/>
      <c r="AB52" s="371" t="e">
        <f t="shared" ref="AB52:AB58" si="19">+SUM(AC52:AE52)</f>
        <v>#VALUE!</v>
      </c>
      <c r="AC52" s="373">
        <f t="shared" si="16"/>
        <v>10.8</v>
      </c>
      <c r="AD52" s="373" t="e">
        <f t="shared" si="16"/>
        <v>#VALUE!</v>
      </c>
      <c r="AE52" s="373" t="e">
        <f t="shared" si="16"/>
        <v>#VALUE!</v>
      </c>
      <c r="AF52" s="363"/>
      <c r="AG52" s="370" t="s">
        <v>309</v>
      </c>
      <c r="AH52" s="371">
        <f t="shared" si="17"/>
        <v>77.375649999999993</v>
      </c>
      <c r="AI52" s="373">
        <f t="shared" si="17"/>
        <v>67.748080000000002</v>
      </c>
      <c r="AJ52" s="373">
        <f t="shared" si="17"/>
        <v>7.301355</v>
      </c>
      <c r="AK52" s="373">
        <f t="shared" si="17"/>
        <v>2.3262149999999999</v>
      </c>
    </row>
    <row r="53" spans="2:37" s="21" customFormat="1" ht="24" customHeight="1">
      <c r="U53" s="366" t="s">
        <v>310</v>
      </c>
      <c r="V53" s="366"/>
      <c r="W53" s="367">
        <f t="shared" si="18"/>
        <v>0</v>
      </c>
      <c r="X53" s="368">
        <v>0</v>
      </c>
      <c r="Y53" s="368">
        <v>0</v>
      </c>
      <c r="Z53" s="368">
        <v>0</v>
      </c>
      <c r="AA53" s="369"/>
      <c r="AB53" s="367">
        <f t="shared" ca="1" si="19"/>
        <v>4.0581070001068751</v>
      </c>
      <c r="AC53" s="368">
        <f t="shared" si="16"/>
        <v>4.0581069999999997</v>
      </c>
      <c r="AD53" s="368">
        <f t="shared" ca="1" si="16"/>
        <v>1.0687499999999999E-10</v>
      </c>
      <c r="AE53" s="368">
        <f t="shared" si="16"/>
        <v>0</v>
      </c>
      <c r="AF53" s="363"/>
      <c r="AG53" s="366" t="s">
        <v>276</v>
      </c>
      <c r="AH53" s="367">
        <f t="shared" ca="1" si="17"/>
        <v>780.75175375164611</v>
      </c>
      <c r="AI53" s="368">
        <f t="shared" ca="1" si="17"/>
        <v>249.06228647250001</v>
      </c>
      <c r="AJ53" s="368">
        <f t="shared" ca="1" si="17"/>
        <v>204.66881339310001</v>
      </c>
      <c r="AK53" s="368">
        <f t="shared" ca="1" si="17"/>
        <v>327.02065388604615</v>
      </c>
    </row>
    <row r="54" spans="2:37" ht="24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70" t="s">
        <v>311</v>
      </c>
      <c r="V54" s="370"/>
      <c r="W54" s="371">
        <f t="shared" ref="W54:W58" si="20">+SUM(X54:Z54)</f>
        <v>77.375650000000007</v>
      </c>
      <c r="X54" s="372">
        <f>+H18/1000000</f>
        <v>67.748080000000002</v>
      </c>
      <c r="Y54" s="372">
        <f>+I18/1000000</f>
        <v>7.301355</v>
      </c>
      <c r="Z54" s="372">
        <f>+J18/1000000</f>
        <v>2.3262149999999999</v>
      </c>
      <c r="AA54" s="363"/>
      <c r="AB54" s="371">
        <f t="shared" si="19"/>
        <v>77.375650000000007</v>
      </c>
      <c r="AC54" s="373">
        <f t="shared" si="16"/>
        <v>67.748080000000002</v>
      </c>
      <c r="AD54" s="373">
        <f t="shared" si="16"/>
        <v>7.301355</v>
      </c>
      <c r="AE54" s="373">
        <f t="shared" si="16"/>
        <v>2.3262149999999999</v>
      </c>
      <c r="AF54" s="363"/>
      <c r="AG54" s="370" t="s">
        <v>262</v>
      </c>
      <c r="AH54" s="371">
        <f t="shared" ca="1" si="17"/>
        <v>65.194667454817193</v>
      </c>
      <c r="AI54" s="373">
        <f t="shared" ca="1" si="17"/>
        <v>29.750887562973393</v>
      </c>
      <c r="AJ54" s="373">
        <f t="shared" ca="1" si="17"/>
        <v>14.19376763228847</v>
      </c>
      <c r="AK54" s="373">
        <f t="shared" ca="1" si="17"/>
        <v>21.250012259555334</v>
      </c>
    </row>
    <row r="55" spans="2:37" ht="24" customHeight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66" t="s">
        <v>312</v>
      </c>
      <c r="V55" s="366"/>
      <c r="W55" s="367">
        <f t="shared" si="20"/>
        <v>117.83451085754187</v>
      </c>
      <c r="X55" s="368">
        <f t="shared" ref="X55:Z58" si="21">+H20/1000000</f>
        <v>5.80391120990872</v>
      </c>
      <c r="Y55" s="368">
        <f t="shared" si="21"/>
        <v>44.981034314584278</v>
      </c>
      <c r="Z55" s="368">
        <f t="shared" si="21"/>
        <v>67.049565333048875</v>
      </c>
      <c r="AA55" s="369"/>
      <c r="AB55" s="367">
        <f t="shared" si="19"/>
        <v>117.83451085754187</v>
      </c>
      <c r="AC55" s="368">
        <f t="shared" ref="AC55:AE58" si="22">+R22/1000000</f>
        <v>5.80391120990872</v>
      </c>
      <c r="AD55" s="368">
        <f t="shared" si="22"/>
        <v>44.981034314584278</v>
      </c>
      <c r="AE55" s="368">
        <f t="shared" si="22"/>
        <v>67.049565333048875</v>
      </c>
      <c r="AF55" s="363"/>
      <c r="AG55" s="366" t="s">
        <v>153</v>
      </c>
      <c r="AH55" s="367">
        <f t="shared" ca="1" si="17"/>
        <v>21.088807477559889</v>
      </c>
      <c r="AI55" s="368">
        <f t="shared" si="17"/>
        <v>10.602597694999998</v>
      </c>
      <c r="AJ55" s="368">
        <f t="shared" ca="1" si="17"/>
        <v>10.346636882559894</v>
      </c>
      <c r="AK55" s="368">
        <f t="shared" ca="1" si="17"/>
        <v>0.1395729</v>
      </c>
    </row>
    <row r="56" spans="2:37" ht="24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70" t="s">
        <v>313</v>
      </c>
      <c r="V56" s="370"/>
      <c r="W56" s="371">
        <f t="shared" si="20"/>
        <v>11.0760000000624</v>
      </c>
      <c r="X56" s="372">
        <f t="shared" si="21"/>
        <v>5.5380000000000003</v>
      </c>
      <c r="Y56" s="372">
        <f t="shared" si="21"/>
        <v>6.2400000000000012E-11</v>
      </c>
      <c r="Z56" s="372">
        <f t="shared" si="21"/>
        <v>5.5380000000000003</v>
      </c>
      <c r="AA56" s="363"/>
      <c r="AB56" s="371">
        <f t="shared" si="19"/>
        <v>11.0760000000624</v>
      </c>
      <c r="AC56" s="373">
        <f t="shared" si="22"/>
        <v>5.5380000000000003</v>
      </c>
      <c r="AD56" s="373">
        <f t="shared" si="22"/>
        <v>6.2400000000000012E-11</v>
      </c>
      <c r="AE56" s="373">
        <f t="shared" si="22"/>
        <v>5.5380000000000003</v>
      </c>
      <c r="AF56" s="363"/>
      <c r="AG56" s="370" t="s">
        <v>264</v>
      </c>
      <c r="AH56" s="371">
        <f t="shared" ca="1" si="17"/>
        <v>2</v>
      </c>
      <c r="AI56" s="373">
        <f t="shared" ca="1" si="17"/>
        <v>0.92157363690485627</v>
      </c>
      <c r="AJ56" s="373">
        <f t="shared" ca="1" si="17"/>
        <v>0.43619710222555297</v>
      </c>
      <c r="AK56" s="373">
        <f t="shared" ca="1" si="17"/>
        <v>0.64222926086959076</v>
      </c>
    </row>
    <row r="57" spans="2:37" ht="24" customHeight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66" t="s">
        <v>314</v>
      </c>
      <c r="V57" s="366"/>
      <c r="W57" s="367">
        <f t="shared" si="20"/>
        <v>0</v>
      </c>
      <c r="X57" s="368">
        <f t="shared" si="21"/>
        <v>0</v>
      </c>
      <c r="Y57" s="368">
        <f t="shared" si="21"/>
        <v>0</v>
      </c>
      <c r="Z57" s="368">
        <f t="shared" si="21"/>
        <v>0</v>
      </c>
      <c r="AA57" s="369"/>
      <c r="AB57" s="367">
        <f t="shared" si="19"/>
        <v>0</v>
      </c>
      <c r="AC57" s="368">
        <f t="shared" si="22"/>
        <v>0</v>
      </c>
      <c r="AD57" s="368">
        <f t="shared" si="22"/>
        <v>0</v>
      </c>
      <c r="AE57" s="368">
        <f t="shared" si="22"/>
        <v>0</v>
      </c>
      <c r="AF57" s="363"/>
      <c r="AG57" s="366" t="s">
        <v>265</v>
      </c>
      <c r="AH57" s="367">
        <f t="shared" ca="1" si="17"/>
        <v>28.392326360520698</v>
      </c>
      <c r="AI57" s="368">
        <f t="shared" ca="1" si="17"/>
        <v>10.742562761021345</v>
      </c>
      <c r="AJ57" s="368">
        <f t="shared" ca="1" si="17"/>
        <v>7.1084031003052184</v>
      </c>
      <c r="AK57" s="368">
        <f t="shared" ca="1" si="17"/>
        <v>10.541360499194132</v>
      </c>
    </row>
    <row r="58" spans="2:37" ht="24" customHeigh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70" t="s">
        <v>315</v>
      </c>
      <c r="V58" s="370"/>
      <c r="W58" s="371">
        <f t="shared" ca="1" si="20"/>
        <v>528.52106703150707</v>
      </c>
      <c r="X58" s="372">
        <f t="shared" ca="1" si="21"/>
        <v>268.56467391849077</v>
      </c>
      <c r="Y58" s="372">
        <f t="shared" ca="1" si="21"/>
        <v>177.11541727603813</v>
      </c>
      <c r="Z58" s="372">
        <f t="shared" ca="1" si="21"/>
        <v>82.840975836978203</v>
      </c>
      <c r="AA58" s="363"/>
      <c r="AB58" s="371">
        <f t="shared" ca="1" si="19"/>
        <v>141.54390220399</v>
      </c>
      <c r="AC58" s="373">
        <f t="shared" ca="1" si="22"/>
        <v>130.09984729804899</v>
      </c>
      <c r="AD58" s="373">
        <f t="shared" ca="1" si="22"/>
        <v>-41.329569950818183</v>
      </c>
      <c r="AE58" s="373">
        <f t="shared" ca="1" si="22"/>
        <v>52.773624856759191</v>
      </c>
      <c r="AF58" s="363"/>
      <c r="AG58" s="363"/>
      <c r="AH58" s="363"/>
      <c r="AI58" s="363"/>
      <c r="AJ58" s="363"/>
      <c r="AK58" s="363"/>
    </row>
    <row r="59" spans="2:37" ht="24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78" t="s">
        <v>252</v>
      </c>
      <c r="V59" s="378"/>
      <c r="W59" s="379">
        <f ca="1">+SUM(W51:W58)</f>
        <v>1101.5103380445439</v>
      </c>
      <c r="X59" s="380">
        <f ca="1">+SUM(X51:X58)</f>
        <v>408.8261901283995</v>
      </c>
      <c r="Y59" s="380">
        <f ca="1">+SUM(Y51:Y58)</f>
        <v>330.76410411047914</v>
      </c>
      <c r="Z59" s="380">
        <f ca="1">+SUM(Z51:Z58)</f>
        <v>361.92004380566522</v>
      </c>
      <c r="AA59" s="363"/>
      <c r="AB59" s="379" t="e">
        <f ca="1">+SUM(AB51:AB58)</f>
        <v>#VALUE!</v>
      </c>
      <c r="AC59" s="380">
        <f ca="1">+SUM(AC51:AC58)</f>
        <v>448.8261901283995</v>
      </c>
      <c r="AD59" s="380" t="e">
        <f ca="1">+SUM(AD51:AD58)</f>
        <v>#VALUE!</v>
      </c>
      <c r="AE59" s="380" t="e">
        <f>+SUM(AE51:AE58)</f>
        <v>#VALUE!</v>
      </c>
      <c r="AF59" s="363"/>
      <c r="AG59" s="378" t="s">
        <v>266</v>
      </c>
      <c r="AH59" s="379">
        <f ca="1">+SUM(AH51:AH57)</f>
        <v>1141.5103380445437</v>
      </c>
      <c r="AI59" s="380">
        <f ca="1">+SUM(AI51:AI57)</f>
        <v>448.82619012839962</v>
      </c>
      <c r="AJ59" s="380">
        <f ca="1">+SUM(AJ51:AJ57)</f>
        <v>330.7641041104792</v>
      </c>
      <c r="AK59" s="380">
        <f ca="1">+SUM(AK51:AK57)</f>
        <v>361.92004380566522</v>
      </c>
    </row>
    <row r="60" spans="2:37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2:37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2:37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2:37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2:37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27:34">
      <c r="AA65" s="21"/>
      <c r="AB65" s="21"/>
      <c r="AC65" s="21"/>
      <c r="AD65" s="21"/>
      <c r="AE65" s="21"/>
      <c r="AF65" s="21"/>
      <c r="AG65" s="21"/>
      <c r="AH65" s="21"/>
    </row>
    <row r="66" spans="27:34">
      <c r="AA66" s="21"/>
      <c r="AB66" s="21"/>
      <c r="AC66" s="21"/>
      <c r="AD66" s="21"/>
      <c r="AE66" s="21"/>
      <c r="AF66" s="21"/>
      <c r="AG66" s="21"/>
      <c r="AH66" s="21"/>
    </row>
    <row r="67" spans="27:34">
      <c r="AA67" s="21"/>
      <c r="AB67" s="21"/>
      <c r="AC67" s="21"/>
      <c r="AD67" s="21"/>
      <c r="AE67" s="21"/>
      <c r="AF67" s="21"/>
      <c r="AG67" s="21"/>
      <c r="AH67" s="21"/>
    </row>
    <row r="68" spans="27:34">
      <c r="AA68" s="21"/>
      <c r="AB68" s="21"/>
      <c r="AC68" s="21"/>
      <c r="AD68" s="21"/>
      <c r="AE68" s="21"/>
      <c r="AF68" s="21"/>
      <c r="AG68" s="21"/>
      <c r="AH68" s="21"/>
    </row>
    <row r="69" spans="27:34">
      <c r="AA69" s="21"/>
      <c r="AB69" s="21"/>
      <c r="AC69" s="21"/>
      <c r="AD69" s="21"/>
      <c r="AE69" s="21"/>
      <c r="AF69" s="21"/>
      <c r="AG69" s="21"/>
      <c r="AH69" s="21"/>
    </row>
    <row r="70" spans="27:34">
      <c r="AA70" s="21"/>
      <c r="AB70" s="21"/>
      <c r="AC70" s="21"/>
      <c r="AD70" s="21"/>
      <c r="AE70" s="21"/>
      <c r="AF70" s="21"/>
      <c r="AG70" s="21"/>
      <c r="AH70" s="21"/>
    </row>
    <row r="71" spans="27:34">
      <c r="AA71" s="21"/>
      <c r="AB71" s="21"/>
      <c r="AC71" s="21"/>
      <c r="AD71" s="21"/>
      <c r="AE71" s="21"/>
      <c r="AF71" s="21"/>
      <c r="AG71" s="21"/>
      <c r="AH71" s="21"/>
    </row>
    <row r="72" spans="27:34">
      <c r="AA72" s="21"/>
      <c r="AB72" s="21"/>
      <c r="AC72" s="21"/>
      <c r="AD72" s="21"/>
      <c r="AE72" s="21"/>
      <c r="AF72" s="21"/>
      <c r="AG72" s="21"/>
      <c r="AH72" s="21"/>
    </row>
    <row r="73" spans="27:34">
      <c r="AA73" s="21"/>
      <c r="AB73" s="21"/>
      <c r="AC73" s="21"/>
      <c r="AD73" s="21"/>
      <c r="AE73" s="21"/>
      <c r="AF73" s="21"/>
      <c r="AG73" s="21"/>
      <c r="AH73" s="21"/>
    </row>
    <row r="74" spans="27:34">
      <c r="AA74" s="21"/>
      <c r="AB74" s="21"/>
      <c r="AC74" s="21"/>
      <c r="AD74" s="21"/>
      <c r="AE74" s="21"/>
      <c r="AF74" s="21"/>
      <c r="AG74" s="21"/>
      <c r="AH74" s="21"/>
    </row>
    <row r="75" spans="27:34">
      <c r="AA75" s="21"/>
      <c r="AB75" s="21"/>
      <c r="AC75" s="21"/>
      <c r="AD75" s="21"/>
      <c r="AE75" s="21"/>
      <c r="AF75" s="21"/>
      <c r="AG75" s="21"/>
      <c r="AH75" s="21"/>
    </row>
    <row r="76" spans="27:34">
      <c r="AA76" s="21"/>
      <c r="AB76" s="21"/>
      <c r="AC76" s="21"/>
      <c r="AD76" s="21"/>
      <c r="AE76" s="21"/>
      <c r="AF76" s="21"/>
      <c r="AG76" s="21"/>
      <c r="AH76" s="21"/>
    </row>
    <row r="77" spans="27:34">
      <c r="AA77" s="21"/>
      <c r="AB77" s="21"/>
      <c r="AC77" s="21"/>
      <c r="AD77" s="21"/>
      <c r="AE77" s="21"/>
      <c r="AF77" s="21"/>
      <c r="AG77" s="21"/>
      <c r="AH77" s="21"/>
    </row>
    <row r="78" spans="27:34">
      <c r="AA78" s="21"/>
      <c r="AB78" s="21"/>
      <c r="AC78" s="21"/>
      <c r="AD78" s="21"/>
      <c r="AE78" s="21"/>
      <c r="AF78" s="21"/>
      <c r="AG78" s="21"/>
      <c r="AH78" s="21"/>
    </row>
    <row r="79" spans="27:34">
      <c r="AA79" s="21"/>
      <c r="AB79" s="21"/>
      <c r="AC79" s="21"/>
      <c r="AD79" s="21"/>
      <c r="AE79" s="21"/>
      <c r="AF79" s="21"/>
      <c r="AG79" s="21"/>
      <c r="AH79" s="21"/>
    </row>
    <row r="80" spans="27:34">
      <c r="AA80" s="21"/>
      <c r="AB80" s="21"/>
      <c r="AC80" s="21"/>
      <c r="AD80" s="21"/>
      <c r="AE80" s="21"/>
      <c r="AF80" s="21"/>
      <c r="AG80" s="21"/>
      <c r="AH80" s="21"/>
    </row>
  </sheetData>
  <mergeCells count="2">
    <mergeCell ref="X48:Z48"/>
    <mergeCell ref="AC48:AE48"/>
  </mergeCells>
  <pageMargins left="0.7" right="0.7" top="0.75" bottom="0.75" header="0.3" footer="0.3"/>
  <pageSetup scale="1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C97"/>
  <sheetViews>
    <sheetView showGridLines="0" topLeftCell="A42" zoomScaleNormal="100" workbookViewId="0">
      <selection activeCell="J46" sqref="J46"/>
    </sheetView>
  </sheetViews>
  <sheetFormatPr defaultColWidth="16.453125" defaultRowHeight="15.5"/>
  <cols>
    <col min="1" max="2" width="12.453125" style="9" customWidth="1"/>
    <col min="3" max="3" width="23.453125" style="9" customWidth="1"/>
    <col min="4" max="5" width="12.453125" style="9" customWidth="1"/>
    <col min="6" max="6" width="14.453125" style="9" bestFit="1" customWidth="1"/>
    <col min="7" max="7" width="22.1796875" style="9" bestFit="1" customWidth="1"/>
    <col min="8" max="8" width="17.1796875" style="9" customWidth="1"/>
    <col min="9" max="10" width="16.81640625" style="9" bestFit="1" customWidth="1"/>
    <col min="11" max="11" width="13.453125" style="9" bestFit="1" customWidth="1"/>
    <col min="12" max="12" width="15.453125" style="21" bestFit="1" customWidth="1"/>
    <col min="13" max="21" width="24.453125" style="9" customWidth="1"/>
    <col min="22" max="23" width="12.453125" style="9" customWidth="1"/>
    <col min="24" max="24" width="17.1796875" style="9" customWidth="1"/>
    <col min="25" max="16384" width="16.453125" style="9"/>
  </cols>
  <sheetData>
    <row r="1" spans="1:55" s="21" customFormat="1"/>
    <row r="2" spans="1:55" s="21" customFormat="1">
      <c r="M2" s="947" t="s">
        <v>316</v>
      </c>
      <c r="N2" s="947"/>
      <c r="O2" s="947"/>
      <c r="P2" s="947"/>
      <c r="Q2" s="947"/>
      <c r="R2" s="947"/>
      <c r="S2" s="947"/>
      <c r="T2" s="947"/>
      <c r="U2" s="947"/>
      <c r="Y2" s="947" t="s">
        <v>317</v>
      </c>
      <c r="Z2" s="947"/>
      <c r="AA2" s="947"/>
      <c r="AB2" s="947"/>
      <c r="AC2" s="947"/>
      <c r="AD2" s="947"/>
      <c r="AE2" s="947"/>
      <c r="AF2" s="947"/>
      <c r="AG2" s="947"/>
      <c r="AJ2" s="947" t="s">
        <v>318</v>
      </c>
      <c r="AK2" s="947"/>
      <c r="AL2" s="947"/>
      <c r="AM2" s="947"/>
      <c r="AN2" s="947"/>
      <c r="AO2" s="947"/>
      <c r="AP2" s="947"/>
      <c r="AQ2" s="947"/>
      <c r="AR2" s="947"/>
      <c r="AU2" s="947" t="s">
        <v>319</v>
      </c>
      <c r="AV2" s="947"/>
      <c r="AW2" s="947"/>
      <c r="AX2" s="947"/>
      <c r="AY2" s="947"/>
      <c r="AZ2" s="947"/>
      <c r="BA2" s="947"/>
      <c r="BB2" s="947"/>
      <c r="BC2" s="947"/>
    </row>
    <row r="3" spans="1:55" s="21" customFormat="1" ht="25">
      <c r="A3" s="98"/>
      <c r="M3" s="71">
        <v>0</v>
      </c>
      <c r="N3" s="71">
        <f>+M3+1</f>
        <v>1</v>
      </c>
      <c r="O3" s="71">
        <f t="shared" ref="O3:U3" si="0">+N3+1</f>
        <v>2</v>
      </c>
      <c r="P3" s="71">
        <f t="shared" si="0"/>
        <v>3</v>
      </c>
      <c r="Q3" s="71">
        <f t="shared" si="0"/>
        <v>4</v>
      </c>
      <c r="R3" s="71">
        <f t="shared" si="0"/>
        <v>5</v>
      </c>
      <c r="S3" s="71">
        <f t="shared" si="0"/>
        <v>6</v>
      </c>
      <c r="T3" s="71">
        <f t="shared" si="0"/>
        <v>7</v>
      </c>
      <c r="U3" s="71">
        <f t="shared" si="0"/>
        <v>8</v>
      </c>
      <c r="Y3" s="71">
        <v>0</v>
      </c>
      <c r="Z3" s="71">
        <f>+Y3+1</f>
        <v>1</v>
      </c>
      <c r="AA3" s="71">
        <f t="shared" ref="AA3" si="1">+Z3+1</f>
        <v>2</v>
      </c>
      <c r="AB3" s="71">
        <f t="shared" ref="AB3" si="2">+AA3+1</f>
        <v>3</v>
      </c>
      <c r="AC3" s="71">
        <f t="shared" ref="AC3" si="3">+AB3+1</f>
        <v>4</v>
      </c>
      <c r="AD3" s="71">
        <f t="shared" ref="AD3" si="4">+AC3+1</f>
        <v>5</v>
      </c>
      <c r="AE3" s="71">
        <f t="shared" ref="AE3" si="5">+AD3+1</f>
        <v>6</v>
      </c>
      <c r="AF3" s="71">
        <f t="shared" ref="AF3" si="6">+AE3+1</f>
        <v>7</v>
      </c>
      <c r="AG3" s="71">
        <f t="shared" ref="AG3" si="7">+AF3+1</f>
        <v>8</v>
      </c>
      <c r="AJ3" s="71">
        <v>0</v>
      </c>
      <c r="AK3" s="71">
        <f>+AJ3+1</f>
        <v>1</v>
      </c>
      <c r="AL3" s="71">
        <f t="shared" ref="AL3" si="8">+AK3+1</f>
        <v>2</v>
      </c>
      <c r="AM3" s="71">
        <f t="shared" ref="AM3" si="9">+AL3+1</f>
        <v>3</v>
      </c>
      <c r="AN3" s="71">
        <f t="shared" ref="AN3" si="10">+AM3+1</f>
        <v>4</v>
      </c>
      <c r="AO3" s="71">
        <f t="shared" ref="AO3" si="11">+AN3+1</f>
        <v>5</v>
      </c>
      <c r="AP3" s="71">
        <f t="shared" ref="AP3" si="12">+AO3+1</f>
        <v>6</v>
      </c>
      <c r="AQ3" s="71">
        <f t="shared" ref="AQ3" si="13">+AP3+1</f>
        <v>7</v>
      </c>
      <c r="AR3" s="71">
        <f t="shared" ref="AR3" si="14">+AQ3+1</f>
        <v>8</v>
      </c>
      <c r="AU3" s="71">
        <v>0</v>
      </c>
      <c r="AV3" s="71">
        <f>+AU3+1</f>
        <v>1</v>
      </c>
      <c r="AW3" s="71">
        <f t="shared" ref="AW3" si="15">+AV3+1</f>
        <v>2</v>
      </c>
      <c r="AX3" s="71">
        <f t="shared" ref="AX3" si="16">+AW3+1</f>
        <v>3</v>
      </c>
      <c r="AY3" s="71">
        <f t="shared" ref="AY3" si="17">+AX3+1</f>
        <v>4</v>
      </c>
      <c r="AZ3" s="71">
        <f t="shared" ref="AZ3" si="18">+AY3+1</f>
        <v>5</v>
      </c>
      <c r="BA3" s="71">
        <f t="shared" ref="BA3" si="19">+AZ3+1</f>
        <v>6</v>
      </c>
      <c r="BB3" s="71">
        <f t="shared" ref="BB3" si="20">+BA3+1</f>
        <v>7</v>
      </c>
      <c r="BC3" s="71">
        <f t="shared" ref="BC3" si="21">+BB3+1</f>
        <v>8</v>
      </c>
    </row>
    <row r="4" spans="1:55" s="21" customFormat="1" ht="32.25" customHeight="1">
      <c r="B4" s="517" t="s">
        <v>320</v>
      </c>
      <c r="C4" s="518"/>
      <c r="D4" s="441"/>
      <c r="E4" s="441"/>
      <c r="F4" s="518"/>
      <c r="G4" s="517" t="s">
        <v>210</v>
      </c>
      <c r="H4" s="519" t="str">
        <f>+Assumptions!F$21</f>
        <v>I</v>
      </c>
      <c r="I4" s="519" t="str">
        <f>+Assumptions!G$21</f>
        <v>II</v>
      </c>
      <c r="J4" s="519" t="str">
        <f>+Assumptions!H$21</f>
        <v>III</v>
      </c>
      <c r="L4" s="539" t="s">
        <v>15</v>
      </c>
      <c r="M4" s="539" t="str">
        <f t="shared" ref="M4:U4" ca="1" si="22">+OFFSET($B$12,M3,0)</f>
        <v>Affordable Residential</v>
      </c>
      <c r="N4" s="539" t="str">
        <f t="shared" ca="1" si="22"/>
        <v>Market Rate Residential</v>
      </c>
      <c r="O4" s="539" t="str">
        <f t="shared" ca="1" si="22"/>
        <v>Retail</v>
      </c>
      <c r="P4" s="539" t="str">
        <f t="shared" ca="1" si="22"/>
        <v>Hotel</v>
      </c>
      <c r="Q4" s="539" t="str">
        <f t="shared" ca="1" si="22"/>
        <v>Museum</v>
      </c>
      <c r="R4" s="539" t="str">
        <f t="shared" ca="1" si="22"/>
        <v>Office</v>
      </c>
      <c r="S4" s="539" t="str">
        <f t="shared" ca="1" si="22"/>
        <v>Light Industrial/Flex</v>
      </c>
      <c r="T4" s="539" t="str">
        <f t="shared" ca="1" si="22"/>
        <v>Structural Parking</v>
      </c>
      <c r="U4" s="539" t="str">
        <f t="shared" ca="1" si="22"/>
        <v>Surface Parking</v>
      </c>
      <c r="X4" s="539" t="s">
        <v>15</v>
      </c>
      <c r="Y4" s="539" t="str">
        <f t="shared" ref="Y4:AG4" ca="1" si="23">+OFFSET($B$12,Y3,0)</f>
        <v>Affordable Residential</v>
      </c>
      <c r="Z4" s="539" t="str">
        <f t="shared" ca="1" si="23"/>
        <v>Market Rate Residential</v>
      </c>
      <c r="AA4" s="539" t="str">
        <f t="shared" ca="1" si="23"/>
        <v>Retail</v>
      </c>
      <c r="AB4" s="539" t="str">
        <f t="shared" ca="1" si="23"/>
        <v>Hotel</v>
      </c>
      <c r="AC4" s="539" t="str">
        <f t="shared" ca="1" si="23"/>
        <v>Museum</v>
      </c>
      <c r="AD4" s="539" t="str">
        <f t="shared" ca="1" si="23"/>
        <v>Office</v>
      </c>
      <c r="AE4" s="539" t="str">
        <f t="shared" ca="1" si="23"/>
        <v>Light Industrial/Flex</v>
      </c>
      <c r="AF4" s="539" t="str">
        <f t="shared" ca="1" si="23"/>
        <v>Structural Parking</v>
      </c>
      <c r="AG4" s="539" t="str">
        <f t="shared" ca="1" si="23"/>
        <v>Surface Parking</v>
      </c>
      <c r="AI4" s="539" t="s">
        <v>15</v>
      </c>
      <c r="AJ4" s="539" t="str">
        <f t="shared" ref="AJ4:AR4" ca="1" si="24">+OFFSET($B$12,AJ3,0)</f>
        <v>Affordable Residential</v>
      </c>
      <c r="AK4" s="539" t="str">
        <f t="shared" ca="1" si="24"/>
        <v>Market Rate Residential</v>
      </c>
      <c r="AL4" s="539" t="str">
        <f t="shared" ca="1" si="24"/>
        <v>Retail</v>
      </c>
      <c r="AM4" s="539" t="str">
        <f t="shared" ca="1" si="24"/>
        <v>Hotel</v>
      </c>
      <c r="AN4" s="539" t="str">
        <f t="shared" ca="1" si="24"/>
        <v>Museum</v>
      </c>
      <c r="AO4" s="539" t="str">
        <f t="shared" ca="1" si="24"/>
        <v>Office</v>
      </c>
      <c r="AP4" s="539" t="str">
        <f t="shared" ca="1" si="24"/>
        <v>Light Industrial/Flex</v>
      </c>
      <c r="AQ4" s="539" t="str">
        <f t="shared" ca="1" si="24"/>
        <v>Structural Parking</v>
      </c>
      <c r="AR4" s="539" t="str">
        <f t="shared" ca="1" si="24"/>
        <v>Surface Parking</v>
      </c>
      <c r="AT4" s="539" t="s">
        <v>15</v>
      </c>
      <c r="AU4" s="539" t="str">
        <f t="shared" ref="AU4:BC4" ca="1" si="25">+OFFSET($B$12,AU3,0)</f>
        <v>Affordable Residential</v>
      </c>
      <c r="AV4" s="539" t="str">
        <f t="shared" ca="1" si="25"/>
        <v>Market Rate Residential</v>
      </c>
      <c r="AW4" s="539" t="str">
        <f t="shared" ca="1" si="25"/>
        <v>Retail</v>
      </c>
      <c r="AX4" s="539" t="str">
        <f t="shared" ca="1" si="25"/>
        <v>Hotel</v>
      </c>
      <c r="AY4" s="539" t="str">
        <f t="shared" ca="1" si="25"/>
        <v>Museum</v>
      </c>
      <c r="AZ4" s="539" t="str">
        <f t="shared" ca="1" si="25"/>
        <v>Office</v>
      </c>
      <c r="BA4" s="539" t="str">
        <f t="shared" ca="1" si="25"/>
        <v>Light Industrial/Flex</v>
      </c>
      <c r="BB4" s="539" t="str">
        <f t="shared" ca="1" si="25"/>
        <v>Structural Parking</v>
      </c>
      <c r="BC4" s="539" t="str">
        <f t="shared" ca="1" si="25"/>
        <v>Surface Parking</v>
      </c>
    </row>
    <row r="5" spans="1:55" s="21" customFormat="1">
      <c r="L5" s="61" t="str">
        <f>+H4</f>
        <v>I</v>
      </c>
      <c r="M5" s="49">
        <f t="shared" ref="M5:U7" ca="1" si="26">+INDEX($H$12:$J$20,MATCH(M$4,$B$12:$B$20,0),MATCH($L5,$H$4:$J$4,0))/INDEX($H$10:$J$10,1,MATCH($L5,$H$4:$J$4,0))</f>
        <v>9.9385476616756466E-2</v>
      </c>
      <c r="N5" s="49">
        <f t="shared" ca="1" si="26"/>
        <v>0.14907800249310232</v>
      </c>
      <c r="O5" s="49">
        <f t="shared" ca="1" si="26"/>
        <v>6.3308144559148294E-2</v>
      </c>
      <c r="P5" s="49">
        <f t="shared" ca="1" si="26"/>
        <v>2.9292252943670674E-2</v>
      </c>
      <c r="Q5" s="49">
        <f t="shared" ca="1" si="26"/>
        <v>4.5841982857584715E-2</v>
      </c>
      <c r="R5" s="49">
        <f t="shared" ca="1" si="26"/>
        <v>0.13277002023202678</v>
      </c>
      <c r="S5" s="49">
        <f t="shared" ca="1" si="26"/>
        <v>1.6053063822230079E-2</v>
      </c>
      <c r="T5" s="49">
        <f t="shared" ca="1" si="26"/>
        <v>0.16108041232207754</v>
      </c>
      <c r="U5" s="49">
        <f t="shared" ca="1" si="26"/>
        <v>0.30319064415340313</v>
      </c>
      <c r="V5" s="77">
        <f ca="1">+SUM(M5:U5)</f>
        <v>1</v>
      </c>
      <c r="X5" s="61" t="s">
        <v>19</v>
      </c>
      <c r="Y5" s="49">
        <f ca="1">+$M5</f>
        <v>9.9385476616756466E-2</v>
      </c>
      <c r="Z5" s="49">
        <f ca="1">+$N5</f>
        <v>0.14907800249310232</v>
      </c>
      <c r="AA5" s="49">
        <f ca="1">+$O5</f>
        <v>6.3308144559148294E-2</v>
      </c>
      <c r="AB5" s="49">
        <f ca="1">+$P5</f>
        <v>2.9292252943670674E-2</v>
      </c>
      <c r="AC5" s="49">
        <f ca="1">+$Q5</f>
        <v>4.5841982857584715E-2</v>
      </c>
      <c r="AD5" s="49">
        <f ca="1">+$R5</f>
        <v>0.13277002023202678</v>
      </c>
      <c r="AE5" s="49">
        <f ca="1">+$S5</f>
        <v>1.6053063822230079E-2</v>
      </c>
      <c r="AF5" s="49">
        <f ca="1">+$T5</f>
        <v>0.16108041232207754</v>
      </c>
      <c r="AG5" s="49">
        <f ca="1">+$U5</f>
        <v>0.30319064415340313</v>
      </c>
      <c r="AI5" s="61" t="s">
        <v>19</v>
      </c>
      <c r="AJ5" s="49">
        <v>0</v>
      </c>
      <c r="AK5" s="49">
        <v>0</v>
      </c>
      <c r="AL5" s="49">
        <v>0</v>
      </c>
      <c r="AM5" s="49">
        <v>0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  <c r="AT5" s="61" t="s">
        <v>19</v>
      </c>
      <c r="AU5" s="49">
        <v>0</v>
      </c>
      <c r="AV5" s="49">
        <v>0</v>
      </c>
      <c r="AW5" s="49">
        <v>0</v>
      </c>
      <c r="AX5" s="49">
        <v>0</v>
      </c>
      <c r="AY5" s="49">
        <v>0</v>
      </c>
      <c r="AZ5" s="49">
        <v>0</v>
      </c>
      <c r="BA5" s="49">
        <v>0</v>
      </c>
      <c r="BB5" s="49">
        <v>0</v>
      </c>
      <c r="BC5" s="49">
        <v>0</v>
      </c>
    </row>
    <row r="6" spans="1:55" s="21" customFormat="1">
      <c r="L6" s="61" t="str">
        <f>+I4</f>
        <v>II</v>
      </c>
      <c r="M6" s="49">
        <f t="shared" ca="1" si="26"/>
        <v>0.20695573338599429</v>
      </c>
      <c r="N6" s="49">
        <f t="shared" ca="1" si="26"/>
        <v>0.31043270244918292</v>
      </c>
      <c r="O6" s="49">
        <f t="shared" ca="1" si="26"/>
        <v>0.10746693356192973</v>
      </c>
      <c r="P6" s="49">
        <f t="shared" ca="1" si="26"/>
        <v>0</v>
      </c>
      <c r="Q6" s="49">
        <f t="shared" ca="1" si="26"/>
        <v>0</v>
      </c>
      <c r="R6" s="49">
        <f t="shared" ca="1" si="26"/>
        <v>0.2805093151533376</v>
      </c>
      <c r="S6" s="49">
        <f t="shared" ca="1" si="26"/>
        <v>0</v>
      </c>
      <c r="T6" s="49">
        <f t="shared" ca="1" si="26"/>
        <v>9.4635315449555446E-2</v>
      </c>
      <c r="U6" s="49">
        <f t="shared" ca="1" si="26"/>
        <v>0</v>
      </c>
      <c r="V6" s="77">
        <f ca="1">+SUM(M6:U6)</f>
        <v>1</v>
      </c>
      <c r="X6" s="61" t="s">
        <v>20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0</v>
      </c>
      <c r="AI6" s="61" t="s">
        <v>20</v>
      </c>
      <c r="AJ6" s="49">
        <f ca="1">+$M6</f>
        <v>0.20695573338599429</v>
      </c>
      <c r="AK6" s="49">
        <f ca="1">+$N6</f>
        <v>0.31043270244918292</v>
      </c>
      <c r="AL6" s="49">
        <f ca="1">+$O6</f>
        <v>0.10746693356192973</v>
      </c>
      <c r="AM6" s="49">
        <f ca="1">+$P6</f>
        <v>0</v>
      </c>
      <c r="AN6" s="49">
        <f ca="1">+$Q6</f>
        <v>0</v>
      </c>
      <c r="AO6" s="49">
        <f ca="1">+$R6</f>
        <v>0.2805093151533376</v>
      </c>
      <c r="AP6" s="49">
        <f ca="1">+$S6</f>
        <v>0</v>
      </c>
      <c r="AQ6" s="49">
        <f ca="1">+$T6</f>
        <v>9.4635315449555446E-2</v>
      </c>
      <c r="AR6" s="49">
        <f ca="1">+$U6</f>
        <v>0</v>
      </c>
      <c r="AT6" s="61" t="s">
        <v>20</v>
      </c>
      <c r="AU6" s="49">
        <v>0</v>
      </c>
      <c r="AV6" s="49">
        <v>0</v>
      </c>
      <c r="AW6" s="49">
        <v>0</v>
      </c>
      <c r="AX6" s="49"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</row>
    <row r="7" spans="1:55" s="21" customFormat="1">
      <c r="L7" s="61" t="str">
        <f>+J4</f>
        <v>III</v>
      </c>
      <c r="M7" s="49">
        <f t="shared" ca="1" si="26"/>
        <v>0.33564944368236549</v>
      </c>
      <c r="N7" s="49">
        <f t="shared" ca="1" si="26"/>
        <v>0.50332144490169184</v>
      </c>
      <c r="O7" s="49">
        <f t="shared" ca="1" si="26"/>
        <v>4.0288980338363055E-2</v>
      </c>
      <c r="P7" s="49">
        <f t="shared" ca="1" si="26"/>
        <v>0</v>
      </c>
      <c r="Q7" s="49">
        <f t="shared" ca="1" si="26"/>
        <v>0</v>
      </c>
      <c r="R7" s="49">
        <f t="shared" ca="1" si="26"/>
        <v>0</v>
      </c>
      <c r="S7" s="49">
        <f t="shared" ca="1" si="26"/>
        <v>0</v>
      </c>
      <c r="T7" s="49">
        <f t="shared" ca="1" si="26"/>
        <v>0.12074013107757964</v>
      </c>
      <c r="U7" s="49">
        <f t="shared" ca="1" si="26"/>
        <v>0</v>
      </c>
      <c r="V7" s="77">
        <f ca="1">+SUM(M7:U7)</f>
        <v>1</v>
      </c>
      <c r="X7" s="61" t="s">
        <v>21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I7" s="61" t="s">
        <v>21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T7" s="61" t="s">
        <v>21</v>
      </c>
      <c r="AU7" s="49">
        <f ca="1">+$M7</f>
        <v>0.33564944368236549</v>
      </c>
      <c r="AV7" s="49">
        <f ca="1">+$N7</f>
        <v>0.50332144490169184</v>
      </c>
      <c r="AW7" s="49">
        <f ca="1">+$O7</f>
        <v>4.0288980338363055E-2</v>
      </c>
      <c r="AX7" s="49">
        <f ca="1">+$P7</f>
        <v>0</v>
      </c>
      <c r="AY7" s="49">
        <f ca="1">+$Q7</f>
        <v>0</v>
      </c>
      <c r="AZ7" s="49">
        <f ca="1">+$R7</f>
        <v>0</v>
      </c>
      <c r="BA7" s="49">
        <f ca="1">+$S7</f>
        <v>0</v>
      </c>
      <c r="BB7" s="49">
        <f ca="1">+$T7</f>
        <v>0.12074013107757964</v>
      </c>
      <c r="BC7" s="49">
        <f ca="1">+$U7</f>
        <v>0</v>
      </c>
    </row>
    <row r="8" spans="1:55" s="21" customFormat="1"/>
    <row r="9" spans="1:55" s="21" customFormat="1">
      <c r="B9" s="15"/>
      <c r="H9" s="101"/>
      <c r="I9" s="101"/>
      <c r="J9" s="101"/>
      <c r="M9" s="76"/>
      <c r="N9" s="76"/>
      <c r="O9" s="76"/>
      <c r="P9" s="76"/>
      <c r="Q9" s="76"/>
      <c r="R9" s="76"/>
      <c r="S9" s="76"/>
      <c r="T9" s="76"/>
      <c r="U9" s="76"/>
      <c r="Y9" s="76"/>
      <c r="Z9" s="76"/>
      <c r="AA9" s="76"/>
      <c r="AB9" s="76"/>
      <c r="AC9" s="76"/>
      <c r="AD9" s="76"/>
      <c r="AE9" s="76"/>
      <c r="AF9" s="76"/>
      <c r="AG9" s="76"/>
      <c r="AJ9" s="76"/>
      <c r="AK9" s="76"/>
      <c r="AL9" s="76"/>
      <c r="AM9" s="76"/>
      <c r="AN9" s="76"/>
      <c r="AO9" s="76"/>
      <c r="AP9" s="76"/>
      <c r="AQ9" s="76"/>
      <c r="AR9" s="76"/>
      <c r="AU9" s="76"/>
      <c r="AV9" s="76"/>
      <c r="AW9" s="76"/>
      <c r="AX9" s="76"/>
      <c r="AY9" s="76"/>
      <c r="AZ9" s="76"/>
      <c r="BA9" s="76"/>
      <c r="BB9" s="76"/>
      <c r="BC9" s="76"/>
    </row>
    <row r="10" spans="1:55">
      <c r="A10" s="21"/>
      <c r="B10" s="61" t="s">
        <v>321</v>
      </c>
      <c r="C10" s="21"/>
      <c r="D10" s="21"/>
      <c r="E10" s="21"/>
      <c r="F10" s="21"/>
      <c r="G10" s="11">
        <f t="shared" ref="G10:G21" ca="1" si="27">+SUM(H10:J10)</f>
        <v>5107989</v>
      </c>
      <c r="H10" s="22">
        <f ca="1">+SUM(H12:H20)</f>
        <v>2353694</v>
      </c>
      <c r="I10" s="22">
        <f t="shared" ref="I10:J10" ca="1" si="28">+SUM(I12:I20)</f>
        <v>1114045</v>
      </c>
      <c r="J10" s="22">
        <f t="shared" ca="1" si="28"/>
        <v>1640250</v>
      </c>
      <c r="K10" s="21"/>
      <c r="M10" s="76"/>
      <c r="N10" s="76"/>
      <c r="O10" s="76"/>
      <c r="P10" s="76"/>
      <c r="Q10" s="76"/>
      <c r="R10" s="76"/>
      <c r="S10" s="76"/>
      <c r="T10" s="76"/>
      <c r="U10" s="76"/>
      <c r="V10" s="21"/>
      <c r="W10" s="21"/>
      <c r="X10" s="21"/>
      <c r="Y10" s="76"/>
      <c r="Z10" s="76"/>
      <c r="AA10" s="76"/>
      <c r="AB10" s="76"/>
      <c r="AC10" s="76"/>
      <c r="AD10" s="76"/>
      <c r="AE10" s="76"/>
      <c r="AF10" s="76"/>
      <c r="AG10" s="76"/>
      <c r="AH10" s="21"/>
      <c r="AI10" s="21"/>
      <c r="AJ10" s="76"/>
      <c r="AK10" s="76"/>
      <c r="AL10" s="76"/>
      <c r="AM10" s="76"/>
      <c r="AN10" s="76"/>
      <c r="AO10" s="76"/>
      <c r="AP10" s="76"/>
      <c r="AQ10" s="76"/>
      <c r="AR10" s="76"/>
      <c r="AS10" s="21"/>
      <c r="AT10" s="21"/>
      <c r="AU10" s="76"/>
      <c r="AV10" s="76"/>
      <c r="AW10" s="76"/>
      <c r="AX10" s="76"/>
      <c r="AY10" s="76"/>
      <c r="AZ10" s="76"/>
      <c r="BA10" s="76"/>
      <c r="BB10" s="76"/>
      <c r="BC10" s="76"/>
    </row>
    <row r="11" spans="1:55" s="21" customFormat="1">
      <c r="B11" s="21" t="s">
        <v>322</v>
      </c>
      <c r="G11" s="11">
        <v>272936</v>
      </c>
      <c r="H11" s="22"/>
      <c r="I11" s="22"/>
      <c r="J11" s="22"/>
      <c r="M11" s="76"/>
      <c r="N11" s="76"/>
      <c r="O11" s="76"/>
      <c r="P11" s="76"/>
      <c r="Q11" s="76"/>
      <c r="R11" s="76"/>
      <c r="S11" s="76"/>
      <c r="T11" s="76"/>
      <c r="U11" s="76"/>
      <c r="Y11" s="76"/>
      <c r="Z11" s="76"/>
      <c r="AA11" s="76"/>
      <c r="AB11" s="76"/>
      <c r="AC11" s="76"/>
      <c r="AD11" s="76"/>
      <c r="AE11" s="76"/>
      <c r="AF11" s="76"/>
      <c r="AG11" s="76"/>
      <c r="AJ11" s="76"/>
      <c r="AK11" s="76"/>
      <c r="AL11" s="76"/>
      <c r="AM11" s="76"/>
      <c r="AN11" s="76"/>
      <c r="AO11" s="76"/>
      <c r="AP11" s="76"/>
      <c r="AQ11" s="76"/>
      <c r="AR11" s="76"/>
      <c r="AU11" s="76"/>
      <c r="AV11" s="76"/>
      <c r="AW11" s="76"/>
      <c r="AX11" s="76"/>
      <c r="AY11" s="76"/>
      <c r="AZ11" s="76"/>
      <c r="BA11" s="76"/>
      <c r="BB11" s="76"/>
      <c r="BC11" s="76"/>
    </row>
    <row r="12" spans="1:55">
      <c r="A12" s="21"/>
      <c r="B12" s="38" t="s">
        <v>25</v>
      </c>
      <c r="C12" s="21"/>
      <c r="D12" s="21"/>
      <c r="E12" s="21"/>
      <c r="F12" s="21"/>
      <c r="G12" s="11">
        <f t="shared" ca="1" si="27"/>
        <v>1015030</v>
      </c>
      <c r="H12" s="22">
        <f ca="1">+Assumptions!N34</f>
        <v>233923</v>
      </c>
      <c r="I12" s="22">
        <f ca="1">+Assumptions!O34</f>
        <v>230558</v>
      </c>
      <c r="J12" s="22">
        <f ca="1">+Assumptions!P34</f>
        <v>550549</v>
      </c>
      <c r="K12" s="21"/>
      <c r="M12" s="76">
        <f ca="1">+$G$12</f>
        <v>1015030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21"/>
      <c r="W12" s="21"/>
      <c r="X12" s="21"/>
      <c r="Y12" s="76">
        <f ca="1">+$H$12</f>
        <v>233923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21"/>
      <c r="AI12" s="21"/>
      <c r="AJ12" s="76">
        <f ca="1">+$I$12</f>
        <v>230558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21"/>
      <c r="AT12" s="21"/>
      <c r="AU12" s="76">
        <f ca="1">+$J$12</f>
        <v>550549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</row>
    <row r="13" spans="1:55">
      <c r="A13" s="21"/>
      <c r="B13" s="38" t="s">
        <v>27</v>
      </c>
      <c r="C13" s="21"/>
      <c r="D13" s="21"/>
      <c r="E13" s="21"/>
      <c r="F13" s="21"/>
      <c r="G13" s="11">
        <f t="shared" ca="1" si="27"/>
        <v>1522293</v>
      </c>
      <c r="H13" s="22">
        <f ca="1">+Assumptions!N35</f>
        <v>350884</v>
      </c>
      <c r="I13" s="22">
        <f ca="1">+Assumptions!O35</f>
        <v>345836</v>
      </c>
      <c r="J13" s="22">
        <f ca="1">+Assumptions!P35</f>
        <v>825573</v>
      </c>
      <c r="K13" s="21"/>
      <c r="M13" s="76">
        <v>0</v>
      </c>
      <c r="N13" s="76">
        <f ca="1">+$G$13</f>
        <v>1522293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21"/>
      <c r="W13" s="21"/>
      <c r="X13" s="21"/>
      <c r="Y13" s="76">
        <v>0</v>
      </c>
      <c r="Z13" s="76">
        <f ca="1">+$H$13</f>
        <v>350884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21"/>
      <c r="AI13" s="21"/>
      <c r="AJ13" s="76">
        <v>0</v>
      </c>
      <c r="AK13" s="76">
        <f ca="1">+$I$13</f>
        <v>345836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21"/>
      <c r="AT13" s="21"/>
      <c r="AU13" s="76">
        <v>0</v>
      </c>
      <c r="AV13" s="76">
        <f ca="1">+$J$13</f>
        <v>825573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</row>
    <row r="14" spans="1:55">
      <c r="A14" s="21"/>
      <c r="B14" s="38" t="s">
        <v>29</v>
      </c>
      <c r="C14" s="21"/>
      <c r="D14" s="21"/>
      <c r="E14" s="21"/>
      <c r="F14" s="21"/>
      <c r="G14" s="11">
        <f t="shared" ca="1" si="27"/>
        <v>334815</v>
      </c>
      <c r="H14" s="22">
        <f ca="1">+Assumptions!N36</f>
        <v>149008</v>
      </c>
      <c r="I14" s="22">
        <f ca="1">+Assumptions!O36</f>
        <v>119723</v>
      </c>
      <c r="J14" s="22">
        <f ca="1">+Assumptions!P36</f>
        <v>66084</v>
      </c>
      <c r="K14" s="21"/>
      <c r="M14" s="76">
        <v>0</v>
      </c>
      <c r="N14" s="76">
        <v>0</v>
      </c>
      <c r="O14" s="76">
        <f ca="1">+$G$14</f>
        <v>334815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21"/>
      <c r="W14" s="21"/>
      <c r="X14" s="21"/>
      <c r="Y14" s="76">
        <v>0</v>
      </c>
      <c r="Z14" s="76">
        <v>0</v>
      </c>
      <c r="AA14" s="76">
        <f ca="1">+$H$14</f>
        <v>149008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21"/>
      <c r="AI14" s="21"/>
      <c r="AJ14" s="76">
        <v>0</v>
      </c>
      <c r="AK14" s="76">
        <v>0</v>
      </c>
      <c r="AL14" s="76">
        <f ca="1">+$I$14</f>
        <v>119723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21"/>
      <c r="AT14" s="21"/>
      <c r="AU14" s="76">
        <v>0</v>
      </c>
      <c r="AV14" s="76">
        <v>0</v>
      </c>
      <c r="AW14" s="76">
        <f ca="1">+$J$14</f>
        <v>66084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</row>
    <row r="15" spans="1:55">
      <c r="A15" s="21"/>
      <c r="B15" s="38" t="s">
        <v>31</v>
      </c>
      <c r="C15" s="21"/>
      <c r="D15" s="21"/>
      <c r="E15" s="21"/>
      <c r="F15" s="21"/>
      <c r="G15" s="11">
        <f t="shared" ca="1" si="27"/>
        <v>68945</v>
      </c>
      <c r="H15" s="22">
        <f ca="1">+Assumptions!N37</f>
        <v>68945</v>
      </c>
      <c r="I15" s="22">
        <f ca="1">+Assumptions!O37</f>
        <v>0</v>
      </c>
      <c r="J15" s="22">
        <f ca="1">+Assumptions!P37</f>
        <v>0</v>
      </c>
      <c r="K15" s="21"/>
      <c r="M15" s="76">
        <v>0</v>
      </c>
      <c r="N15" s="76">
        <v>0</v>
      </c>
      <c r="O15" s="76">
        <v>0</v>
      </c>
      <c r="P15" s="76">
        <f ca="1">+$G$15</f>
        <v>68945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21"/>
      <c r="W15" s="21"/>
      <c r="X15" s="21"/>
      <c r="Y15" s="76">
        <v>0</v>
      </c>
      <c r="Z15" s="76">
        <v>0</v>
      </c>
      <c r="AA15" s="76">
        <v>0</v>
      </c>
      <c r="AB15" s="76">
        <f ca="1">+$H$15</f>
        <v>68945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21"/>
      <c r="AI15" s="21"/>
      <c r="AJ15" s="76">
        <v>0</v>
      </c>
      <c r="AK15" s="76">
        <v>0</v>
      </c>
      <c r="AL15" s="76">
        <v>0</v>
      </c>
      <c r="AM15" s="76">
        <f ca="1">+$I$15</f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21"/>
      <c r="AT15" s="21"/>
      <c r="AU15" s="76">
        <v>0</v>
      </c>
      <c r="AV15" s="76">
        <v>0</v>
      </c>
      <c r="AW15" s="76">
        <v>0</v>
      </c>
      <c r="AX15" s="76">
        <f ca="1">+$J$15</f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</row>
    <row r="16" spans="1:55">
      <c r="A16" s="21"/>
      <c r="B16" s="38" t="s">
        <v>143</v>
      </c>
      <c r="C16" s="21"/>
      <c r="D16" s="21"/>
      <c r="E16" s="21"/>
      <c r="F16" s="21"/>
      <c r="G16" s="11">
        <f t="shared" ca="1" si="27"/>
        <v>107898</v>
      </c>
      <c r="H16" s="22">
        <f ca="1">+Assumptions!N38</f>
        <v>107898</v>
      </c>
      <c r="I16" s="22">
        <f ca="1">+Assumptions!O38</f>
        <v>0</v>
      </c>
      <c r="J16" s="22">
        <f ca="1">+Assumptions!P38</f>
        <v>0</v>
      </c>
      <c r="K16" s="21"/>
      <c r="M16" s="76">
        <v>0</v>
      </c>
      <c r="N16" s="76">
        <v>0</v>
      </c>
      <c r="O16" s="76">
        <v>0</v>
      </c>
      <c r="P16" s="76">
        <v>0</v>
      </c>
      <c r="Q16" s="76">
        <f ca="1">+$G$16</f>
        <v>107898</v>
      </c>
      <c r="R16" s="76">
        <v>0</v>
      </c>
      <c r="S16" s="76">
        <v>0</v>
      </c>
      <c r="T16" s="76">
        <v>0</v>
      </c>
      <c r="U16" s="76">
        <v>0</v>
      </c>
      <c r="V16" s="21"/>
      <c r="W16" s="21"/>
      <c r="X16" s="21"/>
      <c r="Y16" s="76">
        <v>0</v>
      </c>
      <c r="Z16" s="76">
        <v>0</v>
      </c>
      <c r="AA16" s="76">
        <v>0</v>
      </c>
      <c r="AB16" s="76">
        <v>0</v>
      </c>
      <c r="AC16" s="76">
        <f ca="1">+$H$16</f>
        <v>107898</v>
      </c>
      <c r="AD16" s="76">
        <v>0</v>
      </c>
      <c r="AE16" s="76">
        <v>0</v>
      </c>
      <c r="AF16" s="76">
        <v>0</v>
      </c>
      <c r="AG16" s="76">
        <v>0</v>
      </c>
      <c r="AH16" s="21"/>
      <c r="AI16" s="21"/>
      <c r="AJ16" s="76">
        <v>0</v>
      </c>
      <c r="AK16" s="76">
        <v>0</v>
      </c>
      <c r="AL16" s="76">
        <v>0</v>
      </c>
      <c r="AM16" s="76">
        <v>0</v>
      </c>
      <c r="AN16" s="76">
        <f ca="1">+$I$16</f>
        <v>0</v>
      </c>
      <c r="AO16" s="76">
        <v>0</v>
      </c>
      <c r="AP16" s="76">
        <v>0</v>
      </c>
      <c r="AQ16" s="76">
        <v>0</v>
      </c>
      <c r="AR16" s="76">
        <v>0</v>
      </c>
      <c r="AS16" s="21"/>
      <c r="AT16" s="21"/>
      <c r="AU16" s="76">
        <v>0</v>
      </c>
      <c r="AV16" s="76">
        <v>0</v>
      </c>
      <c r="AW16" s="76">
        <v>0</v>
      </c>
      <c r="AX16" s="76">
        <v>0</v>
      </c>
      <c r="AY16" s="76">
        <f ca="1">+$J$16</f>
        <v>0</v>
      </c>
      <c r="AZ16" s="76">
        <v>0</v>
      </c>
      <c r="BA16" s="76">
        <v>0</v>
      </c>
      <c r="BB16" s="76">
        <v>0</v>
      </c>
      <c r="BC16" s="76">
        <v>0</v>
      </c>
    </row>
    <row r="17" spans="1:55">
      <c r="A17" s="21"/>
      <c r="B17" s="38" t="s">
        <v>35</v>
      </c>
      <c r="C17" s="21"/>
      <c r="D17" s="21"/>
      <c r="E17" s="21"/>
      <c r="F17" s="21"/>
      <c r="G17" s="11">
        <f t="shared" ca="1" si="27"/>
        <v>625000</v>
      </c>
      <c r="H17" s="22">
        <f ca="1">+Assumptions!N39</f>
        <v>312500</v>
      </c>
      <c r="I17" s="22">
        <f ca="1">+Assumptions!O39</f>
        <v>312500</v>
      </c>
      <c r="J17" s="22">
        <f ca="1">+Assumptions!P39</f>
        <v>0</v>
      </c>
      <c r="K17" s="21"/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f ca="1">+$G$17</f>
        <v>625000</v>
      </c>
      <c r="S17" s="76">
        <v>0</v>
      </c>
      <c r="T17" s="76">
        <v>0</v>
      </c>
      <c r="U17" s="76">
        <v>0</v>
      </c>
      <c r="V17" s="21"/>
      <c r="W17" s="21"/>
      <c r="X17" s="21"/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f ca="1">+$H$17</f>
        <v>312500</v>
      </c>
      <c r="AE17" s="76">
        <v>0</v>
      </c>
      <c r="AF17" s="76">
        <v>0</v>
      </c>
      <c r="AG17" s="76">
        <v>0</v>
      </c>
      <c r="AH17" s="21"/>
      <c r="AI17" s="21"/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f ca="1">+$I$17</f>
        <v>312500</v>
      </c>
      <c r="AP17" s="76">
        <v>0</v>
      </c>
      <c r="AQ17" s="76">
        <v>0</v>
      </c>
      <c r="AR17" s="76">
        <v>0</v>
      </c>
      <c r="AS17" s="21"/>
      <c r="AT17" s="21"/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 ca="1">+$J$17</f>
        <v>0</v>
      </c>
      <c r="BA17" s="76">
        <v>0</v>
      </c>
      <c r="BB17" s="76">
        <v>0</v>
      </c>
      <c r="BC17" s="76">
        <v>0</v>
      </c>
    </row>
    <row r="18" spans="1:55" s="21" customFormat="1">
      <c r="B18" s="38" t="s">
        <v>37</v>
      </c>
      <c r="G18" s="11">
        <f t="shared" ca="1" si="27"/>
        <v>37784</v>
      </c>
      <c r="H18" s="22">
        <f ca="1">+Assumptions!N40</f>
        <v>37784</v>
      </c>
      <c r="I18" s="22">
        <f ca="1">+Assumptions!O40</f>
        <v>0</v>
      </c>
      <c r="J18" s="22">
        <f ca="1">+Assumptions!P40</f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f ca="1">+$G$18</f>
        <v>37784</v>
      </c>
      <c r="T18" s="76">
        <v>0</v>
      </c>
      <c r="U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f ca="1">+$H$18</f>
        <v>37784</v>
      </c>
      <c r="AF18" s="76">
        <v>0</v>
      </c>
      <c r="AG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f ca="1">+$I$18</f>
        <v>0</v>
      </c>
      <c r="AQ18" s="76">
        <v>0</v>
      </c>
      <c r="AR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f ca="1">+$J$18</f>
        <v>0</v>
      </c>
      <c r="BB18" s="76">
        <v>0</v>
      </c>
      <c r="BC18" s="76">
        <v>0</v>
      </c>
    </row>
    <row r="19" spans="1:55">
      <c r="A19" s="21"/>
      <c r="B19" s="38" t="s">
        <v>39</v>
      </c>
      <c r="C19" s="21"/>
      <c r="D19" s="21"/>
      <c r="E19" s="21"/>
      <c r="F19" s="21"/>
      <c r="G19" s="11">
        <f t="shared" ca="1" si="27"/>
        <v>682606</v>
      </c>
      <c r="H19" s="22">
        <f ca="1">+Assumptions!N41</f>
        <v>379134</v>
      </c>
      <c r="I19" s="22">
        <f ca="1">+Assumptions!O41</f>
        <v>105428</v>
      </c>
      <c r="J19" s="22">
        <f ca="1">+Assumptions!P41</f>
        <v>198044</v>
      </c>
      <c r="K19" s="21"/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f ca="1">+$G$19</f>
        <v>682606</v>
      </c>
      <c r="U19" s="76">
        <v>0</v>
      </c>
      <c r="V19" s="21"/>
      <c r="W19" s="21"/>
      <c r="X19" s="21"/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f ca="1">+$H$19</f>
        <v>379134</v>
      </c>
      <c r="AG19" s="76">
        <v>0</v>
      </c>
      <c r="AH19" s="21"/>
      <c r="AI19" s="21"/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f ca="1">+$I$19</f>
        <v>105428</v>
      </c>
      <c r="AR19" s="76">
        <v>0</v>
      </c>
      <c r="AS19" s="21"/>
      <c r="AT19" s="21"/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f ca="1">+$J$19</f>
        <v>198044</v>
      </c>
      <c r="BC19" s="76">
        <v>0</v>
      </c>
    </row>
    <row r="20" spans="1:55">
      <c r="A20" s="21"/>
      <c r="B20" s="38" t="s">
        <v>41</v>
      </c>
      <c r="C20" s="21"/>
      <c r="D20" s="21"/>
      <c r="E20" s="21"/>
      <c r="F20" s="21"/>
      <c r="G20" s="11">
        <f t="shared" ca="1" si="27"/>
        <v>713618</v>
      </c>
      <c r="H20" s="22">
        <f ca="1">+Assumptions!N42</f>
        <v>713618</v>
      </c>
      <c r="I20" s="22">
        <f ca="1">+Assumptions!O42</f>
        <v>0</v>
      </c>
      <c r="J20" s="22">
        <f ca="1">+Assumptions!P42</f>
        <v>0</v>
      </c>
      <c r="K20" s="21"/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f ca="1">+$G$20</f>
        <v>713618</v>
      </c>
      <c r="V20" s="21"/>
      <c r="W20" s="21"/>
      <c r="X20" s="21"/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f ca="1">+$H$20</f>
        <v>713618</v>
      </c>
      <c r="AH20" s="21"/>
      <c r="AI20" s="21"/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f ca="1">+$I$20</f>
        <v>0</v>
      </c>
      <c r="AS20" s="21"/>
      <c r="AT20" s="21"/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f ca="1">+$J$20</f>
        <v>0</v>
      </c>
    </row>
    <row r="21" spans="1:55">
      <c r="A21" s="21"/>
      <c r="B21" s="8" t="s">
        <v>323</v>
      </c>
      <c r="C21" s="21"/>
      <c r="D21" s="21"/>
      <c r="E21" s="21"/>
      <c r="F21" s="21"/>
      <c r="G21" s="25">
        <f t="shared" ca="1" si="27"/>
        <v>1</v>
      </c>
      <c r="H21" s="25">
        <f ca="1">+H10/$G$10</f>
        <v>0.46078681845242814</v>
      </c>
      <c r="I21" s="25">
        <f t="shared" ref="I21:J21" ca="1" si="29">+I10/$G$10</f>
        <v>0.21809855111277648</v>
      </c>
      <c r="J21" s="25">
        <f t="shared" ca="1" si="29"/>
        <v>0.32111463043479538</v>
      </c>
      <c r="K21" s="21"/>
      <c r="M21" s="25"/>
      <c r="N21" s="25"/>
      <c r="O21" s="25"/>
      <c r="P21" s="25"/>
      <c r="Q21" s="25"/>
      <c r="R21" s="25"/>
      <c r="S21" s="25"/>
      <c r="T21" s="25"/>
      <c r="U21" s="25"/>
      <c r="V21" s="21"/>
      <c r="W21" s="21"/>
      <c r="X21" s="21"/>
      <c r="Y21" s="25"/>
      <c r="Z21" s="25"/>
      <c r="AA21" s="25"/>
      <c r="AB21" s="25"/>
      <c r="AC21" s="25"/>
      <c r="AD21" s="25"/>
      <c r="AE21" s="25"/>
      <c r="AF21" s="25"/>
      <c r="AG21" s="25"/>
      <c r="AH21" s="21"/>
      <c r="AI21" s="21"/>
      <c r="AJ21" s="25"/>
      <c r="AK21" s="25"/>
      <c r="AL21" s="25"/>
      <c r="AM21" s="25"/>
      <c r="AN21" s="25"/>
      <c r="AO21" s="25"/>
      <c r="AP21" s="25"/>
      <c r="AQ21" s="25"/>
      <c r="AR21" s="25"/>
      <c r="AS21" s="21"/>
      <c r="AT21" s="21"/>
      <c r="AU21" s="25"/>
      <c r="AV21" s="25"/>
      <c r="AW21" s="25"/>
      <c r="AX21" s="25"/>
      <c r="AY21" s="25"/>
      <c r="AZ21" s="25"/>
      <c r="BA21" s="25"/>
      <c r="BB21" s="25"/>
      <c r="BC21" s="25"/>
    </row>
    <row r="22" spans="1:55">
      <c r="A22" s="21"/>
      <c r="B22" s="8"/>
      <c r="C22" s="21"/>
      <c r="D22" s="21"/>
      <c r="E22" s="21"/>
      <c r="F22" s="21"/>
      <c r="G22" s="21"/>
      <c r="H22" s="194"/>
      <c r="I22" s="194"/>
      <c r="J22" s="194"/>
      <c r="K22" s="21"/>
      <c r="M22" s="25"/>
      <c r="N22" s="25"/>
      <c r="O22" s="25"/>
      <c r="P22" s="25"/>
      <c r="Q22" s="25"/>
      <c r="R22" s="25"/>
      <c r="S22" s="25"/>
      <c r="T22" s="25"/>
      <c r="U22" s="25"/>
      <c r="V22" s="21"/>
      <c r="W22" s="21"/>
      <c r="X22" s="21"/>
      <c r="Y22" s="25"/>
      <c r="Z22" s="25"/>
      <c r="AA22" s="25"/>
      <c r="AB22" s="25"/>
      <c r="AC22" s="25"/>
      <c r="AD22" s="25"/>
      <c r="AE22" s="25"/>
      <c r="AF22" s="25"/>
      <c r="AG22" s="25"/>
      <c r="AH22" s="21"/>
      <c r="AI22" s="21"/>
      <c r="AJ22" s="25"/>
      <c r="AK22" s="25"/>
      <c r="AL22" s="25"/>
      <c r="AM22" s="25"/>
      <c r="AN22" s="25"/>
      <c r="AO22" s="25"/>
      <c r="AP22" s="25"/>
      <c r="AQ22" s="25"/>
      <c r="AR22" s="25"/>
      <c r="AS22" s="21"/>
      <c r="AT22" s="21"/>
      <c r="AU22" s="25"/>
      <c r="AV22" s="25"/>
      <c r="AW22" s="25"/>
      <c r="AX22" s="25"/>
      <c r="AY22" s="25"/>
      <c r="AZ22" s="25"/>
      <c r="BA22" s="25"/>
      <c r="BB22" s="25"/>
      <c r="BC22" s="25"/>
    </row>
    <row r="23" spans="1:55" ht="32.25" customHeight="1">
      <c r="A23" s="21"/>
      <c r="B23" s="517" t="s">
        <v>307</v>
      </c>
      <c r="C23" s="518"/>
      <c r="D23" s="441"/>
      <c r="E23" s="441"/>
      <c r="F23" s="521" t="s">
        <v>291</v>
      </c>
      <c r="G23" s="517" t="s">
        <v>210</v>
      </c>
      <c r="H23" s="519" t="str">
        <f>+H4</f>
        <v>I</v>
      </c>
      <c r="I23" s="519" t="str">
        <f>+I4</f>
        <v>II</v>
      </c>
      <c r="J23" s="519" t="str">
        <f>+J4</f>
        <v>III</v>
      </c>
      <c r="K23" s="21"/>
      <c r="M23" s="899" t="str">
        <f t="shared" ref="M23:U23" ca="1" si="30">+M4</f>
        <v>Affordable Residential</v>
      </c>
      <c r="N23" s="899" t="str">
        <f t="shared" ca="1" si="30"/>
        <v>Market Rate Residential</v>
      </c>
      <c r="O23" s="899" t="str">
        <f t="shared" ca="1" si="30"/>
        <v>Retail</v>
      </c>
      <c r="P23" s="899" t="str">
        <f t="shared" ca="1" si="30"/>
        <v>Hotel</v>
      </c>
      <c r="Q23" s="899" t="str">
        <f t="shared" ca="1" si="30"/>
        <v>Museum</v>
      </c>
      <c r="R23" s="899" t="str">
        <f t="shared" ca="1" si="30"/>
        <v>Office</v>
      </c>
      <c r="S23" s="899" t="str">
        <f t="shared" ca="1" si="30"/>
        <v>Light Industrial/Flex</v>
      </c>
      <c r="T23" s="899" t="str">
        <f t="shared" ca="1" si="30"/>
        <v>Structural Parking</v>
      </c>
      <c r="U23" s="899" t="str">
        <f t="shared" ca="1" si="30"/>
        <v>Surface Parking</v>
      </c>
      <c r="V23" s="21"/>
      <c r="W23" s="21"/>
      <c r="X23" s="21"/>
      <c r="Y23" s="899" t="str">
        <f t="shared" ref="Y23:AG23" ca="1" si="31">+Y4</f>
        <v>Affordable Residential</v>
      </c>
      <c r="Z23" s="899" t="str">
        <f t="shared" ca="1" si="31"/>
        <v>Market Rate Residential</v>
      </c>
      <c r="AA23" s="899" t="str">
        <f t="shared" ca="1" si="31"/>
        <v>Retail</v>
      </c>
      <c r="AB23" s="899" t="str">
        <f t="shared" ca="1" si="31"/>
        <v>Hotel</v>
      </c>
      <c r="AC23" s="899" t="str">
        <f t="shared" ca="1" si="31"/>
        <v>Museum</v>
      </c>
      <c r="AD23" s="899" t="str">
        <f t="shared" ca="1" si="31"/>
        <v>Office</v>
      </c>
      <c r="AE23" s="899" t="str">
        <f t="shared" ca="1" si="31"/>
        <v>Light Industrial/Flex</v>
      </c>
      <c r="AF23" s="899" t="str">
        <f t="shared" ca="1" si="31"/>
        <v>Structural Parking</v>
      </c>
      <c r="AG23" s="899" t="str">
        <f t="shared" ca="1" si="31"/>
        <v>Surface Parking</v>
      </c>
      <c r="AH23" s="21"/>
      <c r="AI23" s="21"/>
      <c r="AJ23" s="899" t="str">
        <f t="shared" ref="AJ23:AR23" ca="1" si="32">+AJ4</f>
        <v>Affordable Residential</v>
      </c>
      <c r="AK23" s="899" t="str">
        <f t="shared" ca="1" si="32"/>
        <v>Market Rate Residential</v>
      </c>
      <c r="AL23" s="899" t="str">
        <f t="shared" ca="1" si="32"/>
        <v>Retail</v>
      </c>
      <c r="AM23" s="899" t="str">
        <f t="shared" ca="1" si="32"/>
        <v>Hotel</v>
      </c>
      <c r="AN23" s="899" t="str">
        <f t="shared" ca="1" si="32"/>
        <v>Museum</v>
      </c>
      <c r="AO23" s="899" t="str">
        <f t="shared" ca="1" si="32"/>
        <v>Office</v>
      </c>
      <c r="AP23" s="899" t="str">
        <f t="shared" ca="1" si="32"/>
        <v>Light Industrial/Flex</v>
      </c>
      <c r="AQ23" s="899" t="str">
        <f t="shared" ca="1" si="32"/>
        <v>Structural Parking</v>
      </c>
      <c r="AR23" s="899" t="str">
        <f t="shared" ca="1" si="32"/>
        <v>Surface Parking</v>
      </c>
      <c r="AS23" s="21"/>
      <c r="AT23" s="21"/>
      <c r="AU23" s="899" t="str">
        <f t="shared" ref="AU23:BC23" ca="1" si="33">+AU4</f>
        <v>Affordable Residential</v>
      </c>
      <c r="AV23" s="899" t="str">
        <f t="shared" ca="1" si="33"/>
        <v>Market Rate Residential</v>
      </c>
      <c r="AW23" s="899" t="str">
        <f t="shared" ca="1" si="33"/>
        <v>Retail</v>
      </c>
      <c r="AX23" s="899" t="str">
        <f t="shared" ca="1" si="33"/>
        <v>Hotel</v>
      </c>
      <c r="AY23" s="899" t="str">
        <f t="shared" ca="1" si="33"/>
        <v>Museum</v>
      </c>
      <c r="AZ23" s="899" t="str">
        <f t="shared" ca="1" si="33"/>
        <v>Office</v>
      </c>
      <c r="BA23" s="899" t="str">
        <f t="shared" ca="1" si="33"/>
        <v>Light Industrial/Flex</v>
      </c>
      <c r="BB23" s="899" t="str">
        <f t="shared" ca="1" si="33"/>
        <v>Structural Parking</v>
      </c>
      <c r="BC23" s="899" t="str">
        <f t="shared" ca="1" si="33"/>
        <v>Surface Parking</v>
      </c>
    </row>
    <row r="24" spans="1:55">
      <c r="A24" s="21"/>
      <c r="B24" s="15" t="s">
        <v>324</v>
      </c>
      <c r="C24" s="15"/>
      <c r="D24" s="20"/>
      <c r="E24" s="15"/>
      <c r="F24" s="47">
        <f ca="1">+G24/$G$10</f>
        <v>32.636548943233826</v>
      </c>
      <c r="G24" s="23">
        <f>+SUM(H24:J24)</f>
        <v>166707133</v>
      </c>
      <c r="H24" s="16">
        <f>'Parcel Breakdown'!AZ24</f>
        <v>79998202</v>
      </c>
      <c r="I24" s="16">
        <f>'Parcel Breakdown'!AZ25</f>
        <v>86708931</v>
      </c>
      <c r="J24" s="16">
        <f>'Parcel Breakdown'!AZ26</f>
        <v>0</v>
      </c>
      <c r="K24" s="21"/>
      <c r="M24" s="19">
        <f ca="1">+$H24*M$5+$I24*M$6+$J24*M$7</f>
        <v>25895569.840474136</v>
      </c>
      <c r="N24" s="19">
        <f t="shared" ref="N24:U24" ca="1" si="34">+$H24*N$5+$I24*N$6+$J24*N$7</f>
        <v>38843259.934009433</v>
      </c>
      <c r="O24" s="19">
        <f t="shared" ca="1" si="34"/>
        <v>14382880.663690895</v>
      </c>
      <c r="P24" s="19">
        <f t="shared" ca="1" si="34"/>
        <v>2343327.5680228611</v>
      </c>
      <c r="Q24" s="19">
        <f t="shared" ca="1" si="34"/>
        <v>3667276.2047215994</v>
      </c>
      <c r="R24" s="19">
        <f t="shared" ca="1" si="34"/>
        <v>34944025.750553772</v>
      </c>
      <c r="S24" s="19">
        <f t="shared" ca="1" si="34"/>
        <v>1284216.2423696539</v>
      </c>
      <c r="T24" s="19">
        <f t="shared" ca="1" si="34"/>
        <v>21091870.400663584</v>
      </c>
      <c r="U24" s="19">
        <f t="shared" ca="1" si="34"/>
        <v>24254706.395494062</v>
      </c>
      <c r="V24" s="21"/>
      <c r="W24" s="21"/>
      <c r="X24" s="21"/>
      <c r="Y24" s="19">
        <f ca="1">+$H24*Y$5+$I24*Y$6+$J24*Y$7</f>
        <v>7950659.4342535604</v>
      </c>
      <c r="Z24" s="19">
        <f t="shared" ref="Z24:AG24" ca="1" si="35">+$H24*Z$5+$I24*Z$6+$J24*Z$7</f>
        <v>11925972.157199703</v>
      </c>
      <c r="AA24" s="19">
        <f t="shared" ca="1" si="35"/>
        <v>5064537.7366879461</v>
      </c>
      <c r="AB24" s="19">
        <f t="shared" ca="1" si="35"/>
        <v>2343327.5680228611</v>
      </c>
      <c r="AC24" s="19">
        <f t="shared" ca="1" si="35"/>
        <v>3667276.2047215994</v>
      </c>
      <c r="AD24" s="19">
        <f t="shared" ca="1" si="35"/>
        <v>10621362.898065764</v>
      </c>
      <c r="AE24" s="19">
        <f t="shared" ca="1" si="35"/>
        <v>1284216.2423696539</v>
      </c>
      <c r="AF24" s="19">
        <f t="shared" ca="1" si="35"/>
        <v>12886143.363184849</v>
      </c>
      <c r="AG24" s="19">
        <f t="shared" ca="1" si="35"/>
        <v>24254706.395494062</v>
      </c>
      <c r="AH24" s="21"/>
      <c r="AI24" s="21"/>
      <c r="AJ24" s="19">
        <f ca="1">+$H24*AJ$5+$I24*AJ$6+$J24*AJ$7</f>
        <v>17944910.406220574</v>
      </c>
      <c r="AK24" s="19">
        <f t="shared" ref="AK24:AR24" ca="1" si="36">+$H24*AK$5+$I24*AK$6+$J24*AK$7</f>
        <v>26917287.776809733</v>
      </c>
      <c r="AL24" s="19">
        <f t="shared" ca="1" si="36"/>
        <v>9318342.9270029496</v>
      </c>
      <c r="AM24" s="19">
        <f t="shared" ca="1" si="36"/>
        <v>0</v>
      </c>
      <c r="AN24" s="19">
        <f t="shared" ca="1" si="36"/>
        <v>0</v>
      </c>
      <c r="AO24" s="19">
        <f t="shared" ca="1" si="36"/>
        <v>24322662.852488004</v>
      </c>
      <c r="AP24" s="19">
        <f t="shared" ca="1" si="36"/>
        <v>0</v>
      </c>
      <c r="AQ24" s="19">
        <f t="shared" ca="1" si="36"/>
        <v>8205727.0374787375</v>
      </c>
      <c r="AR24" s="19">
        <f t="shared" ca="1" si="36"/>
        <v>0</v>
      </c>
      <c r="AS24" s="21"/>
      <c r="AT24" s="21"/>
      <c r="AU24" s="19">
        <f ca="1">+$H24*AU$5+$I24*AU$6+$J24*AU$7</f>
        <v>0</v>
      </c>
      <c r="AV24" s="19">
        <f t="shared" ref="AV24:BC24" ca="1" si="37">+$H24*AV$5+$I24*AV$6+$J24*AV$7</f>
        <v>0</v>
      </c>
      <c r="AW24" s="19">
        <f t="shared" ca="1" si="37"/>
        <v>0</v>
      </c>
      <c r="AX24" s="19">
        <f t="shared" ca="1" si="37"/>
        <v>0</v>
      </c>
      <c r="AY24" s="19">
        <f t="shared" ca="1" si="37"/>
        <v>0</v>
      </c>
      <c r="AZ24" s="19">
        <f t="shared" ca="1" si="37"/>
        <v>0</v>
      </c>
      <c r="BA24" s="19">
        <f t="shared" ca="1" si="37"/>
        <v>0</v>
      </c>
      <c r="BB24" s="19">
        <f t="shared" ca="1" si="37"/>
        <v>0</v>
      </c>
      <c r="BC24" s="19">
        <f t="shared" ca="1" si="37"/>
        <v>0</v>
      </c>
    </row>
    <row r="25" spans="1:55">
      <c r="A25" s="21"/>
      <c r="B25" s="17" t="s">
        <v>325</v>
      </c>
      <c r="C25" s="17"/>
      <c r="D25" s="17"/>
      <c r="E25" s="17"/>
      <c r="F25" s="48">
        <f t="shared" ref="F25" ca="1" si="38">+G25/$G$10</f>
        <v>32.636548943233826</v>
      </c>
      <c r="G25" s="18">
        <f>+SUM(G24:G24)</f>
        <v>166707133</v>
      </c>
      <c r="H25" s="58">
        <f>+SUM(H24:H24)</f>
        <v>79998202</v>
      </c>
      <c r="I25" s="58">
        <f>+SUM(I24:I24)</f>
        <v>86708931</v>
      </c>
      <c r="J25" s="58">
        <f>+SUM(J24:J24)</f>
        <v>0</v>
      </c>
      <c r="K25" s="21"/>
      <c r="M25" s="58">
        <f t="shared" ref="M25:U25" ca="1" si="39">+SUM(M24:M24)</f>
        <v>25895569.840474136</v>
      </c>
      <c r="N25" s="58">
        <f t="shared" ca="1" si="39"/>
        <v>38843259.934009433</v>
      </c>
      <c r="O25" s="58">
        <f t="shared" ca="1" si="39"/>
        <v>14382880.663690895</v>
      </c>
      <c r="P25" s="58">
        <f t="shared" ca="1" si="39"/>
        <v>2343327.5680228611</v>
      </c>
      <c r="Q25" s="58">
        <f t="shared" ca="1" si="39"/>
        <v>3667276.2047215994</v>
      </c>
      <c r="R25" s="58">
        <f t="shared" ca="1" si="39"/>
        <v>34944025.750553772</v>
      </c>
      <c r="S25" s="58">
        <f t="shared" ca="1" si="39"/>
        <v>1284216.2423696539</v>
      </c>
      <c r="T25" s="58">
        <f t="shared" ca="1" si="39"/>
        <v>21091870.400663584</v>
      </c>
      <c r="U25" s="58">
        <f t="shared" ca="1" si="39"/>
        <v>24254706.395494062</v>
      </c>
      <c r="V25" s="21"/>
      <c r="W25" s="21"/>
      <c r="X25" s="21"/>
      <c r="Y25" s="58">
        <f t="shared" ref="Y25:AG25" ca="1" si="40">+SUM(Y24:Y24)</f>
        <v>7950659.4342535604</v>
      </c>
      <c r="Z25" s="58">
        <f t="shared" ca="1" si="40"/>
        <v>11925972.157199703</v>
      </c>
      <c r="AA25" s="58">
        <f t="shared" ca="1" si="40"/>
        <v>5064537.7366879461</v>
      </c>
      <c r="AB25" s="58">
        <f t="shared" ca="1" si="40"/>
        <v>2343327.5680228611</v>
      </c>
      <c r="AC25" s="58">
        <f t="shared" ca="1" si="40"/>
        <v>3667276.2047215994</v>
      </c>
      <c r="AD25" s="58">
        <f t="shared" ca="1" si="40"/>
        <v>10621362.898065764</v>
      </c>
      <c r="AE25" s="58">
        <f t="shared" ca="1" si="40"/>
        <v>1284216.2423696539</v>
      </c>
      <c r="AF25" s="58">
        <f t="shared" ca="1" si="40"/>
        <v>12886143.363184849</v>
      </c>
      <c r="AG25" s="58">
        <f t="shared" ca="1" si="40"/>
        <v>24254706.395494062</v>
      </c>
      <c r="AH25" s="21"/>
      <c r="AI25" s="21"/>
      <c r="AJ25" s="58">
        <f t="shared" ref="AJ25:AR25" ca="1" si="41">+SUM(AJ24:AJ24)</f>
        <v>17944910.406220574</v>
      </c>
      <c r="AK25" s="58">
        <f t="shared" ca="1" si="41"/>
        <v>26917287.776809733</v>
      </c>
      <c r="AL25" s="58">
        <f t="shared" ca="1" si="41"/>
        <v>9318342.9270029496</v>
      </c>
      <c r="AM25" s="58">
        <f t="shared" ca="1" si="41"/>
        <v>0</v>
      </c>
      <c r="AN25" s="58">
        <f t="shared" ca="1" si="41"/>
        <v>0</v>
      </c>
      <c r="AO25" s="58">
        <f t="shared" ca="1" si="41"/>
        <v>24322662.852488004</v>
      </c>
      <c r="AP25" s="58">
        <f t="shared" ca="1" si="41"/>
        <v>0</v>
      </c>
      <c r="AQ25" s="58">
        <f t="shared" ca="1" si="41"/>
        <v>8205727.0374787375</v>
      </c>
      <c r="AR25" s="58">
        <f t="shared" ca="1" si="41"/>
        <v>0</v>
      </c>
      <c r="AS25" s="21"/>
      <c r="AT25" s="21"/>
      <c r="AU25" s="58">
        <f t="shared" ref="AU25:BC25" ca="1" si="42">+SUM(AU24:AU24)</f>
        <v>0</v>
      </c>
      <c r="AV25" s="58">
        <f t="shared" ca="1" si="42"/>
        <v>0</v>
      </c>
      <c r="AW25" s="58">
        <f t="shared" ca="1" si="42"/>
        <v>0</v>
      </c>
      <c r="AX25" s="58">
        <f t="shared" ca="1" si="42"/>
        <v>0</v>
      </c>
      <c r="AY25" s="58">
        <f t="shared" ca="1" si="42"/>
        <v>0</v>
      </c>
      <c r="AZ25" s="58">
        <f t="shared" ca="1" si="42"/>
        <v>0</v>
      </c>
      <c r="BA25" s="58">
        <f t="shared" ca="1" si="42"/>
        <v>0</v>
      </c>
      <c r="BB25" s="58">
        <f t="shared" ca="1" si="42"/>
        <v>0</v>
      </c>
      <c r="BC25" s="58">
        <f t="shared" ca="1" si="42"/>
        <v>0</v>
      </c>
    </row>
    <row r="26" spans="1:55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21"/>
      <c r="M26" s="103"/>
      <c r="N26" s="103"/>
      <c r="O26" s="103"/>
      <c r="P26" s="103"/>
      <c r="Q26" s="103"/>
      <c r="R26" s="103"/>
      <c r="S26" s="103"/>
      <c r="T26" s="103"/>
      <c r="U26" s="103"/>
      <c r="V26" s="21"/>
      <c r="W26" s="21"/>
      <c r="X26" s="21"/>
      <c r="Y26" s="103"/>
      <c r="Z26" s="103"/>
      <c r="AA26" s="103"/>
      <c r="AB26" s="103"/>
      <c r="AC26" s="103"/>
      <c r="AD26" s="103"/>
      <c r="AE26" s="103"/>
      <c r="AF26" s="103"/>
      <c r="AG26" s="103"/>
      <c r="AH26" s="21"/>
      <c r="AI26" s="21"/>
      <c r="AJ26" s="103"/>
      <c r="AK26" s="103"/>
      <c r="AL26" s="103"/>
      <c r="AM26" s="103"/>
      <c r="AN26" s="103"/>
      <c r="AO26" s="103"/>
      <c r="AP26" s="103"/>
      <c r="AQ26" s="103"/>
      <c r="AR26" s="103"/>
      <c r="AS26" s="21"/>
      <c r="AT26" s="21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ht="32.25" customHeight="1">
      <c r="A27" s="21"/>
      <c r="B27" s="440" t="s">
        <v>255</v>
      </c>
      <c r="C27" s="441"/>
      <c r="D27" s="441"/>
      <c r="E27" s="441"/>
      <c r="F27" s="441"/>
      <c r="G27" s="440" t="s">
        <v>210</v>
      </c>
      <c r="H27" s="442" t="str">
        <f>+H$23</f>
        <v>I</v>
      </c>
      <c r="I27" s="442" t="str">
        <f t="shared" ref="I27:J27" si="43">+I$23</f>
        <v>II</v>
      </c>
      <c r="J27" s="442" t="str">
        <f t="shared" si="43"/>
        <v>III</v>
      </c>
      <c r="K27" s="21"/>
      <c r="M27" s="532" t="str">
        <f t="shared" ref="M27:U27" ca="1" si="44">+M$23</f>
        <v>Affordable Residential</v>
      </c>
      <c r="N27" s="532" t="str">
        <f t="shared" ca="1" si="44"/>
        <v>Market Rate Residential</v>
      </c>
      <c r="O27" s="532" t="str">
        <f t="shared" ca="1" si="44"/>
        <v>Retail</v>
      </c>
      <c r="P27" s="532" t="str">
        <f t="shared" ca="1" si="44"/>
        <v>Hotel</v>
      </c>
      <c r="Q27" s="532" t="str">
        <f t="shared" ca="1" si="44"/>
        <v>Museum</v>
      </c>
      <c r="R27" s="532" t="str">
        <f t="shared" ca="1" si="44"/>
        <v>Office</v>
      </c>
      <c r="S27" s="532" t="str">
        <f t="shared" ca="1" si="44"/>
        <v>Light Industrial/Flex</v>
      </c>
      <c r="T27" s="532" t="str">
        <f t="shared" ca="1" si="44"/>
        <v>Structural Parking</v>
      </c>
      <c r="U27" s="532" t="str">
        <f t="shared" ca="1" si="44"/>
        <v>Surface Parking</v>
      </c>
      <c r="V27" s="21"/>
      <c r="W27" s="21"/>
      <c r="X27" s="21"/>
      <c r="Y27" s="532" t="str">
        <f t="shared" ref="Y27:AG27" ca="1" si="45">+Y$23</f>
        <v>Affordable Residential</v>
      </c>
      <c r="Z27" s="532" t="str">
        <f t="shared" ca="1" si="45"/>
        <v>Market Rate Residential</v>
      </c>
      <c r="AA27" s="532" t="str">
        <f t="shared" ca="1" si="45"/>
        <v>Retail</v>
      </c>
      <c r="AB27" s="532" t="str">
        <f t="shared" ca="1" si="45"/>
        <v>Hotel</v>
      </c>
      <c r="AC27" s="532" t="str">
        <f t="shared" ca="1" si="45"/>
        <v>Museum</v>
      </c>
      <c r="AD27" s="532" t="str">
        <f t="shared" ca="1" si="45"/>
        <v>Office</v>
      </c>
      <c r="AE27" s="532" t="str">
        <f t="shared" ca="1" si="45"/>
        <v>Light Industrial/Flex</v>
      </c>
      <c r="AF27" s="532" t="str">
        <f t="shared" ca="1" si="45"/>
        <v>Structural Parking</v>
      </c>
      <c r="AG27" s="532" t="str">
        <f t="shared" ca="1" si="45"/>
        <v>Surface Parking</v>
      </c>
      <c r="AH27" s="21"/>
      <c r="AI27" s="21"/>
      <c r="AJ27" s="532" t="str">
        <f t="shared" ref="AJ27:AR27" ca="1" si="46">+AJ$23</f>
        <v>Affordable Residential</v>
      </c>
      <c r="AK27" s="532" t="str">
        <f t="shared" ca="1" si="46"/>
        <v>Market Rate Residential</v>
      </c>
      <c r="AL27" s="532" t="str">
        <f t="shared" ca="1" si="46"/>
        <v>Retail</v>
      </c>
      <c r="AM27" s="532" t="str">
        <f t="shared" ca="1" si="46"/>
        <v>Hotel</v>
      </c>
      <c r="AN27" s="532" t="str">
        <f t="shared" ca="1" si="46"/>
        <v>Museum</v>
      </c>
      <c r="AO27" s="532" t="str">
        <f t="shared" ca="1" si="46"/>
        <v>Office</v>
      </c>
      <c r="AP27" s="532" t="str">
        <f t="shared" ca="1" si="46"/>
        <v>Light Industrial/Flex</v>
      </c>
      <c r="AQ27" s="532" t="str">
        <f t="shared" ca="1" si="46"/>
        <v>Structural Parking</v>
      </c>
      <c r="AR27" s="532" t="str">
        <f t="shared" ca="1" si="46"/>
        <v>Surface Parking</v>
      </c>
      <c r="AS27" s="21"/>
      <c r="AT27" s="21"/>
      <c r="AU27" s="532" t="str">
        <f t="shared" ref="AU27:BC27" ca="1" si="47">+AU$23</f>
        <v>Affordable Residential</v>
      </c>
      <c r="AV27" s="532" t="str">
        <f t="shared" ca="1" si="47"/>
        <v>Market Rate Residential</v>
      </c>
      <c r="AW27" s="532" t="str">
        <f t="shared" ca="1" si="47"/>
        <v>Retail</v>
      </c>
      <c r="AX27" s="532" t="str">
        <f t="shared" ca="1" si="47"/>
        <v>Hotel</v>
      </c>
      <c r="AY27" s="532" t="str">
        <f t="shared" ca="1" si="47"/>
        <v>Museum</v>
      </c>
      <c r="AZ27" s="532" t="str">
        <f t="shared" ca="1" si="47"/>
        <v>Office</v>
      </c>
      <c r="BA27" s="532" t="str">
        <f t="shared" ca="1" si="47"/>
        <v>Light Industrial/Flex</v>
      </c>
      <c r="BB27" s="532" t="str">
        <f t="shared" ca="1" si="47"/>
        <v>Structural Parking</v>
      </c>
      <c r="BC27" s="532" t="str">
        <f t="shared" ca="1" si="47"/>
        <v>Surface Parking</v>
      </c>
    </row>
    <row r="28" spans="1:55">
      <c r="A28" s="21"/>
      <c r="B28" s="15" t="s">
        <v>326</v>
      </c>
      <c r="C28" s="15"/>
      <c r="D28" s="20"/>
      <c r="E28" s="10"/>
      <c r="F28" s="47">
        <f t="shared" ref="F28:F32" ca="1" si="48">+G28/$G$10</f>
        <v>12.098538191840273</v>
      </c>
      <c r="G28" s="23">
        <f>+SUM(H28:J28)</f>
        <v>61799200</v>
      </c>
      <c r="H28" s="16">
        <f>Infrastructure!G10+Infrastructure!G16</f>
        <v>59322000</v>
      </c>
      <c r="I28" s="16">
        <f>Infrastructure!H10+Infrastructure!H16</f>
        <v>2477200</v>
      </c>
      <c r="J28" s="16">
        <f>Infrastructure!I10+Infrastructure!I16</f>
        <v>0</v>
      </c>
      <c r="K28" s="21"/>
      <c r="M28" s="19">
        <f t="shared" ref="M28:U31" ca="1" si="49">+$H28*M$5+$I28*M$6+$J28*M$7</f>
        <v>6408415.9866030123</v>
      </c>
      <c r="N28" s="19">
        <f t="shared" ca="1" si="49"/>
        <v>9612609.1544029303</v>
      </c>
      <c r="O28" s="19">
        <f t="shared" ca="1" si="49"/>
        <v>4021782.8393574073</v>
      </c>
      <c r="P28" s="19">
        <f t="shared" ca="1" si="49"/>
        <v>1737675.0291244318</v>
      </c>
      <c r="Q28" s="19">
        <f t="shared" ca="1" si="49"/>
        <v>2719438.1070776405</v>
      </c>
      <c r="R28" s="19">
        <f t="shared" ca="1" si="49"/>
        <v>8571060.8157021403</v>
      </c>
      <c r="S28" s="19">
        <f t="shared" ca="1" si="49"/>
        <v>952299.85206233268</v>
      </c>
      <c r="T28" s="19">
        <f t="shared" ca="1" si="49"/>
        <v>9790042.8232019227</v>
      </c>
      <c r="U28" s="19">
        <f t="shared" ca="1" si="49"/>
        <v>17985875.392468181</v>
      </c>
      <c r="V28" s="21"/>
      <c r="W28" s="21"/>
      <c r="X28" s="21"/>
      <c r="Y28" s="19">
        <f t="shared" ref="Y28:AG31" ca="1" si="50">+$H28*Y$5+$I28*Y$6+$J28*Y$7</f>
        <v>5895745.2438592268</v>
      </c>
      <c r="Z28" s="19">
        <f t="shared" ca="1" si="50"/>
        <v>8843605.2638958152</v>
      </c>
      <c r="AA28" s="19">
        <f t="shared" ca="1" si="50"/>
        <v>3755565.7515377952</v>
      </c>
      <c r="AB28" s="19">
        <f t="shared" ca="1" si="50"/>
        <v>1737675.0291244318</v>
      </c>
      <c r="AC28" s="19">
        <f t="shared" ca="1" si="50"/>
        <v>2719438.1070776405</v>
      </c>
      <c r="AD28" s="19">
        <f t="shared" ca="1" si="50"/>
        <v>7876183.1402042927</v>
      </c>
      <c r="AE28" s="19">
        <f t="shared" ca="1" si="50"/>
        <v>952299.85206233268</v>
      </c>
      <c r="AF28" s="19">
        <f t="shared" ca="1" si="50"/>
        <v>9555612.2197702844</v>
      </c>
      <c r="AG28" s="19">
        <f t="shared" ca="1" si="50"/>
        <v>17985875.392468181</v>
      </c>
      <c r="AH28" s="21"/>
      <c r="AI28" s="21"/>
      <c r="AJ28" s="19">
        <f t="shared" ref="AJ28:AR31" ca="1" si="51">+$H28*AJ$5+$I28*AJ$6+$J28*AJ$7</f>
        <v>512670.74274378509</v>
      </c>
      <c r="AK28" s="19">
        <f t="shared" ca="1" si="51"/>
        <v>769003.89050711587</v>
      </c>
      <c r="AL28" s="19">
        <f t="shared" ca="1" si="51"/>
        <v>266217.08781961229</v>
      </c>
      <c r="AM28" s="19">
        <f t="shared" ca="1" si="51"/>
        <v>0</v>
      </c>
      <c r="AN28" s="19">
        <f t="shared" ca="1" si="51"/>
        <v>0</v>
      </c>
      <c r="AO28" s="19">
        <f t="shared" ca="1" si="51"/>
        <v>694877.67549784796</v>
      </c>
      <c r="AP28" s="19">
        <f t="shared" ca="1" si="51"/>
        <v>0</v>
      </c>
      <c r="AQ28" s="19">
        <f t="shared" ca="1" si="51"/>
        <v>234430.60343163874</v>
      </c>
      <c r="AR28" s="19">
        <f t="shared" ca="1" si="51"/>
        <v>0</v>
      </c>
      <c r="AS28" s="21"/>
      <c r="AT28" s="21"/>
      <c r="AU28" s="19">
        <f t="shared" ref="AU28:BC31" ca="1" si="52">+$H28*AU$5+$I28*AU$6+$J28*AU$7</f>
        <v>0</v>
      </c>
      <c r="AV28" s="19">
        <f t="shared" ca="1" si="52"/>
        <v>0</v>
      </c>
      <c r="AW28" s="19">
        <f t="shared" ca="1" si="52"/>
        <v>0</v>
      </c>
      <c r="AX28" s="19">
        <f t="shared" ca="1" si="52"/>
        <v>0</v>
      </c>
      <c r="AY28" s="19">
        <f t="shared" ca="1" si="52"/>
        <v>0</v>
      </c>
      <c r="AZ28" s="19">
        <f t="shared" ca="1" si="52"/>
        <v>0</v>
      </c>
      <c r="BA28" s="19">
        <f t="shared" ca="1" si="52"/>
        <v>0</v>
      </c>
      <c r="BB28" s="19">
        <f t="shared" ca="1" si="52"/>
        <v>0</v>
      </c>
      <c r="BC28" s="19">
        <f t="shared" ca="1" si="52"/>
        <v>0</v>
      </c>
    </row>
    <row r="29" spans="1:55">
      <c r="A29" s="21"/>
      <c r="B29" s="15" t="s">
        <v>327</v>
      </c>
      <c r="C29" s="15"/>
      <c r="D29" s="20"/>
      <c r="E29" s="21"/>
      <c r="F29" s="47">
        <f t="shared" ca="1" si="48"/>
        <v>0.78308704266982565</v>
      </c>
      <c r="G29" s="13">
        <f>+SUM(H29:J29)</f>
        <v>4000000</v>
      </c>
      <c r="H29" s="19">
        <f>Infrastructure!G17+Infrastructure!G18</f>
        <v>2250000</v>
      </c>
      <c r="I29" s="19">
        <f>SUM(Infrastructure!H18,Infrastructure!H17)</f>
        <v>1200000</v>
      </c>
      <c r="J29" s="19">
        <f>SUM(Infrastructure!I18,Infrastructure!I17)</f>
        <v>550000</v>
      </c>
      <c r="K29" s="21"/>
      <c r="M29" s="19">
        <f t="shared" ca="1" si="49"/>
        <v>656571.39647619624</v>
      </c>
      <c r="N29" s="19">
        <f t="shared" ca="1" si="49"/>
        <v>984771.54324443033</v>
      </c>
      <c r="O29" s="19">
        <f t="shared" ca="1" si="49"/>
        <v>293562.58471849904</v>
      </c>
      <c r="P29" s="19">
        <f t="shared" ca="1" si="49"/>
        <v>65907.569123259018</v>
      </c>
      <c r="Q29" s="19">
        <f t="shared" ca="1" si="49"/>
        <v>103144.46142956561</v>
      </c>
      <c r="R29" s="19">
        <f t="shared" ca="1" si="49"/>
        <v>635343.72370606544</v>
      </c>
      <c r="S29" s="19">
        <f t="shared" ca="1" si="49"/>
        <v>36119.393600017676</v>
      </c>
      <c r="T29" s="19">
        <f t="shared" ca="1" si="49"/>
        <v>542400.37835680973</v>
      </c>
      <c r="U29" s="19">
        <f t="shared" ca="1" si="49"/>
        <v>682178.94934515702</v>
      </c>
      <c r="V29" s="53"/>
      <c r="W29" s="53"/>
      <c r="X29" s="21"/>
      <c r="Y29" s="19">
        <f t="shared" ca="1" si="50"/>
        <v>223617.32238770204</v>
      </c>
      <c r="Z29" s="19">
        <f t="shared" ca="1" si="50"/>
        <v>335425.50560948026</v>
      </c>
      <c r="AA29" s="19">
        <f t="shared" ca="1" si="50"/>
        <v>142443.32525808367</v>
      </c>
      <c r="AB29" s="19">
        <f t="shared" ca="1" si="50"/>
        <v>65907.569123259018</v>
      </c>
      <c r="AC29" s="19">
        <f t="shared" ca="1" si="50"/>
        <v>103144.46142956561</v>
      </c>
      <c r="AD29" s="19">
        <f t="shared" ca="1" si="50"/>
        <v>298732.54552206025</v>
      </c>
      <c r="AE29" s="19">
        <f t="shared" ca="1" si="50"/>
        <v>36119.393600017676</v>
      </c>
      <c r="AF29" s="19">
        <f t="shared" ca="1" si="50"/>
        <v>362430.92772467446</v>
      </c>
      <c r="AG29" s="19">
        <f t="shared" ca="1" si="50"/>
        <v>682178.94934515702</v>
      </c>
      <c r="AH29" s="21"/>
      <c r="AI29" s="21"/>
      <c r="AJ29" s="19">
        <f t="shared" ca="1" si="51"/>
        <v>248346.88006319315</v>
      </c>
      <c r="AK29" s="19">
        <f t="shared" ca="1" si="51"/>
        <v>372519.24293901952</v>
      </c>
      <c r="AL29" s="19">
        <f t="shared" ca="1" si="51"/>
        <v>128960.32027431567</v>
      </c>
      <c r="AM29" s="19">
        <f t="shared" ca="1" si="51"/>
        <v>0</v>
      </c>
      <c r="AN29" s="19">
        <f t="shared" ca="1" si="51"/>
        <v>0</v>
      </c>
      <c r="AO29" s="19">
        <f t="shared" ca="1" si="51"/>
        <v>336611.17818400514</v>
      </c>
      <c r="AP29" s="19">
        <f t="shared" ca="1" si="51"/>
        <v>0</v>
      </c>
      <c r="AQ29" s="19">
        <f t="shared" ca="1" si="51"/>
        <v>113562.37853946653</v>
      </c>
      <c r="AR29" s="19">
        <f t="shared" ca="1" si="51"/>
        <v>0</v>
      </c>
      <c r="AS29" s="21"/>
      <c r="AT29" s="21"/>
      <c r="AU29" s="19">
        <f t="shared" ca="1" si="52"/>
        <v>184607.19402530103</v>
      </c>
      <c r="AV29" s="19">
        <f t="shared" ca="1" si="52"/>
        <v>276826.7946959305</v>
      </c>
      <c r="AW29" s="19">
        <f t="shared" ca="1" si="52"/>
        <v>22158.93918609968</v>
      </c>
      <c r="AX29" s="19">
        <f t="shared" ca="1" si="52"/>
        <v>0</v>
      </c>
      <c r="AY29" s="19">
        <f t="shared" ca="1" si="52"/>
        <v>0</v>
      </c>
      <c r="AZ29" s="19">
        <f t="shared" ca="1" si="52"/>
        <v>0</v>
      </c>
      <c r="BA29" s="19">
        <f t="shared" ca="1" si="52"/>
        <v>0</v>
      </c>
      <c r="BB29" s="19">
        <f t="shared" ca="1" si="52"/>
        <v>66407.072092668794</v>
      </c>
      <c r="BC29" s="19">
        <f t="shared" ca="1" si="52"/>
        <v>0</v>
      </c>
    </row>
    <row r="30" spans="1:55" s="21" customFormat="1">
      <c r="B30" s="15" t="s">
        <v>527</v>
      </c>
      <c r="C30" s="15"/>
      <c r="D30" s="20"/>
      <c r="F30" s="47">
        <f t="shared" ca="1" si="48"/>
        <v>0.20262377229081738</v>
      </c>
      <c r="G30" s="13">
        <f>SUM(H30:J30)</f>
        <v>1035000</v>
      </c>
      <c r="H30" s="19">
        <f>Infrastructure!G15</f>
        <v>1035000</v>
      </c>
      <c r="I30" s="19">
        <v>0</v>
      </c>
      <c r="J30" s="19"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53"/>
      <c r="W30" s="53"/>
      <c r="Y30" s="19"/>
      <c r="Z30" s="19"/>
      <c r="AA30" s="19"/>
      <c r="AB30" s="19"/>
      <c r="AC30" s="19"/>
      <c r="AD30" s="19"/>
      <c r="AE30" s="19"/>
      <c r="AF30" s="19"/>
      <c r="AG30" s="19"/>
      <c r="AJ30" s="19"/>
      <c r="AK30" s="19"/>
      <c r="AL30" s="19"/>
      <c r="AM30" s="19"/>
      <c r="AN30" s="19"/>
      <c r="AO30" s="19"/>
      <c r="AP30" s="19"/>
      <c r="AQ30" s="19"/>
      <c r="AR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>
      <c r="A31" s="21"/>
      <c r="B31" s="659" t="s">
        <v>328</v>
      </c>
      <c r="C31" s="659"/>
      <c r="D31" s="823"/>
      <c r="E31" s="817"/>
      <c r="F31" s="824">
        <f t="shared" ca="1" si="48"/>
        <v>2.0637182264879583</v>
      </c>
      <c r="G31" s="825">
        <f>+SUM(H31:J31)</f>
        <v>10541450</v>
      </c>
      <c r="H31" s="819">
        <f>SUM(Infrastructure!G6:G8)</f>
        <v>5141080</v>
      </c>
      <c r="I31" s="819">
        <f>SUM(Infrastructure!H6:H8)</f>
        <v>3624154.9999999995</v>
      </c>
      <c r="J31" s="819">
        <f>SUM(Infrastructure!I6:I8)</f>
        <v>1776214.9999999998</v>
      </c>
      <c r="K31" s="21"/>
      <c r="M31" s="19">
        <f t="shared" ca="1" si="49"/>
        <v>1857173.9186646652</v>
      </c>
      <c r="N31" s="19">
        <f t="shared" ca="1" si="49"/>
        <v>2785485.2680580155</v>
      </c>
      <c r="O31" s="19">
        <f t="shared" ca="1" si="49"/>
        <v>786510.95164498698</v>
      </c>
      <c r="P31" s="19">
        <f t="shared" ca="1" si="49"/>
        <v>150593.81576364642</v>
      </c>
      <c r="Q31" s="19">
        <f t="shared" ca="1" si="49"/>
        <v>235677.30122947163</v>
      </c>
      <c r="R31" s="19">
        <f t="shared" ca="1" si="49"/>
        <v>1699190.5326740122</v>
      </c>
      <c r="S31" s="19">
        <f t="shared" ca="1" si="49"/>
        <v>82530.085355190618</v>
      </c>
      <c r="T31" s="19">
        <f t="shared" ca="1" si="49"/>
        <v>1385560.7697658332</v>
      </c>
      <c r="U31" s="19">
        <f t="shared" ca="1" si="49"/>
        <v>1558727.3568441777</v>
      </c>
      <c r="V31" s="21"/>
      <c r="W31" s="21"/>
      <c r="X31" s="21"/>
      <c r="Y31" s="19">
        <f t="shared" ca="1" si="50"/>
        <v>510948.68612487434</v>
      </c>
      <c r="Z31" s="19">
        <f t="shared" ca="1" si="50"/>
        <v>766421.93705723854</v>
      </c>
      <c r="AA31" s="19">
        <f t="shared" ca="1" si="50"/>
        <v>325472.23583014612</v>
      </c>
      <c r="AB31" s="19">
        <f t="shared" ca="1" si="50"/>
        <v>150593.81576364642</v>
      </c>
      <c r="AC31" s="19">
        <f t="shared" ca="1" si="50"/>
        <v>235677.30122947163</v>
      </c>
      <c r="AD31" s="19">
        <f t="shared" ca="1" si="50"/>
        <v>682581.29561446817</v>
      </c>
      <c r="AE31" s="19">
        <f t="shared" ca="1" si="50"/>
        <v>82530.085355190618</v>
      </c>
      <c r="AF31" s="19">
        <f t="shared" ca="1" si="50"/>
        <v>828127.28618078644</v>
      </c>
      <c r="AG31" s="19">
        <f t="shared" ca="1" si="50"/>
        <v>1558727.3568441777</v>
      </c>
      <c r="AH31" s="21"/>
      <c r="AI31" s="21"/>
      <c r="AJ31" s="19">
        <f t="shared" ca="1" si="51"/>
        <v>750039.65592951805</v>
      </c>
      <c r="AK31" s="19">
        <f t="shared" ca="1" si="51"/>
        <v>1125056.2307447183</v>
      </c>
      <c r="AL31" s="19">
        <f t="shared" ca="1" si="51"/>
        <v>389476.82460313535</v>
      </c>
      <c r="AM31" s="19">
        <f t="shared" ca="1" si="51"/>
        <v>0</v>
      </c>
      <c r="AN31" s="19">
        <f t="shared" ca="1" si="51"/>
        <v>0</v>
      </c>
      <c r="AO31" s="19">
        <f t="shared" ca="1" si="51"/>
        <v>1016609.2370595441</v>
      </c>
      <c r="AP31" s="19">
        <f t="shared" ca="1" si="51"/>
        <v>0</v>
      </c>
      <c r="AQ31" s="19">
        <f t="shared" ca="1" si="51"/>
        <v>342973.05166308355</v>
      </c>
      <c r="AR31" s="19">
        <f t="shared" ca="1" si="51"/>
        <v>0</v>
      </c>
      <c r="AS31" s="21"/>
      <c r="AT31" s="21"/>
      <c r="AU31" s="19">
        <f t="shared" ca="1" si="52"/>
        <v>596185.57661027275</v>
      </c>
      <c r="AV31" s="19">
        <f t="shared" ca="1" si="52"/>
        <v>894007.1002560585</v>
      </c>
      <c r="AW31" s="19">
        <f t="shared" ca="1" si="52"/>
        <v>71561.89121170553</v>
      </c>
      <c r="AX31" s="19">
        <f t="shared" ca="1" si="52"/>
        <v>0</v>
      </c>
      <c r="AY31" s="19">
        <f t="shared" ca="1" si="52"/>
        <v>0</v>
      </c>
      <c r="AZ31" s="19">
        <f t="shared" ca="1" si="52"/>
        <v>0</v>
      </c>
      <c r="BA31" s="19">
        <f t="shared" ca="1" si="52"/>
        <v>0</v>
      </c>
      <c r="BB31" s="19">
        <f t="shared" ca="1" si="52"/>
        <v>214460.43192196309</v>
      </c>
      <c r="BC31" s="19">
        <f t="shared" ca="1" si="52"/>
        <v>0</v>
      </c>
    </row>
    <row r="32" spans="1:55">
      <c r="A32" s="21"/>
      <c r="B32" s="17" t="s">
        <v>329</v>
      </c>
      <c r="C32" s="17"/>
      <c r="D32" s="17"/>
      <c r="E32" s="17"/>
      <c r="F32" s="48">
        <f t="shared" ca="1" si="48"/>
        <v>15.147967233288874</v>
      </c>
      <c r="G32" s="18">
        <f>SUM(H32:J32)</f>
        <v>77375650</v>
      </c>
      <c r="H32" s="58">
        <f>+SUM(H28:H31)</f>
        <v>67748080</v>
      </c>
      <c r="I32" s="58">
        <f>+SUM(I28:I31)</f>
        <v>7301355</v>
      </c>
      <c r="J32" s="58">
        <f>+SUM(J28:J31)</f>
        <v>2326215</v>
      </c>
      <c r="K32" s="21"/>
      <c r="M32" s="58">
        <f t="shared" ref="M32:U32" ca="1" si="53">+SUM(M28:M31)</f>
        <v>8922161.3017438743</v>
      </c>
      <c r="N32" s="58">
        <f t="shared" ca="1" si="53"/>
        <v>13382865.965705376</v>
      </c>
      <c r="O32" s="58">
        <f t="shared" ca="1" si="53"/>
        <v>5101856.375720893</v>
      </c>
      <c r="P32" s="58">
        <f t="shared" ca="1" si="53"/>
        <v>1954176.4140113373</v>
      </c>
      <c r="Q32" s="58">
        <f t="shared" ca="1" si="53"/>
        <v>3058259.869736678</v>
      </c>
      <c r="R32" s="58">
        <f t="shared" ca="1" si="53"/>
        <v>10905595.072082218</v>
      </c>
      <c r="S32" s="58">
        <f t="shared" ca="1" si="53"/>
        <v>1070949.331017541</v>
      </c>
      <c r="T32" s="58">
        <f t="shared" ca="1" si="53"/>
        <v>11718003.971324565</v>
      </c>
      <c r="U32" s="58">
        <f t="shared" ca="1" si="53"/>
        <v>20226781.698657516</v>
      </c>
      <c r="V32" s="21"/>
      <c r="W32" s="21"/>
      <c r="X32" s="16">
        <f ca="1">+SUM(Y32:AG32)</f>
        <v>66713080</v>
      </c>
      <c r="Y32" s="58">
        <f t="shared" ref="Y32:AG32" ca="1" si="54">+SUM(Y28:Y31)</f>
        <v>6630311.2523718029</v>
      </c>
      <c r="Z32" s="58">
        <f t="shared" ca="1" si="54"/>
        <v>9945452.706562534</v>
      </c>
      <c r="AA32" s="58">
        <f t="shared" ca="1" si="54"/>
        <v>4223481.3126260247</v>
      </c>
      <c r="AB32" s="58">
        <f t="shared" ca="1" si="54"/>
        <v>1954176.4140113373</v>
      </c>
      <c r="AC32" s="58">
        <f t="shared" ca="1" si="54"/>
        <v>3058259.869736678</v>
      </c>
      <c r="AD32" s="58">
        <f t="shared" ca="1" si="54"/>
        <v>8857496.9813408218</v>
      </c>
      <c r="AE32" s="58">
        <f t="shared" ca="1" si="54"/>
        <v>1070949.331017541</v>
      </c>
      <c r="AF32" s="58">
        <f t="shared" ca="1" si="54"/>
        <v>10746170.433675746</v>
      </c>
      <c r="AG32" s="58">
        <f t="shared" ca="1" si="54"/>
        <v>20226781.698657516</v>
      </c>
      <c r="AH32" s="16"/>
      <c r="AI32" s="16">
        <f ca="1">+SUM(AJ32:AR32)</f>
        <v>7301354.9999999991</v>
      </c>
      <c r="AJ32" s="58">
        <f t="shared" ref="AJ32:AR32" ca="1" si="55">+SUM(AJ28:AJ31)</f>
        <v>1511057.2787364963</v>
      </c>
      <c r="AK32" s="58">
        <f t="shared" ca="1" si="55"/>
        <v>2266579.3641908537</v>
      </c>
      <c r="AL32" s="58">
        <f t="shared" ca="1" si="55"/>
        <v>784654.23269706336</v>
      </c>
      <c r="AM32" s="58">
        <f t="shared" ca="1" si="55"/>
        <v>0</v>
      </c>
      <c r="AN32" s="58">
        <f t="shared" ca="1" si="55"/>
        <v>0</v>
      </c>
      <c r="AO32" s="58">
        <f t="shared" ca="1" si="55"/>
        <v>2048098.0907413971</v>
      </c>
      <c r="AP32" s="58">
        <f t="shared" ca="1" si="55"/>
        <v>0</v>
      </c>
      <c r="AQ32" s="58">
        <f t="shared" ca="1" si="55"/>
        <v>690966.03363418882</v>
      </c>
      <c r="AR32" s="58">
        <f t="shared" ca="1" si="55"/>
        <v>0</v>
      </c>
      <c r="AS32" s="21"/>
      <c r="AT32" s="16">
        <f ca="1">+SUM(AU32:BC32)</f>
        <v>2326214.9999999995</v>
      </c>
      <c r="AU32" s="58">
        <f t="shared" ref="AU32:BC32" ca="1" si="56">+SUM(AU28:AU31)</f>
        <v>780792.77063557378</v>
      </c>
      <c r="AV32" s="58">
        <f t="shared" ca="1" si="56"/>
        <v>1170833.8949519889</v>
      </c>
      <c r="AW32" s="58">
        <f t="shared" ca="1" si="56"/>
        <v>93720.830397805214</v>
      </c>
      <c r="AX32" s="58">
        <f t="shared" ca="1" si="56"/>
        <v>0</v>
      </c>
      <c r="AY32" s="58">
        <f t="shared" ca="1" si="56"/>
        <v>0</v>
      </c>
      <c r="AZ32" s="58">
        <f t="shared" ca="1" si="56"/>
        <v>0</v>
      </c>
      <c r="BA32" s="58">
        <f t="shared" ca="1" si="56"/>
        <v>0</v>
      </c>
      <c r="BB32" s="58">
        <f t="shared" ca="1" si="56"/>
        <v>280867.50401463185</v>
      </c>
      <c r="BC32" s="58">
        <f t="shared" ca="1" si="56"/>
        <v>0</v>
      </c>
    </row>
    <row r="33" spans="1:55">
      <c r="A33" s="21"/>
      <c r="B33" s="15"/>
      <c r="C33" s="15"/>
      <c r="D33" s="15"/>
      <c r="E33" s="15"/>
      <c r="F33" s="15"/>
      <c r="G33" s="15"/>
      <c r="H33" s="19"/>
      <c r="I33" s="15"/>
      <c r="J33" s="19"/>
      <c r="K33" s="21"/>
      <c r="M33" s="15"/>
      <c r="N33" s="15"/>
      <c r="O33" s="15"/>
      <c r="P33" s="15"/>
      <c r="Q33" s="15"/>
      <c r="R33" s="15"/>
      <c r="S33" s="15"/>
      <c r="T33" s="15"/>
      <c r="U33" s="15"/>
      <c r="V33" s="21"/>
      <c r="W33" s="21"/>
      <c r="X33" s="21"/>
      <c r="Y33" s="15"/>
      <c r="Z33" s="15"/>
      <c r="AA33" s="15"/>
      <c r="AB33" s="15"/>
      <c r="AC33" s="15"/>
      <c r="AD33" s="15"/>
      <c r="AE33" s="15"/>
      <c r="AF33" s="15"/>
      <c r="AG33" s="15"/>
      <c r="AH33" s="21"/>
      <c r="AI33" s="21"/>
      <c r="AJ33" s="15"/>
      <c r="AK33" s="15"/>
      <c r="AL33" s="15"/>
      <c r="AM33" s="15"/>
      <c r="AN33" s="15"/>
      <c r="AO33" s="15"/>
      <c r="AP33" s="15"/>
      <c r="AQ33" s="15"/>
      <c r="AR33" s="15"/>
      <c r="AS33" s="21"/>
      <c r="AT33" s="21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32.25" customHeight="1">
      <c r="B34" s="440" t="s">
        <v>276</v>
      </c>
      <c r="C34" s="441"/>
      <c r="D34" s="441" t="s">
        <v>330</v>
      </c>
      <c r="E34" s="441"/>
      <c r="F34" s="441"/>
      <c r="G34" s="440" t="s">
        <v>210</v>
      </c>
      <c r="H34" s="442" t="str">
        <f>+H$23</f>
        <v>I</v>
      </c>
      <c r="I34" s="442" t="str">
        <f t="shared" ref="I34:J34" si="57">+I$23</f>
        <v>II</v>
      </c>
      <c r="J34" s="442" t="str">
        <f t="shared" si="57"/>
        <v>III</v>
      </c>
      <c r="K34" s="21"/>
      <c r="M34" s="532" t="str">
        <f t="shared" ref="M34:U34" ca="1" si="58">+M$23</f>
        <v>Affordable Residential</v>
      </c>
      <c r="N34" s="532" t="str">
        <f t="shared" ca="1" si="58"/>
        <v>Market Rate Residential</v>
      </c>
      <c r="O34" s="532" t="str">
        <f t="shared" ca="1" si="58"/>
        <v>Retail</v>
      </c>
      <c r="P34" s="532" t="str">
        <f t="shared" ca="1" si="58"/>
        <v>Hotel</v>
      </c>
      <c r="Q34" s="532" t="str">
        <f t="shared" ca="1" si="58"/>
        <v>Museum</v>
      </c>
      <c r="R34" s="532" t="str">
        <f t="shared" ca="1" si="58"/>
        <v>Office</v>
      </c>
      <c r="S34" s="532" t="str">
        <f t="shared" ca="1" si="58"/>
        <v>Light Industrial/Flex</v>
      </c>
      <c r="T34" s="532" t="str">
        <f t="shared" ca="1" si="58"/>
        <v>Structural Parking</v>
      </c>
      <c r="U34" s="532" t="str">
        <f t="shared" ca="1" si="58"/>
        <v>Surface Parking</v>
      </c>
      <c r="V34" s="21"/>
      <c r="W34" s="21"/>
      <c r="X34" s="21"/>
      <c r="Y34" s="532" t="str">
        <f t="shared" ref="Y34:AG34" ca="1" si="59">+Y$23</f>
        <v>Affordable Residential</v>
      </c>
      <c r="Z34" s="532" t="str">
        <f t="shared" ca="1" si="59"/>
        <v>Market Rate Residential</v>
      </c>
      <c r="AA34" s="532" t="str">
        <f t="shared" ca="1" si="59"/>
        <v>Retail</v>
      </c>
      <c r="AB34" s="532" t="str">
        <f t="shared" ca="1" si="59"/>
        <v>Hotel</v>
      </c>
      <c r="AC34" s="532" t="str">
        <f t="shared" ca="1" si="59"/>
        <v>Museum</v>
      </c>
      <c r="AD34" s="532" t="str">
        <f t="shared" ca="1" si="59"/>
        <v>Office</v>
      </c>
      <c r="AE34" s="532" t="str">
        <f t="shared" ca="1" si="59"/>
        <v>Light Industrial/Flex</v>
      </c>
      <c r="AF34" s="532" t="str">
        <f t="shared" ca="1" si="59"/>
        <v>Structural Parking</v>
      </c>
      <c r="AG34" s="532" t="str">
        <f t="shared" ca="1" si="59"/>
        <v>Surface Parking</v>
      </c>
      <c r="AH34" s="21"/>
      <c r="AI34" s="21"/>
      <c r="AJ34" s="532" t="str">
        <f t="shared" ref="AJ34:AR34" ca="1" si="60">+AJ$23</f>
        <v>Affordable Residential</v>
      </c>
      <c r="AK34" s="532" t="str">
        <f t="shared" ca="1" si="60"/>
        <v>Market Rate Residential</v>
      </c>
      <c r="AL34" s="532" t="str">
        <f t="shared" ca="1" si="60"/>
        <v>Retail</v>
      </c>
      <c r="AM34" s="532" t="str">
        <f t="shared" ca="1" si="60"/>
        <v>Hotel</v>
      </c>
      <c r="AN34" s="532" t="str">
        <f t="shared" ca="1" si="60"/>
        <v>Museum</v>
      </c>
      <c r="AO34" s="532" t="str">
        <f t="shared" ca="1" si="60"/>
        <v>Office</v>
      </c>
      <c r="AP34" s="532" t="str">
        <f t="shared" ca="1" si="60"/>
        <v>Light Industrial/Flex</v>
      </c>
      <c r="AQ34" s="532" t="str">
        <f t="shared" ca="1" si="60"/>
        <v>Structural Parking</v>
      </c>
      <c r="AR34" s="532" t="str">
        <f t="shared" ca="1" si="60"/>
        <v>Surface Parking</v>
      </c>
      <c r="AS34" s="21"/>
      <c r="AT34" s="21"/>
      <c r="AU34" s="532" t="str">
        <f t="shared" ref="AU34:BC34" ca="1" si="61">+AU$23</f>
        <v>Affordable Residential</v>
      </c>
      <c r="AV34" s="532" t="str">
        <f t="shared" ca="1" si="61"/>
        <v>Market Rate Residential</v>
      </c>
      <c r="AW34" s="532" t="str">
        <f t="shared" ca="1" si="61"/>
        <v>Retail</v>
      </c>
      <c r="AX34" s="532" t="str">
        <f t="shared" ca="1" si="61"/>
        <v>Hotel</v>
      </c>
      <c r="AY34" s="532" t="str">
        <f t="shared" ca="1" si="61"/>
        <v>Museum</v>
      </c>
      <c r="AZ34" s="532" t="str">
        <f t="shared" ca="1" si="61"/>
        <v>Office</v>
      </c>
      <c r="BA34" s="532" t="str">
        <f t="shared" ca="1" si="61"/>
        <v>Light Industrial/Flex</v>
      </c>
      <c r="BB34" s="532" t="str">
        <f t="shared" ca="1" si="61"/>
        <v>Structural Parking</v>
      </c>
      <c r="BC34" s="532" t="str">
        <f t="shared" ca="1" si="61"/>
        <v>Surface Parking</v>
      </c>
    </row>
    <row r="35" spans="1:55">
      <c r="B35" s="15" t="s">
        <v>331</v>
      </c>
      <c r="C35" s="15"/>
      <c r="D35" s="20"/>
      <c r="E35" s="15"/>
      <c r="F35" s="47">
        <f t="shared" ref="F35:F46" ca="1" si="62">+G35/$G$10</f>
        <v>0.52610201783911437</v>
      </c>
      <c r="G35" s="23">
        <f>H35</f>
        <v>2687323.32</v>
      </c>
      <c r="H35" s="16">
        <f>Demolition!J39</f>
        <v>2687323.32</v>
      </c>
      <c r="I35" s="16">
        <f>0</f>
        <v>0</v>
      </c>
      <c r="J35" s="16">
        <v>0</v>
      </c>
      <c r="K35" s="21"/>
      <c r="M35" s="19">
        <f t="shared" ref="M35:U35" ca="1" si="63">+$H35*M$5+$I35*M$6+$J35*M$7</f>
        <v>267080.90898152435</v>
      </c>
      <c r="N35" s="19">
        <f t="shared" ca="1" si="63"/>
        <v>400620.79259873199</v>
      </c>
      <c r="O35" s="19">
        <f t="shared" ca="1" si="63"/>
        <v>170129.45321973032</v>
      </c>
      <c r="P35" s="19">
        <f t="shared" ca="1" si="63"/>
        <v>78717.75443086485</v>
      </c>
      <c r="Q35" s="19">
        <f t="shared" ca="1" si="63"/>
        <v>123192.22956822763</v>
      </c>
      <c r="R35" s="19">
        <f t="shared" ca="1" si="63"/>
        <v>356795.97156639735</v>
      </c>
      <c r="S35" s="19">
        <f t="shared" ca="1" si="63"/>
        <v>43139.772766927221</v>
      </c>
      <c r="T35" s="19">
        <f t="shared" ca="1" si="63"/>
        <v>432875.14842833427</v>
      </c>
      <c r="U35" s="19">
        <f t="shared" ca="1" si="63"/>
        <v>814771.28843926184</v>
      </c>
      <c r="V35" s="21"/>
      <c r="W35" s="21"/>
      <c r="X35" s="21"/>
      <c r="Y35" s="19">
        <f t="shared" ref="Y35:AG35" ca="1" si="64">+$H35*Y$5+$I35*Y$6+$J35*Y$7</f>
        <v>267080.90898152435</v>
      </c>
      <c r="Z35" s="19">
        <f t="shared" ca="1" si="64"/>
        <v>400620.79259873199</v>
      </c>
      <c r="AA35" s="19">
        <f t="shared" ca="1" si="64"/>
        <v>170129.45321973032</v>
      </c>
      <c r="AB35" s="19">
        <f t="shared" ca="1" si="64"/>
        <v>78717.75443086485</v>
      </c>
      <c r="AC35" s="19">
        <f t="shared" ca="1" si="64"/>
        <v>123192.22956822763</v>
      </c>
      <c r="AD35" s="19">
        <f t="shared" ca="1" si="64"/>
        <v>356795.97156639735</v>
      </c>
      <c r="AE35" s="19">
        <f t="shared" ca="1" si="64"/>
        <v>43139.772766927221</v>
      </c>
      <c r="AF35" s="19">
        <f t="shared" ca="1" si="64"/>
        <v>432875.14842833427</v>
      </c>
      <c r="AG35" s="19">
        <f t="shared" ca="1" si="64"/>
        <v>814771.28843926184</v>
      </c>
      <c r="AH35" s="21"/>
      <c r="AI35" s="21"/>
      <c r="AJ35" s="19">
        <f t="shared" ref="AJ35:AR35" ca="1" si="65">+$H35*AJ$5+$I35*AJ$6+$J35*AJ$7</f>
        <v>0</v>
      </c>
      <c r="AK35" s="19">
        <f t="shared" ca="1" si="65"/>
        <v>0</v>
      </c>
      <c r="AL35" s="19">
        <f t="shared" ca="1" si="65"/>
        <v>0</v>
      </c>
      <c r="AM35" s="19">
        <f t="shared" ca="1" si="65"/>
        <v>0</v>
      </c>
      <c r="AN35" s="19">
        <f t="shared" ca="1" si="65"/>
        <v>0</v>
      </c>
      <c r="AO35" s="19">
        <f t="shared" ca="1" si="65"/>
        <v>0</v>
      </c>
      <c r="AP35" s="19">
        <f t="shared" ca="1" si="65"/>
        <v>0</v>
      </c>
      <c r="AQ35" s="19">
        <f t="shared" ca="1" si="65"/>
        <v>0</v>
      </c>
      <c r="AR35" s="19">
        <f t="shared" ca="1" si="65"/>
        <v>0</v>
      </c>
      <c r="AS35" s="21"/>
      <c r="AT35" s="21"/>
      <c r="AU35" s="19">
        <f t="shared" ref="AU35:BC35" ca="1" si="66">+$H35*AU$5+$I35*AU$6+$J35*AU$7</f>
        <v>0</v>
      </c>
      <c r="AV35" s="19">
        <f t="shared" ca="1" si="66"/>
        <v>0</v>
      </c>
      <c r="AW35" s="19">
        <f t="shared" ca="1" si="66"/>
        <v>0</v>
      </c>
      <c r="AX35" s="19">
        <f t="shared" ca="1" si="66"/>
        <v>0</v>
      </c>
      <c r="AY35" s="19">
        <f t="shared" ca="1" si="66"/>
        <v>0</v>
      </c>
      <c r="AZ35" s="19">
        <f t="shared" ca="1" si="66"/>
        <v>0</v>
      </c>
      <c r="BA35" s="19">
        <f t="shared" ca="1" si="66"/>
        <v>0</v>
      </c>
      <c r="BB35" s="19">
        <f t="shared" ca="1" si="66"/>
        <v>0</v>
      </c>
      <c r="BC35" s="19">
        <f t="shared" ca="1" si="66"/>
        <v>0</v>
      </c>
    </row>
    <row r="36" spans="1:55">
      <c r="B36" s="32" t="s">
        <v>25</v>
      </c>
      <c r="C36" s="15"/>
      <c r="D36" s="16">
        <v>198.15</v>
      </c>
      <c r="E36" s="21"/>
      <c r="F36" s="47">
        <f t="shared" ca="1" si="62"/>
        <v>40.861316495884161</v>
      </c>
      <c r="G36" s="23">
        <f ca="1">+SUM(H36:J36)</f>
        <v>208719155.18649483</v>
      </c>
      <c r="H36" s="16">
        <f t="shared" ref="H36:H44" ca="1" si="67">+$D36*H12</f>
        <v>46351842.450000003</v>
      </c>
      <c r="I36" s="16">
        <f ca="1">+$D36*I12*(1+Assumptions!O$85)^Assumptions!O$86</f>
        <v>46598769.054000005</v>
      </c>
      <c r="J36" s="16">
        <f ca="1">+$D36*J12*(1+Assumptions!P$85)^Assumptions!P$86</f>
        <v>115768543.6824948</v>
      </c>
      <c r="K36" s="16"/>
      <c r="L36" s="16"/>
      <c r="M36" s="16">
        <f ca="1">+$G$36</f>
        <v>208719155.18649483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21"/>
      <c r="W36" s="21"/>
      <c r="X36" s="16"/>
      <c r="Y36" s="16">
        <f ca="1">+$H$36</f>
        <v>46351842.450000003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21"/>
      <c r="AI36" s="16"/>
      <c r="AJ36" s="16">
        <f ca="1">+$I$36</f>
        <v>46598769.054000005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21"/>
      <c r="AT36" s="16"/>
      <c r="AU36" s="16">
        <f ca="1">+$J$36</f>
        <v>115768543.6824948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</row>
    <row r="37" spans="1:55">
      <c r="B37" s="32" t="s">
        <v>27</v>
      </c>
      <c r="C37" s="15"/>
      <c r="D37" s="16">
        <v>198.15</v>
      </c>
      <c r="E37" s="21"/>
      <c r="F37" s="47">
        <f t="shared" ca="1" si="62"/>
        <v>61.281603554991925</v>
      </c>
      <c r="G37" s="23">
        <f t="shared" ref="G37:G45" ca="1" si="68">+SUM(H37:J37)</f>
        <v>313025756.86125964</v>
      </c>
      <c r="H37" s="16">
        <f t="shared" ca="1" si="67"/>
        <v>69527664.600000009</v>
      </c>
      <c r="I37" s="16">
        <f ca="1">+$D37*I13*(1+Assumptions!O$85)^Assumptions!O$86</f>
        <v>69897951.46800001</v>
      </c>
      <c r="J37" s="16">
        <f ca="1">+$D37*J13*(1+Assumptions!P$85)^Assumptions!P$86</f>
        <v>173600140.79325962</v>
      </c>
      <c r="K37" s="16"/>
      <c r="L37" s="16"/>
      <c r="M37" s="16">
        <v>0</v>
      </c>
      <c r="N37" s="16">
        <f ca="1">+$G$37</f>
        <v>313025756.86125964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21"/>
      <c r="W37" s="21"/>
      <c r="X37" s="16"/>
      <c r="Y37" s="16">
        <v>0</v>
      </c>
      <c r="Z37" s="16">
        <f ca="1">+$H$37</f>
        <v>69527664.600000009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21"/>
      <c r="AI37" s="16"/>
      <c r="AJ37" s="16">
        <v>0</v>
      </c>
      <c r="AK37" s="16">
        <f ca="1">+$I$37</f>
        <v>69897951.46800001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21"/>
      <c r="AT37" s="16"/>
      <c r="AU37" s="16">
        <v>0</v>
      </c>
      <c r="AV37" s="16">
        <f ca="1">+$J$37</f>
        <v>173600140.79325962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</row>
    <row r="38" spans="1:55">
      <c r="B38" s="32" t="s">
        <v>29</v>
      </c>
      <c r="C38" s="15"/>
      <c r="D38" s="16">
        <v>165</v>
      </c>
      <c r="E38" s="21"/>
      <c r="F38" s="47">
        <f t="shared" ca="1" si="62"/>
        <v>11.02331355116074</v>
      </c>
      <c r="G38" s="23">
        <f t="shared" ca="1" si="68"/>
        <v>56306964.362879999</v>
      </c>
      <c r="H38" s="16">
        <f t="shared" ca="1" si="67"/>
        <v>24586320</v>
      </c>
      <c r="I38" s="16">
        <f ca="1">+$D38*I14*(1+Assumptions!O$85)^Assumptions!O$86</f>
        <v>20149380.899999999</v>
      </c>
      <c r="J38" s="16">
        <f ca="1">+$D38*J14*(1+Assumptions!P$85)^Assumptions!P$86</f>
        <v>11571263.462879999</v>
      </c>
      <c r="K38" s="16"/>
      <c r="L38" s="16"/>
      <c r="M38" s="16">
        <v>0</v>
      </c>
      <c r="N38" s="16">
        <v>0</v>
      </c>
      <c r="O38" s="16">
        <f ca="1">+$G$38</f>
        <v>56306964.362879999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21"/>
      <c r="W38" s="21"/>
      <c r="X38" s="16"/>
      <c r="Y38" s="16">
        <v>0</v>
      </c>
      <c r="Z38" s="16">
        <v>0</v>
      </c>
      <c r="AA38" s="16">
        <f ca="1">+$H$38</f>
        <v>24586320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21"/>
      <c r="AI38" s="16"/>
      <c r="AJ38" s="16">
        <v>0</v>
      </c>
      <c r="AK38" s="16">
        <v>0</v>
      </c>
      <c r="AL38" s="16">
        <f ca="1">+$I$38</f>
        <v>20149380.899999999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21"/>
      <c r="AT38" s="16"/>
      <c r="AU38" s="16">
        <v>0</v>
      </c>
      <c r="AV38" s="16">
        <v>0</v>
      </c>
      <c r="AW38" s="16">
        <f ca="1">+$J$38</f>
        <v>11571263.462879999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</row>
    <row r="39" spans="1:55">
      <c r="B39" s="32" t="s">
        <v>31</v>
      </c>
      <c r="C39" s="15"/>
      <c r="D39" s="16">
        <v>175</v>
      </c>
      <c r="E39" s="21"/>
      <c r="F39" s="47">
        <f t="shared" ca="1" si="62"/>
        <v>2.362059706863112</v>
      </c>
      <c r="G39" s="23">
        <f t="shared" ca="1" si="68"/>
        <v>12065375</v>
      </c>
      <c r="H39" s="16">
        <f t="shared" ca="1" si="67"/>
        <v>12065375</v>
      </c>
      <c r="I39" s="16">
        <f ca="1">+$D39*I15*(1+Assumptions!O$85)^Assumptions!O$86</f>
        <v>0</v>
      </c>
      <c r="J39" s="16">
        <f ca="1">+$D39*J15*(1+Assumptions!P$85)^Assumptions!P$86</f>
        <v>0</v>
      </c>
      <c r="K39" s="16"/>
      <c r="L39" s="16"/>
      <c r="M39" s="16">
        <v>0</v>
      </c>
      <c r="N39" s="16">
        <v>0</v>
      </c>
      <c r="O39" s="16">
        <v>0</v>
      </c>
      <c r="P39" s="16">
        <f ca="1">+$G$39</f>
        <v>12065375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21"/>
      <c r="W39" s="21"/>
      <c r="X39" s="16"/>
      <c r="Y39" s="16">
        <v>0</v>
      </c>
      <c r="Z39" s="16">
        <v>0</v>
      </c>
      <c r="AA39" s="16">
        <v>0</v>
      </c>
      <c r="AB39" s="16">
        <f ca="1">+$H$39</f>
        <v>12065375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21"/>
      <c r="AI39" s="16"/>
      <c r="AJ39" s="16">
        <v>0</v>
      </c>
      <c r="AK39" s="16">
        <v>0</v>
      </c>
      <c r="AL39" s="16">
        <v>0</v>
      </c>
      <c r="AM39" s="16">
        <f ca="1">+$I$39</f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21"/>
      <c r="AT39" s="16"/>
      <c r="AU39" s="16">
        <v>0</v>
      </c>
      <c r="AV39" s="16">
        <v>0</v>
      </c>
      <c r="AW39" s="16">
        <v>0</v>
      </c>
      <c r="AX39" s="16">
        <f ca="1">+$J$39</f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</row>
    <row r="40" spans="1:55">
      <c r="B40" s="734" t="s">
        <v>143</v>
      </c>
      <c r="C40" s="15"/>
      <c r="D40" s="16">
        <v>0</v>
      </c>
      <c r="E40" s="21"/>
      <c r="F40" s="47">
        <f t="shared" ca="1" si="62"/>
        <v>0</v>
      </c>
      <c r="G40" s="23">
        <f ca="1">+SUM(H40:J40)</f>
        <v>0</v>
      </c>
      <c r="H40" s="16">
        <f t="shared" ca="1" si="67"/>
        <v>0</v>
      </c>
      <c r="I40" s="16">
        <f ca="1">+$D40*I16*(1+Assumptions!O$85)^Assumptions!O$86</f>
        <v>0</v>
      </c>
      <c r="J40" s="16">
        <f ca="1">+$D40*J16*(1+Assumptions!P$85)^Assumptions!P$86</f>
        <v>0</v>
      </c>
      <c r="K40" s="16"/>
      <c r="L40" s="16"/>
      <c r="M40" s="16">
        <v>0</v>
      </c>
      <c r="N40" s="16">
        <v>0</v>
      </c>
      <c r="O40" s="16">
        <v>0</v>
      </c>
      <c r="P40" s="16">
        <v>0</v>
      </c>
      <c r="Q40" s="16">
        <f ca="1">+$G$40</f>
        <v>0</v>
      </c>
      <c r="R40" s="16">
        <v>0</v>
      </c>
      <c r="S40" s="16">
        <v>0</v>
      </c>
      <c r="T40" s="16">
        <v>0</v>
      </c>
      <c r="U40" s="16">
        <v>0</v>
      </c>
      <c r="V40" s="21"/>
      <c r="W40" s="21"/>
      <c r="X40" s="16"/>
      <c r="Y40" s="16">
        <v>0</v>
      </c>
      <c r="Z40" s="16">
        <v>0</v>
      </c>
      <c r="AA40" s="16">
        <v>0</v>
      </c>
      <c r="AB40" s="16">
        <v>0</v>
      </c>
      <c r="AC40" s="16">
        <f ca="1">+$H$40</f>
        <v>0</v>
      </c>
      <c r="AD40" s="16">
        <v>0</v>
      </c>
      <c r="AE40" s="16">
        <v>0</v>
      </c>
      <c r="AF40" s="16">
        <v>0</v>
      </c>
      <c r="AG40" s="16">
        <v>0</v>
      </c>
      <c r="AH40" s="21"/>
      <c r="AI40" s="16"/>
      <c r="AJ40" s="16">
        <v>0</v>
      </c>
      <c r="AK40" s="16">
        <v>0</v>
      </c>
      <c r="AL40" s="16">
        <v>0</v>
      </c>
      <c r="AM40" s="16">
        <v>0</v>
      </c>
      <c r="AN40" s="16">
        <f ca="1">+$I$40</f>
        <v>0</v>
      </c>
      <c r="AO40" s="16">
        <v>0</v>
      </c>
      <c r="AP40" s="16">
        <v>0</v>
      </c>
      <c r="AQ40" s="16">
        <v>0</v>
      </c>
      <c r="AR40" s="16">
        <v>0</v>
      </c>
      <c r="AS40" s="21"/>
      <c r="AT40" s="16"/>
      <c r="AU40" s="16">
        <v>0</v>
      </c>
      <c r="AV40" s="16">
        <v>0</v>
      </c>
      <c r="AW40" s="16">
        <v>0</v>
      </c>
      <c r="AX40" s="16">
        <v>0</v>
      </c>
      <c r="AY40" s="16">
        <f ca="1">+$J$40</f>
        <v>0</v>
      </c>
      <c r="AZ40" s="16">
        <v>0</v>
      </c>
      <c r="BA40" s="16">
        <v>0</v>
      </c>
      <c r="BB40" s="16">
        <v>0</v>
      </c>
      <c r="BC40" s="16">
        <v>0</v>
      </c>
    </row>
    <row r="41" spans="1:55">
      <c r="B41" s="32" t="s">
        <v>35</v>
      </c>
      <c r="C41" s="15"/>
      <c r="D41" s="16">
        <v>165.96</v>
      </c>
      <c r="E41" s="21"/>
      <c r="F41" s="47">
        <f t="shared" ca="1" si="62"/>
        <v>20.509490133984237</v>
      </c>
      <c r="G41" s="23">
        <f t="shared" ca="1" si="68"/>
        <v>104762250</v>
      </c>
      <c r="H41" s="16">
        <f t="shared" ca="1" si="67"/>
        <v>51862500</v>
      </c>
      <c r="I41" s="16">
        <f ca="1">+$D41*I17*(1+Assumptions!O$85)^Assumptions!O$86</f>
        <v>52899750</v>
      </c>
      <c r="J41" s="16">
        <f ca="1">+$D41*J17*(1+Assumptions!P$85)^Assumptions!P$86</f>
        <v>0</v>
      </c>
      <c r="K41" s="16"/>
      <c r="L41" s="16"/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f ca="1">+$G$41</f>
        <v>104762250</v>
      </c>
      <c r="S41" s="16">
        <v>0</v>
      </c>
      <c r="T41" s="16">
        <v>0</v>
      </c>
      <c r="U41" s="16">
        <v>0</v>
      </c>
      <c r="V41" s="21"/>
      <c r="W41" s="21"/>
      <c r="X41" s="16"/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f ca="1">+$H$41</f>
        <v>51862500</v>
      </c>
      <c r="AE41" s="16">
        <v>0</v>
      </c>
      <c r="AF41" s="16">
        <v>0</v>
      </c>
      <c r="AG41" s="16">
        <v>0</v>
      </c>
      <c r="AH41" s="21"/>
      <c r="AI41" s="16"/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f ca="1">+$I$41</f>
        <v>52899750</v>
      </c>
      <c r="AP41" s="16">
        <v>0</v>
      </c>
      <c r="AQ41" s="16">
        <v>0</v>
      </c>
      <c r="AR41" s="16">
        <v>0</v>
      </c>
      <c r="AS41" s="21"/>
      <c r="AT41" s="16"/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f ca="1">+$J$41</f>
        <v>0</v>
      </c>
      <c r="BA41" s="16">
        <v>0</v>
      </c>
      <c r="BB41" s="16">
        <v>0</v>
      </c>
      <c r="BC41" s="16">
        <v>0</v>
      </c>
    </row>
    <row r="42" spans="1:55" s="21" customFormat="1">
      <c r="B42" s="32" t="s">
        <v>332</v>
      </c>
      <c r="C42" s="15"/>
      <c r="D42" s="19">
        <v>110</v>
      </c>
      <c r="F42" s="47">
        <f t="shared" ref="F42" ca="1" si="69">+G42/$G$10</f>
        <v>0.81367442255650901</v>
      </c>
      <c r="G42" s="23">
        <f t="shared" ca="1" si="68"/>
        <v>4156240</v>
      </c>
      <c r="H42" s="16">
        <f t="shared" ca="1" si="67"/>
        <v>4156240</v>
      </c>
      <c r="I42" s="16">
        <f ca="1">+$D42*I18*(1+Assumptions!O$85)^Assumptions!O$86</f>
        <v>0</v>
      </c>
      <c r="J42" s="16">
        <f ca="1">+$D42*J18*(1+Assumptions!P$85)^Assumptions!P$86</f>
        <v>0</v>
      </c>
      <c r="K42" s="16"/>
      <c r="L42" s="16"/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f ca="1">+$G$42</f>
        <v>4156240</v>
      </c>
      <c r="T42" s="16">
        <v>0</v>
      </c>
      <c r="U42" s="16">
        <v>0</v>
      </c>
      <c r="X42" s="16"/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f ca="1">+$H$42</f>
        <v>4156240</v>
      </c>
      <c r="AF42" s="16">
        <v>0</v>
      </c>
      <c r="AG42" s="16">
        <v>0</v>
      </c>
      <c r="AI42" s="16"/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 ca="1">+$I$42</f>
        <v>0</v>
      </c>
      <c r="AQ42" s="16">
        <v>0</v>
      </c>
      <c r="AR42" s="16">
        <v>0</v>
      </c>
      <c r="AT42" s="16"/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f ca="1">+$J$42</f>
        <v>0</v>
      </c>
      <c r="BB42" s="16">
        <v>0</v>
      </c>
      <c r="BC42" s="16">
        <v>0</v>
      </c>
    </row>
    <row r="43" spans="1:55">
      <c r="B43" s="32" t="s">
        <v>39</v>
      </c>
      <c r="C43" s="15"/>
      <c r="D43" s="19">
        <v>50</v>
      </c>
      <c r="E43" s="21"/>
      <c r="F43" s="47">
        <f t="shared" ca="1" si="62"/>
        <v>6.8210448099242198</v>
      </c>
      <c r="G43" s="23">
        <f t="shared" ca="1" si="68"/>
        <v>34841821.857600003</v>
      </c>
      <c r="H43" s="16">
        <f t="shared" ca="1" si="67"/>
        <v>18956700</v>
      </c>
      <c r="I43" s="16">
        <f ca="1">+$D43*I19*(1+Assumptions!O$85)^Assumptions!O$86</f>
        <v>5376828</v>
      </c>
      <c r="J43" s="16">
        <f ca="1">+$D43*J19*(1+Assumptions!P$85)^Assumptions!P$86</f>
        <v>10508293.8576</v>
      </c>
      <c r="K43" s="16"/>
      <c r="L43" s="16"/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f ca="1">+$G$43</f>
        <v>34841821.857600003</v>
      </c>
      <c r="U43" s="16">
        <v>0</v>
      </c>
      <c r="V43" s="21"/>
      <c r="W43" s="21"/>
      <c r="X43" s="16"/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f ca="1">+$H$43</f>
        <v>18956700</v>
      </c>
      <c r="AG43" s="16">
        <v>0</v>
      </c>
      <c r="AH43" s="21"/>
      <c r="AI43" s="16"/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f ca="1">+$I$43</f>
        <v>5376828</v>
      </c>
      <c r="AR43" s="16">
        <v>0</v>
      </c>
      <c r="AS43" s="21"/>
      <c r="AT43" s="16"/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f ca="1">+$J$43</f>
        <v>10508293.8576</v>
      </c>
      <c r="BC43" s="16">
        <v>0</v>
      </c>
    </row>
    <row r="44" spans="1:55">
      <c r="B44" s="32" t="s">
        <v>41</v>
      </c>
      <c r="C44" s="15"/>
      <c r="D44" s="16">
        <v>10</v>
      </c>
      <c r="E44" s="21"/>
      <c r="F44" s="47">
        <f t="shared" ca="1" si="62"/>
        <v>1.397062523039889</v>
      </c>
      <c r="G44" s="23">
        <f t="shared" ca="1" si="68"/>
        <v>7136180</v>
      </c>
      <c r="H44" s="16">
        <f t="shared" ca="1" si="67"/>
        <v>7136180</v>
      </c>
      <c r="I44" s="16">
        <f ca="1">+$D44*I20*(1+Assumptions!O$85)^Assumptions!O$86</f>
        <v>0</v>
      </c>
      <c r="J44" s="16">
        <f ca="1">+$D44*J20*(1+Assumptions!P$85)^Assumptions!P$86</f>
        <v>0</v>
      </c>
      <c r="K44" s="21"/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f ca="1">+$G$44</f>
        <v>7136180</v>
      </c>
      <c r="V44" s="21"/>
      <c r="W44" s="21"/>
      <c r="X44" s="21"/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f ca="1">+$H$44</f>
        <v>7136180</v>
      </c>
      <c r="AH44" s="21"/>
      <c r="AI44" s="21"/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f ca="1">+$I$44</f>
        <v>0</v>
      </c>
      <c r="AS44" s="21"/>
      <c r="AT44" s="21"/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f ca="1">+$J$44</f>
        <v>0</v>
      </c>
    </row>
    <row r="45" spans="1:55" ht="18.5">
      <c r="B45" s="15" t="s">
        <v>333</v>
      </c>
      <c r="C45" s="15"/>
      <c r="D45" s="49">
        <v>0.05</v>
      </c>
      <c r="E45" s="21"/>
      <c r="F45" s="47">
        <f t="shared" ca="1" si="62"/>
        <v>7.2534782599202394</v>
      </c>
      <c r="G45" s="23">
        <f t="shared" ca="1" si="68"/>
        <v>37050687.163411722</v>
      </c>
      <c r="H45" s="16">
        <f t="shared" ref="H45:J45" ca="1" si="70">+SUM(H36:H44)*$D$45</f>
        <v>11732141.102500001</v>
      </c>
      <c r="I45" s="16">
        <f t="shared" ca="1" si="70"/>
        <v>9746133.9711000007</v>
      </c>
      <c r="J45" s="16">
        <f t="shared" ca="1" si="70"/>
        <v>15572412.089811722</v>
      </c>
      <c r="K45" s="21"/>
      <c r="M45" s="16">
        <f t="shared" ref="M45:N45" ca="1" si="71">+SUM(M36:M44)*$D$45</f>
        <v>10435957.759324742</v>
      </c>
      <c r="N45" s="16">
        <f t="shared" ca="1" si="71"/>
        <v>15651287.843062982</v>
      </c>
      <c r="O45" s="16">
        <f t="shared" ref="O45:U45" ca="1" si="72">+SUM(O36:O44)*$D$45</f>
        <v>2815348.218144</v>
      </c>
      <c r="P45" s="16">
        <f t="shared" ca="1" si="72"/>
        <v>603268.75</v>
      </c>
      <c r="Q45" s="16">
        <f t="shared" ca="1" si="72"/>
        <v>0</v>
      </c>
      <c r="R45" s="16">
        <f t="shared" ca="1" si="72"/>
        <v>5238112.5</v>
      </c>
      <c r="S45" s="16">
        <f t="shared" ca="1" si="72"/>
        <v>207812</v>
      </c>
      <c r="T45" s="16">
        <f t="shared" ca="1" si="72"/>
        <v>1742091.0928800004</v>
      </c>
      <c r="U45" s="16">
        <f t="shared" ca="1" si="72"/>
        <v>356809</v>
      </c>
      <c r="V45" s="21"/>
      <c r="W45" s="21"/>
      <c r="X45" s="21"/>
      <c r="Y45" s="16">
        <f t="shared" ref="Y45:Z45" ca="1" si="73">+SUM(Y36:Y44)*$D$45</f>
        <v>2317592.1225000001</v>
      </c>
      <c r="Z45" s="16">
        <f t="shared" ca="1" si="73"/>
        <v>3476383.2300000004</v>
      </c>
      <c r="AA45" s="16">
        <f t="shared" ref="AA45:AG45" ca="1" si="74">+SUM(AA36:AA44)*$D$45</f>
        <v>1229316</v>
      </c>
      <c r="AB45" s="16">
        <f t="shared" ca="1" si="74"/>
        <v>603268.75</v>
      </c>
      <c r="AC45" s="16">
        <f t="shared" ca="1" si="74"/>
        <v>0</v>
      </c>
      <c r="AD45" s="16">
        <f t="shared" ca="1" si="74"/>
        <v>2593125</v>
      </c>
      <c r="AE45" s="16">
        <f t="shared" ca="1" si="74"/>
        <v>207812</v>
      </c>
      <c r="AF45" s="16">
        <f t="shared" ca="1" si="74"/>
        <v>947835</v>
      </c>
      <c r="AG45" s="16">
        <f t="shared" ca="1" si="74"/>
        <v>356809</v>
      </c>
      <c r="AH45" s="21"/>
      <c r="AI45" s="21"/>
      <c r="AJ45" s="16">
        <f t="shared" ref="AJ45:AK45" ca="1" si="75">+SUM(AJ36:AJ44)*$D$45</f>
        <v>2329938.4527000003</v>
      </c>
      <c r="AK45" s="16">
        <f t="shared" ca="1" si="75"/>
        <v>3494897.5734000006</v>
      </c>
      <c r="AL45" s="16">
        <f t="shared" ref="AL45:AR45" ca="1" si="76">+SUM(AL36:AL44)*$D$45</f>
        <v>1007469.0449999999</v>
      </c>
      <c r="AM45" s="16">
        <f t="shared" ca="1" si="76"/>
        <v>0</v>
      </c>
      <c r="AN45" s="16">
        <f t="shared" ca="1" si="76"/>
        <v>0</v>
      </c>
      <c r="AO45" s="16">
        <f t="shared" ca="1" si="76"/>
        <v>2644987.5</v>
      </c>
      <c r="AP45" s="16">
        <f t="shared" ca="1" si="76"/>
        <v>0</v>
      </c>
      <c r="AQ45" s="16">
        <f t="shared" ca="1" si="76"/>
        <v>268841.40000000002</v>
      </c>
      <c r="AR45" s="16">
        <f t="shared" ca="1" si="76"/>
        <v>0</v>
      </c>
      <c r="AS45" s="21"/>
      <c r="AT45" s="21"/>
      <c r="AU45" s="16">
        <f t="shared" ref="AU45:AV45" ca="1" si="77">+SUM(AU36:AU44)*$D$45</f>
        <v>5788427.1841247408</v>
      </c>
      <c r="AV45" s="16">
        <f t="shared" ca="1" si="77"/>
        <v>8680007.0396629814</v>
      </c>
      <c r="AW45" s="16">
        <f t="shared" ref="AW45:BC45" ca="1" si="78">+SUM(AW36:AW44)*$D$45</f>
        <v>578563.173144</v>
      </c>
      <c r="AX45" s="16">
        <f t="shared" ca="1" si="78"/>
        <v>0</v>
      </c>
      <c r="AY45" s="16">
        <f t="shared" ca="1" si="78"/>
        <v>0</v>
      </c>
      <c r="AZ45" s="16">
        <f t="shared" ca="1" si="78"/>
        <v>0</v>
      </c>
      <c r="BA45" s="16">
        <f t="shared" ca="1" si="78"/>
        <v>0</v>
      </c>
      <c r="BB45" s="16">
        <f t="shared" ca="1" si="78"/>
        <v>525414.69287999999</v>
      </c>
      <c r="BC45" s="16">
        <f t="shared" ca="1" si="78"/>
        <v>0</v>
      </c>
    </row>
    <row r="46" spans="1:55">
      <c r="B46" s="17" t="s">
        <v>329</v>
      </c>
      <c r="C46" s="17"/>
      <c r="D46" s="17"/>
      <c r="E46" s="17"/>
      <c r="F46" s="48">
        <f t="shared" ca="1" si="62"/>
        <v>152.84914547616413</v>
      </c>
      <c r="G46" s="18">
        <f t="shared" ref="G46:J46" ca="1" si="79">+SUM(G35:G45)</f>
        <v>780751753.75164616</v>
      </c>
      <c r="H46" s="58">
        <f t="shared" ca="1" si="79"/>
        <v>249062286.4725</v>
      </c>
      <c r="I46" s="58">
        <f t="shared" ca="1" si="79"/>
        <v>204668813.39310002</v>
      </c>
      <c r="J46" s="58">
        <f t="shared" ca="1" si="79"/>
        <v>327020653.88604617</v>
      </c>
      <c r="K46" s="21"/>
      <c r="M46" s="58">
        <f t="shared" ref="M46:N46" ca="1" si="80">+SUM(M35:M45)</f>
        <v>219422193.85480109</v>
      </c>
      <c r="N46" s="58">
        <f t="shared" ca="1" si="80"/>
        <v>329077665.49692136</v>
      </c>
      <c r="O46" s="58">
        <f t="shared" ref="O46:U46" ca="1" si="81">+SUM(O35:O45)</f>
        <v>59292442.034243725</v>
      </c>
      <c r="P46" s="58">
        <f t="shared" ca="1" si="81"/>
        <v>12747361.504430864</v>
      </c>
      <c r="Q46" s="58">
        <f t="shared" ca="1" si="81"/>
        <v>123192.22956822763</v>
      </c>
      <c r="R46" s="58">
        <f t="shared" ca="1" si="81"/>
        <v>110357158.47156639</v>
      </c>
      <c r="S46" s="58">
        <f t="shared" ca="1" si="81"/>
        <v>4407191.7727669273</v>
      </c>
      <c r="T46" s="58">
        <f t="shared" ca="1" si="81"/>
        <v>37016788.098908342</v>
      </c>
      <c r="U46" s="58">
        <f t="shared" ca="1" si="81"/>
        <v>8307760.2884392617</v>
      </c>
      <c r="V46" s="21"/>
      <c r="W46" s="21"/>
      <c r="X46" s="16">
        <f ca="1">+SUM(Y46:AG46)</f>
        <v>249062286.47250003</v>
      </c>
      <c r="Y46" s="58">
        <f t="shared" ref="Y46:AG46" ca="1" si="82">+SUM(Y35:Y45)</f>
        <v>48936515.48148153</v>
      </c>
      <c r="Z46" s="58">
        <f t="shared" ca="1" si="82"/>
        <v>73404668.622598752</v>
      </c>
      <c r="AA46" s="58">
        <f t="shared" ca="1" si="82"/>
        <v>25985765.45321973</v>
      </c>
      <c r="AB46" s="58">
        <f t="shared" ca="1" si="82"/>
        <v>12747361.504430864</v>
      </c>
      <c r="AC46" s="58">
        <f t="shared" ca="1" si="82"/>
        <v>123192.22956822763</v>
      </c>
      <c r="AD46" s="58">
        <f t="shared" ca="1" si="82"/>
        <v>54812420.971566394</v>
      </c>
      <c r="AE46" s="58">
        <f t="shared" ca="1" si="82"/>
        <v>4407191.7727669273</v>
      </c>
      <c r="AF46" s="58">
        <f t="shared" ca="1" si="82"/>
        <v>20337410.148428336</v>
      </c>
      <c r="AG46" s="58">
        <f t="shared" ca="1" si="82"/>
        <v>8307760.2884392617</v>
      </c>
      <c r="AH46" s="16"/>
      <c r="AI46" s="16">
        <f ca="1">+SUM(AJ46:AR46)</f>
        <v>204668813.39310002</v>
      </c>
      <c r="AJ46" s="58">
        <f t="shared" ref="AJ46:AR46" ca="1" si="83">+SUM(AJ35:AJ45)</f>
        <v>48928707.506700009</v>
      </c>
      <c r="AK46" s="58">
        <f t="shared" ca="1" si="83"/>
        <v>73392849.041400015</v>
      </c>
      <c r="AL46" s="58">
        <f t="shared" ca="1" si="83"/>
        <v>21156849.945</v>
      </c>
      <c r="AM46" s="58">
        <f t="shared" ca="1" si="83"/>
        <v>0</v>
      </c>
      <c r="AN46" s="58">
        <f t="shared" ca="1" si="83"/>
        <v>0</v>
      </c>
      <c r="AO46" s="58">
        <f t="shared" ca="1" si="83"/>
        <v>55544737.5</v>
      </c>
      <c r="AP46" s="58">
        <f t="shared" ca="1" si="83"/>
        <v>0</v>
      </c>
      <c r="AQ46" s="58">
        <f t="shared" ca="1" si="83"/>
        <v>5645669.4000000004</v>
      </c>
      <c r="AR46" s="58">
        <f t="shared" ca="1" si="83"/>
        <v>0</v>
      </c>
      <c r="AS46" s="21"/>
      <c r="AT46" s="16">
        <f ca="1">+SUM(AU46:BC46)</f>
        <v>327020653.88604617</v>
      </c>
      <c r="AU46" s="58">
        <f t="shared" ref="AU46:BC46" ca="1" si="84">+SUM(AU35:AU45)</f>
        <v>121556970.86661954</v>
      </c>
      <c r="AV46" s="58">
        <f t="shared" ca="1" si="84"/>
        <v>182280147.83292261</v>
      </c>
      <c r="AW46" s="58">
        <f t="shared" ca="1" si="84"/>
        <v>12149826.636023998</v>
      </c>
      <c r="AX46" s="58">
        <f t="shared" ca="1" si="84"/>
        <v>0</v>
      </c>
      <c r="AY46" s="58">
        <f t="shared" ca="1" si="84"/>
        <v>0</v>
      </c>
      <c r="AZ46" s="58">
        <f t="shared" ca="1" si="84"/>
        <v>0</v>
      </c>
      <c r="BA46" s="58">
        <f t="shared" ca="1" si="84"/>
        <v>0</v>
      </c>
      <c r="BB46" s="58">
        <f t="shared" ca="1" si="84"/>
        <v>11033708.550480001</v>
      </c>
      <c r="BC46" s="58">
        <f t="shared" ca="1" si="84"/>
        <v>0</v>
      </c>
    </row>
    <row r="47" spans="1:55">
      <c r="B47" s="102" t="s">
        <v>334</v>
      </c>
      <c r="C47" s="102"/>
      <c r="D47" s="102"/>
      <c r="E47" s="102"/>
      <c r="F47" s="102"/>
      <c r="G47" s="102"/>
      <c r="H47" s="102"/>
      <c r="I47" s="102"/>
      <c r="J47" s="102"/>
      <c r="K47" s="21"/>
      <c r="M47" s="102"/>
      <c r="N47" s="102"/>
      <c r="O47" s="102"/>
      <c r="P47" s="102"/>
      <c r="Q47" s="102"/>
      <c r="R47" s="102"/>
      <c r="S47" s="102"/>
      <c r="T47" s="102"/>
      <c r="U47" s="102"/>
      <c r="V47" s="21"/>
      <c r="W47" s="21"/>
      <c r="X47" s="21"/>
      <c r="Y47" s="102"/>
      <c r="Z47" s="102"/>
      <c r="AA47" s="102"/>
      <c r="AB47" s="102"/>
      <c r="AC47" s="102"/>
      <c r="AD47" s="102"/>
      <c r="AE47" s="102"/>
      <c r="AF47" s="102"/>
      <c r="AG47" s="102"/>
      <c r="AH47" s="21"/>
      <c r="AI47" s="21"/>
      <c r="AJ47" s="102"/>
      <c r="AK47" s="102"/>
      <c r="AL47" s="102"/>
      <c r="AM47" s="102"/>
      <c r="AN47" s="102"/>
      <c r="AO47" s="102"/>
      <c r="AP47" s="102"/>
      <c r="AQ47" s="102"/>
      <c r="AR47" s="102"/>
      <c r="AS47" s="21"/>
      <c r="AT47" s="21"/>
      <c r="AU47" s="102"/>
      <c r="AV47" s="102"/>
      <c r="AW47" s="102"/>
      <c r="AX47" s="102"/>
      <c r="AY47" s="102"/>
      <c r="AZ47" s="102"/>
      <c r="BA47" s="102"/>
      <c r="BB47" s="102"/>
      <c r="BC47" s="102"/>
    </row>
    <row r="48" spans="1:55" s="21" customFormat="1">
      <c r="B48" s="15"/>
      <c r="C48" s="15"/>
      <c r="D48" s="15"/>
      <c r="E48" s="15"/>
      <c r="F48" s="15"/>
      <c r="G48" s="15"/>
      <c r="H48" s="15"/>
      <c r="I48" s="15"/>
      <c r="J48" s="15"/>
      <c r="M48" s="15"/>
      <c r="N48" s="15"/>
      <c r="O48" s="15"/>
      <c r="P48" s="15"/>
      <c r="Q48" s="15"/>
      <c r="R48" s="15"/>
      <c r="S48" s="15"/>
      <c r="T48" s="15"/>
      <c r="U48" s="15"/>
      <c r="Y48" s="15"/>
      <c r="Z48" s="15"/>
      <c r="AA48" s="15"/>
      <c r="AB48" s="15"/>
      <c r="AC48" s="15"/>
      <c r="AD48" s="15"/>
      <c r="AE48" s="15"/>
      <c r="AF48" s="15"/>
      <c r="AG48" s="15"/>
      <c r="AJ48" s="15"/>
      <c r="AK48" s="15"/>
      <c r="AL48" s="15"/>
      <c r="AM48" s="15"/>
      <c r="AN48" s="15"/>
      <c r="AO48" s="15"/>
      <c r="AP48" s="15"/>
      <c r="AQ48" s="15"/>
      <c r="AR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ht="32.25" customHeight="1">
      <c r="B49" s="440" t="s">
        <v>262</v>
      </c>
      <c r="C49" s="441"/>
      <c r="D49" s="441"/>
      <c r="E49" s="522" t="s">
        <v>335</v>
      </c>
      <c r="F49" s="441"/>
      <c r="G49" s="440" t="s">
        <v>210</v>
      </c>
      <c r="H49" s="442" t="str">
        <f>+H$23</f>
        <v>I</v>
      </c>
      <c r="I49" s="442" t="str">
        <f t="shared" ref="I49:J49" si="85">+I$23</f>
        <v>II</v>
      </c>
      <c r="J49" s="442" t="str">
        <f t="shared" si="85"/>
        <v>III</v>
      </c>
      <c r="K49" s="21"/>
      <c r="M49" s="532" t="str">
        <f t="shared" ref="M49:U49" ca="1" si="86">+M$23</f>
        <v>Affordable Residential</v>
      </c>
      <c r="N49" s="532" t="str">
        <f t="shared" ca="1" si="86"/>
        <v>Market Rate Residential</v>
      </c>
      <c r="O49" s="532" t="str">
        <f t="shared" ca="1" si="86"/>
        <v>Retail</v>
      </c>
      <c r="P49" s="532" t="str">
        <f t="shared" ca="1" si="86"/>
        <v>Hotel</v>
      </c>
      <c r="Q49" s="532" t="str">
        <f t="shared" ca="1" si="86"/>
        <v>Museum</v>
      </c>
      <c r="R49" s="532" t="str">
        <f t="shared" ca="1" si="86"/>
        <v>Office</v>
      </c>
      <c r="S49" s="532" t="str">
        <f t="shared" ca="1" si="86"/>
        <v>Light Industrial/Flex</v>
      </c>
      <c r="T49" s="532" t="str">
        <f t="shared" ca="1" si="86"/>
        <v>Structural Parking</v>
      </c>
      <c r="U49" s="532" t="str">
        <f t="shared" ca="1" si="86"/>
        <v>Surface Parking</v>
      </c>
      <c r="V49" s="21"/>
      <c r="W49" s="21"/>
      <c r="X49" s="21"/>
      <c r="Y49" s="532" t="str">
        <f t="shared" ref="Y49:AG49" ca="1" si="87">+Y$23</f>
        <v>Affordable Residential</v>
      </c>
      <c r="Z49" s="532" t="str">
        <f t="shared" ca="1" si="87"/>
        <v>Market Rate Residential</v>
      </c>
      <c r="AA49" s="532" t="str">
        <f t="shared" ca="1" si="87"/>
        <v>Retail</v>
      </c>
      <c r="AB49" s="532" t="str">
        <f t="shared" ca="1" si="87"/>
        <v>Hotel</v>
      </c>
      <c r="AC49" s="532" t="str">
        <f t="shared" ca="1" si="87"/>
        <v>Museum</v>
      </c>
      <c r="AD49" s="532" t="str">
        <f t="shared" ca="1" si="87"/>
        <v>Office</v>
      </c>
      <c r="AE49" s="532" t="str">
        <f t="shared" ca="1" si="87"/>
        <v>Light Industrial/Flex</v>
      </c>
      <c r="AF49" s="532" t="str">
        <f t="shared" ca="1" si="87"/>
        <v>Structural Parking</v>
      </c>
      <c r="AG49" s="532" t="str">
        <f t="shared" ca="1" si="87"/>
        <v>Surface Parking</v>
      </c>
      <c r="AH49" s="21"/>
      <c r="AI49" s="21"/>
      <c r="AJ49" s="532" t="str">
        <f t="shared" ref="AJ49:AR49" ca="1" si="88">+AJ$23</f>
        <v>Affordable Residential</v>
      </c>
      <c r="AK49" s="532" t="str">
        <f t="shared" ca="1" si="88"/>
        <v>Market Rate Residential</v>
      </c>
      <c r="AL49" s="532" t="str">
        <f t="shared" ca="1" si="88"/>
        <v>Retail</v>
      </c>
      <c r="AM49" s="532" t="str">
        <f t="shared" ca="1" si="88"/>
        <v>Hotel</v>
      </c>
      <c r="AN49" s="532" t="str">
        <f t="shared" ca="1" si="88"/>
        <v>Museum</v>
      </c>
      <c r="AO49" s="532" t="str">
        <f t="shared" ca="1" si="88"/>
        <v>Office</v>
      </c>
      <c r="AP49" s="532" t="str">
        <f t="shared" ca="1" si="88"/>
        <v>Light Industrial/Flex</v>
      </c>
      <c r="AQ49" s="532" t="str">
        <f t="shared" ca="1" si="88"/>
        <v>Structural Parking</v>
      </c>
      <c r="AR49" s="532" t="str">
        <f t="shared" ca="1" si="88"/>
        <v>Surface Parking</v>
      </c>
      <c r="AS49" s="21"/>
      <c r="AT49" s="21"/>
      <c r="AU49" s="532" t="str">
        <f t="shared" ref="AU49:BC49" ca="1" si="89">+AU$23</f>
        <v>Affordable Residential</v>
      </c>
      <c r="AV49" s="532" t="str">
        <f t="shared" ca="1" si="89"/>
        <v>Market Rate Residential</v>
      </c>
      <c r="AW49" s="532" t="str">
        <f t="shared" ca="1" si="89"/>
        <v>Retail</v>
      </c>
      <c r="AX49" s="532" t="str">
        <f t="shared" ca="1" si="89"/>
        <v>Hotel</v>
      </c>
      <c r="AY49" s="532" t="str">
        <f t="shared" ca="1" si="89"/>
        <v>Museum</v>
      </c>
      <c r="AZ49" s="532" t="str">
        <f t="shared" ca="1" si="89"/>
        <v>Office</v>
      </c>
      <c r="BA49" s="532" t="str">
        <f t="shared" ca="1" si="89"/>
        <v>Light Industrial/Flex</v>
      </c>
      <c r="BB49" s="532" t="str">
        <f t="shared" ca="1" si="89"/>
        <v>Structural Parking</v>
      </c>
      <c r="BC49" s="532" t="str">
        <f t="shared" ca="1" si="89"/>
        <v>Surface Parking</v>
      </c>
    </row>
    <row r="50" spans="1:55">
      <c r="A50" s="53"/>
      <c r="B50" s="15" t="s">
        <v>336</v>
      </c>
      <c r="C50" s="15"/>
      <c r="D50" s="53">
        <v>0.05</v>
      </c>
      <c r="E50" s="49">
        <v>0.7</v>
      </c>
      <c r="F50" s="826">
        <f t="shared" ref="F50:F63" ca="1" si="90">+G50/$G$10</f>
        <v>7.2534782599202403</v>
      </c>
      <c r="G50" s="26">
        <f ca="1">+D50*SUM(G36:G44)</f>
        <v>37050687.163411729</v>
      </c>
      <c r="H50" s="16">
        <f t="shared" ref="H50:J55" ca="1" si="91">+$G50*H$21</f>
        <v>17072468.259504709</v>
      </c>
      <c r="I50" s="16">
        <f t="shared" ca="1" si="91"/>
        <v>8080701.1880728444</v>
      </c>
      <c r="J50" s="16">
        <f t="shared" ca="1" si="91"/>
        <v>11897517.715834174</v>
      </c>
      <c r="K50" s="21"/>
      <c r="M50" s="19">
        <f t="shared" ref="M50:U64" ca="1" si="92">+$H50*M$5+$I50*M$6+$J50*M$7</f>
        <v>7362498.0381668415</v>
      </c>
      <c r="N50" s="19">
        <f t="shared" ca="1" si="92"/>
        <v>11041919.180728763</v>
      </c>
      <c r="O50" s="19">
        <f t="shared" ca="1" si="92"/>
        <v>2428573.3235951951</v>
      </c>
      <c r="P50" s="19">
        <f t="shared" ca="1" si="92"/>
        <v>500091.05863020098</v>
      </c>
      <c r="Q50" s="19">
        <f t="shared" ca="1" si="92"/>
        <v>782635.79728887405</v>
      </c>
      <c r="R50" s="19">
        <f t="shared" ca="1" si="92"/>
        <v>4533423.9124501506</v>
      </c>
      <c r="S50" s="19">
        <f t="shared" ca="1" si="92"/>
        <v>274065.42257282638</v>
      </c>
      <c r="T50" s="19">
        <f t="shared" ca="1" si="92"/>
        <v>4951267.7810911145</v>
      </c>
      <c r="U50" s="19">
        <f t="shared" ca="1" si="92"/>
        <v>5176212.6488877619</v>
      </c>
      <c r="V50" s="21"/>
      <c r="W50" s="21"/>
      <c r="X50" s="21"/>
      <c r="Y50" s="19">
        <f t="shared" ref="Y50:AG64" ca="1" si="93">+$H50*Y$5+$I50*Y$6+$J50*Y$7</f>
        <v>1696755.3949953222</v>
      </c>
      <c r="Z50" s="19">
        <f t="shared" ca="1" si="93"/>
        <v>2545129.4657538533</v>
      </c>
      <c r="AA50" s="19">
        <f t="shared" ca="1" si="93"/>
        <v>1080826.2885541951</v>
      </c>
      <c r="AB50" s="19">
        <f t="shared" ca="1" si="93"/>
        <v>500091.05863020098</v>
      </c>
      <c r="AC50" s="19">
        <f t="shared" ca="1" si="93"/>
        <v>782635.79728887405</v>
      </c>
      <c r="AD50" s="19">
        <f t="shared" ca="1" si="93"/>
        <v>2266711.9562250753</v>
      </c>
      <c r="AE50" s="19">
        <f t="shared" ca="1" si="93"/>
        <v>274065.42257282638</v>
      </c>
      <c r="AF50" s="19">
        <f t="shared" ca="1" si="93"/>
        <v>2750040.2265965999</v>
      </c>
      <c r="AG50" s="19">
        <f t="shared" ca="1" si="93"/>
        <v>5176212.6488877619</v>
      </c>
      <c r="AH50" s="21"/>
      <c r="AI50" s="21"/>
      <c r="AJ50" s="19">
        <f t="shared" ref="AJ50:AR64" ca="1" si="94">+$H50*AJ$5+$I50*AJ$6+$J50*AJ$7</f>
        <v>1672347.440650691</v>
      </c>
      <c r="AK50" s="19">
        <f t="shared" ca="1" si="94"/>
        <v>2508513.9074977762</v>
      </c>
      <c r="AL50" s="19">
        <f t="shared" ca="1" si="94"/>
        <v>868408.17771243094</v>
      </c>
      <c r="AM50" s="19">
        <f t="shared" ca="1" si="94"/>
        <v>0</v>
      </c>
      <c r="AN50" s="19">
        <f t="shared" ca="1" si="94"/>
        <v>0</v>
      </c>
      <c r="AO50" s="19">
        <f t="shared" ca="1" si="94"/>
        <v>2266711.9562250753</v>
      </c>
      <c r="AP50" s="19">
        <f t="shared" ca="1" si="94"/>
        <v>0</v>
      </c>
      <c r="AQ50" s="19">
        <f t="shared" ca="1" si="94"/>
        <v>764719.70598687115</v>
      </c>
      <c r="AR50" s="19">
        <f t="shared" ca="1" si="94"/>
        <v>0</v>
      </c>
      <c r="AS50" s="21"/>
      <c r="AT50" s="21"/>
      <c r="AU50" s="19">
        <f t="shared" ref="AU50:BC64" ca="1" si="95">+$H50*AU$5+$I50*AU$6+$J50*AU$7</f>
        <v>3993395.2025208282</v>
      </c>
      <c r="AV50" s="19">
        <f t="shared" ca="1" si="95"/>
        <v>5988275.8074771333</v>
      </c>
      <c r="AW50" s="19">
        <f t="shared" ca="1" si="95"/>
        <v>479338.85732856917</v>
      </c>
      <c r="AX50" s="19">
        <f t="shared" ca="1" si="95"/>
        <v>0</v>
      </c>
      <c r="AY50" s="19">
        <f t="shared" ca="1" si="95"/>
        <v>0</v>
      </c>
      <c r="AZ50" s="19">
        <f t="shared" ca="1" si="95"/>
        <v>0</v>
      </c>
      <c r="BA50" s="19">
        <f t="shared" ca="1" si="95"/>
        <v>0</v>
      </c>
      <c r="BB50" s="19">
        <f t="shared" ca="1" si="95"/>
        <v>1436507.8485076441</v>
      </c>
      <c r="BC50" s="19">
        <f t="shared" ca="1" si="95"/>
        <v>0</v>
      </c>
    </row>
    <row r="51" spans="1:55">
      <c r="A51" s="53"/>
      <c r="B51" s="15" t="s">
        <v>337</v>
      </c>
      <c r="C51" s="15"/>
      <c r="D51" s="21"/>
      <c r="E51" s="49">
        <v>0.75</v>
      </c>
      <c r="F51" s="826">
        <f t="shared" ca="1" si="90"/>
        <v>1.3760437692262026</v>
      </c>
      <c r="G51" s="26">
        <f ca="1">753+8.19*(G46+G32)/1000</f>
        <v>7028816.4367259815</v>
      </c>
      <c r="H51" s="16">
        <f t="shared" ca="1" si="91"/>
        <v>3238785.9633650975</v>
      </c>
      <c r="I51" s="16">
        <f t="shared" ca="1" si="91"/>
        <v>1532974.6808876051</v>
      </c>
      <c r="J51" s="16">
        <f t="shared" ca="1" si="91"/>
        <v>2257055.7924732789</v>
      </c>
      <c r="K51" s="21"/>
      <c r="M51" s="19">
        <f t="shared" ca="1" si="92"/>
        <v>1396725.7070776725</v>
      </c>
      <c r="N51" s="19">
        <f t="shared" ca="1" si="92"/>
        <v>2094741.7975866636</v>
      </c>
      <c r="O51" s="19">
        <f t="shared" ca="1" si="92"/>
        <v>460720.09459347103</v>
      </c>
      <c r="P51" s="19">
        <f t="shared" ca="1" si="92"/>
        <v>94871.337669300541</v>
      </c>
      <c r="Q51" s="19">
        <f t="shared" ca="1" si="92"/>
        <v>148472.3706119688</v>
      </c>
      <c r="R51" s="19">
        <f t="shared" ca="1" si="92"/>
        <v>860027.35576637671</v>
      </c>
      <c r="S51" s="19">
        <f t="shared" ca="1" si="92"/>
        <v>51992.437776442843</v>
      </c>
      <c r="T51" s="19">
        <f t="shared" ca="1" si="92"/>
        <v>939295.73313642119</v>
      </c>
      <c r="U51" s="19">
        <f t="shared" ca="1" si="92"/>
        <v>981969.60250766424</v>
      </c>
      <c r="V51" s="21"/>
      <c r="W51" s="21"/>
      <c r="X51" s="21"/>
      <c r="Y51" s="19">
        <f t="shared" ca="1" si="93"/>
        <v>321888.28662870097</v>
      </c>
      <c r="Z51" s="19">
        <f t="shared" ca="1" si="93"/>
        <v>482831.74192116683</v>
      </c>
      <c r="AA51" s="19">
        <f t="shared" ca="1" si="93"/>
        <v>205041.52996485797</v>
      </c>
      <c r="AB51" s="19">
        <f t="shared" ca="1" si="93"/>
        <v>94871.337669300541</v>
      </c>
      <c r="AC51" s="19">
        <f t="shared" ca="1" si="93"/>
        <v>148472.3706119688</v>
      </c>
      <c r="AD51" s="19">
        <f t="shared" ca="1" si="93"/>
        <v>430013.67788318836</v>
      </c>
      <c r="AE51" s="19">
        <f t="shared" ca="1" si="93"/>
        <v>51992.437776442843</v>
      </c>
      <c r="AF51" s="19">
        <f t="shared" ca="1" si="93"/>
        <v>521704.97840180702</v>
      </c>
      <c r="AG51" s="19">
        <f t="shared" ca="1" si="93"/>
        <v>981969.60250766424</v>
      </c>
      <c r="AH51" s="21"/>
      <c r="AI51" s="21"/>
      <c r="AJ51" s="19">
        <f t="shared" ca="1" si="94"/>
        <v>317257.89934525487</v>
      </c>
      <c r="AK51" s="19">
        <f t="shared" ca="1" si="94"/>
        <v>475885.47297411301</v>
      </c>
      <c r="AL51" s="19">
        <f t="shared" ca="1" si="94"/>
        <v>164744.08818306867</v>
      </c>
      <c r="AM51" s="19">
        <f t="shared" ca="1" si="94"/>
        <v>0</v>
      </c>
      <c r="AN51" s="19">
        <f t="shared" ca="1" si="94"/>
        <v>0</v>
      </c>
      <c r="AO51" s="19">
        <f t="shared" ca="1" si="94"/>
        <v>430013.67788318836</v>
      </c>
      <c r="AP51" s="19">
        <f t="shared" ca="1" si="94"/>
        <v>0</v>
      </c>
      <c r="AQ51" s="19">
        <f t="shared" ca="1" si="94"/>
        <v>145073.54250198009</v>
      </c>
      <c r="AR51" s="19">
        <f t="shared" ca="1" si="94"/>
        <v>0</v>
      </c>
      <c r="AS51" s="21"/>
      <c r="AT51" s="21"/>
      <c r="AU51" s="19">
        <f t="shared" ca="1" si="95"/>
        <v>757579.52110371669</v>
      </c>
      <c r="AV51" s="19">
        <f t="shared" ca="1" si="95"/>
        <v>1136024.5826913838</v>
      </c>
      <c r="AW51" s="19">
        <f t="shared" ca="1" si="95"/>
        <v>90934.47644554438</v>
      </c>
      <c r="AX51" s="19">
        <f t="shared" ca="1" si="95"/>
        <v>0</v>
      </c>
      <c r="AY51" s="19">
        <f t="shared" ca="1" si="95"/>
        <v>0</v>
      </c>
      <c r="AZ51" s="19">
        <f t="shared" ca="1" si="95"/>
        <v>0</v>
      </c>
      <c r="BA51" s="19">
        <f t="shared" ca="1" si="95"/>
        <v>0</v>
      </c>
      <c r="BB51" s="19">
        <f t="shared" ca="1" si="95"/>
        <v>272517.21223263408</v>
      </c>
      <c r="BC51" s="19">
        <f t="shared" ca="1" si="95"/>
        <v>0</v>
      </c>
    </row>
    <row r="52" spans="1:55">
      <c r="A52" s="21"/>
      <c r="B52" s="15" t="s">
        <v>338</v>
      </c>
      <c r="C52" s="15"/>
      <c r="D52" s="21"/>
      <c r="E52" s="49">
        <v>1</v>
      </c>
      <c r="F52" s="826">
        <f t="shared" ca="1" si="90"/>
        <v>5.8731528200236922E-2</v>
      </c>
      <c r="G52" s="26">
        <v>300000</v>
      </c>
      <c r="H52" s="16">
        <f t="shared" ca="1" si="91"/>
        <v>138236.04553572845</v>
      </c>
      <c r="I52" s="16">
        <f t="shared" ca="1" si="91"/>
        <v>65429.565333832943</v>
      </c>
      <c r="J52" s="16">
        <f t="shared" ca="1" si="91"/>
        <v>96334.38913043862</v>
      </c>
      <c r="K52" s="21"/>
      <c r="M52" s="19">
        <f t="shared" ca="1" si="92"/>
        <v>59614.263069086483</v>
      </c>
      <c r="N52" s="19">
        <f t="shared" ca="1" si="92"/>
        <v>89406.594258523255</v>
      </c>
      <c r="O52" s="19">
        <f t="shared" ca="1" si="92"/>
        <v>19664.196614362325</v>
      </c>
      <c r="P52" s="19">
        <f t="shared" ca="1" si="92"/>
        <v>4049.2452117653352</v>
      </c>
      <c r="Q52" s="19">
        <f t="shared" ca="1" si="92"/>
        <v>6337.0144297491634</v>
      </c>
      <c r="R52" s="19">
        <f t="shared" ca="1" si="92"/>
        <v>36707.205125148073</v>
      </c>
      <c r="S52" s="19">
        <f t="shared" ca="1" si="92"/>
        <v>2219.112061517752</v>
      </c>
      <c r="T52" s="19">
        <f t="shared" ca="1" si="92"/>
        <v>40090.493538650924</v>
      </c>
      <c r="U52" s="19">
        <f t="shared" ca="1" si="92"/>
        <v>41911.875691196678</v>
      </c>
      <c r="V52" s="21"/>
      <c r="W52" s="21"/>
      <c r="X52" s="21"/>
      <c r="Y52" s="19">
        <f t="shared" ca="1" si="93"/>
        <v>13738.655271184021</v>
      </c>
      <c r="Z52" s="19">
        <f t="shared" ca="1" si="93"/>
        <v>20607.953541011932</v>
      </c>
      <c r="AA52" s="19">
        <f t="shared" ca="1" si="93"/>
        <v>8751.4675540609023</v>
      </c>
      <c r="AB52" s="19">
        <f t="shared" ca="1" si="93"/>
        <v>4049.2452117653352</v>
      </c>
      <c r="AC52" s="19">
        <f t="shared" ca="1" si="93"/>
        <v>6337.0144297491634</v>
      </c>
      <c r="AD52" s="19">
        <f t="shared" ca="1" si="93"/>
        <v>18353.60256257404</v>
      </c>
      <c r="AE52" s="19">
        <f t="shared" ca="1" si="93"/>
        <v>2219.112061517752</v>
      </c>
      <c r="AF52" s="19">
        <f t="shared" ca="1" si="93"/>
        <v>22267.119212668626</v>
      </c>
      <c r="AG52" s="19">
        <f t="shared" ca="1" si="93"/>
        <v>41911.875691196678</v>
      </c>
      <c r="AH52" s="21"/>
      <c r="AI52" s="21"/>
      <c r="AJ52" s="19">
        <f t="shared" ca="1" si="94"/>
        <v>13541.023678790225</v>
      </c>
      <c r="AK52" s="19">
        <f t="shared" ca="1" si="94"/>
        <v>20311.476786657135</v>
      </c>
      <c r="AL52" s="19">
        <f t="shared" ca="1" si="94"/>
        <v>7031.514750716965</v>
      </c>
      <c r="AM52" s="19">
        <f t="shared" ca="1" si="94"/>
        <v>0</v>
      </c>
      <c r="AN52" s="19">
        <f t="shared" ca="1" si="94"/>
        <v>0</v>
      </c>
      <c r="AO52" s="19">
        <f t="shared" ca="1" si="94"/>
        <v>18353.602562574037</v>
      </c>
      <c r="AP52" s="19">
        <f t="shared" ca="1" si="94"/>
        <v>0</v>
      </c>
      <c r="AQ52" s="19">
        <f t="shared" ca="1" si="94"/>
        <v>6191.9475550945781</v>
      </c>
      <c r="AR52" s="19">
        <f t="shared" ca="1" si="94"/>
        <v>0</v>
      </c>
      <c r="AS52" s="21"/>
      <c r="AT52" s="21"/>
      <c r="AU52" s="19">
        <f t="shared" ca="1" si="95"/>
        <v>32334.584119112238</v>
      </c>
      <c r="AV52" s="19">
        <f t="shared" ca="1" si="95"/>
        <v>48487.1639308542</v>
      </c>
      <c r="AW52" s="19">
        <f t="shared" ca="1" si="95"/>
        <v>3881.2143095844572</v>
      </c>
      <c r="AX52" s="19">
        <f t="shared" ca="1" si="95"/>
        <v>0</v>
      </c>
      <c r="AY52" s="19">
        <f t="shared" ca="1" si="95"/>
        <v>0</v>
      </c>
      <c r="AZ52" s="19">
        <f t="shared" ca="1" si="95"/>
        <v>0</v>
      </c>
      <c r="BA52" s="19">
        <f t="shared" ca="1" si="95"/>
        <v>0</v>
      </c>
      <c r="BB52" s="19">
        <f t="shared" ca="1" si="95"/>
        <v>11631.426770887721</v>
      </c>
      <c r="BC52" s="19">
        <f t="shared" ca="1" si="95"/>
        <v>0</v>
      </c>
    </row>
    <row r="53" spans="1:55">
      <c r="A53" s="21"/>
      <c r="B53" s="15" t="s">
        <v>339</v>
      </c>
      <c r="C53" s="15"/>
      <c r="D53" s="21"/>
      <c r="E53" s="49">
        <v>0</v>
      </c>
      <c r="F53" s="826">
        <f t="shared" ca="1" si="90"/>
        <v>0.35238916920142155</v>
      </c>
      <c r="G53" s="26">
        <v>1800000</v>
      </c>
      <c r="H53" s="16">
        <f t="shared" ca="1" si="91"/>
        <v>829416.27321437059</v>
      </c>
      <c r="I53" s="16">
        <f t="shared" ca="1" si="91"/>
        <v>392577.39200299769</v>
      </c>
      <c r="J53" s="16">
        <f t="shared" ca="1" si="91"/>
        <v>578006.33478263172</v>
      </c>
      <c r="K53" s="21"/>
      <c r="M53" s="19">
        <f t="shared" ca="1" si="92"/>
        <v>357685.57841451891</v>
      </c>
      <c r="N53" s="19">
        <f t="shared" ca="1" si="92"/>
        <v>536439.56555113965</v>
      </c>
      <c r="O53" s="19">
        <f t="shared" ca="1" si="92"/>
        <v>117985.17968617394</v>
      </c>
      <c r="P53" s="19">
        <f t="shared" ca="1" si="92"/>
        <v>24295.471270592006</v>
      </c>
      <c r="Q53" s="19">
        <f t="shared" ca="1" si="92"/>
        <v>38022.086578494978</v>
      </c>
      <c r="R53" s="19">
        <f t="shared" ca="1" si="92"/>
        <v>220243.23075088847</v>
      </c>
      <c r="S53" s="19">
        <f t="shared" ca="1" si="92"/>
        <v>13314.672369106511</v>
      </c>
      <c r="T53" s="19">
        <f t="shared" ca="1" si="92"/>
        <v>240542.96123190556</v>
      </c>
      <c r="U53" s="19">
        <f t="shared" ca="1" si="92"/>
        <v>251471.25414718004</v>
      </c>
      <c r="V53" s="21"/>
      <c r="W53" s="21"/>
      <c r="X53" s="21"/>
      <c r="Y53" s="19">
        <f t="shared" ca="1" si="93"/>
        <v>82431.931627104117</v>
      </c>
      <c r="Z53" s="19">
        <f t="shared" ca="1" si="93"/>
        <v>123647.72124607158</v>
      </c>
      <c r="AA53" s="19">
        <f t="shared" ca="1" si="93"/>
        <v>52508.805324365414</v>
      </c>
      <c r="AB53" s="19">
        <f t="shared" ca="1" si="93"/>
        <v>24295.471270592006</v>
      </c>
      <c r="AC53" s="19">
        <f t="shared" ca="1" si="93"/>
        <v>38022.086578494978</v>
      </c>
      <c r="AD53" s="19">
        <f t="shared" ca="1" si="93"/>
        <v>110121.61537544423</v>
      </c>
      <c r="AE53" s="19">
        <f t="shared" ca="1" si="93"/>
        <v>13314.672369106511</v>
      </c>
      <c r="AF53" s="19">
        <f t="shared" ca="1" si="93"/>
        <v>133602.71527601173</v>
      </c>
      <c r="AG53" s="19">
        <f t="shared" ca="1" si="93"/>
        <v>251471.25414718004</v>
      </c>
      <c r="AH53" s="21"/>
      <c r="AI53" s="21"/>
      <c r="AJ53" s="19">
        <f t="shared" ca="1" si="94"/>
        <v>81246.142072741364</v>
      </c>
      <c r="AK53" s="19">
        <f t="shared" ca="1" si="94"/>
        <v>121868.86071994282</v>
      </c>
      <c r="AL53" s="19">
        <f t="shared" ca="1" si="94"/>
        <v>42189.088504301792</v>
      </c>
      <c r="AM53" s="19">
        <f t="shared" ca="1" si="94"/>
        <v>0</v>
      </c>
      <c r="AN53" s="19">
        <f t="shared" ca="1" si="94"/>
        <v>0</v>
      </c>
      <c r="AO53" s="19">
        <f t="shared" ca="1" si="94"/>
        <v>110121.61537544423</v>
      </c>
      <c r="AP53" s="19">
        <f t="shared" ca="1" si="94"/>
        <v>0</v>
      </c>
      <c r="AQ53" s="19">
        <f t="shared" ca="1" si="94"/>
        <v>37151.685330567474</v>
      </c>
      <c r="AR53" s="19">
        <f t="shared" ca="1" si="94"/>
        <v>0</v>
      </c>
      <c r="AS53" s="21"/>
      <c r="AT53" s="21"/>
      <c r="AU53" s="19">
        <f t="shared" ca="1" si="95"/>
        <v>194007.50471467344</v>
      </c>
      <c r="AV53" s="19">
        <f t="shared" ca="1" si="95"/>
        <v>290922.98358512524</v>
      </c>
      <c r="AW53" s="19">
        <f t="shared" ca="1" si="95"/>
        <v>23287.285857506744</v>
      </c>
      <c r="AX53" s="19">
        <f t="shared" ca="1" si="95"/>
        <v>0</v>
      </c>
      <c r="AY53" s="19">
        <f t="shared" ca="1" si="95"/>
        <v>0</v>
      </c>
      <c r="AZ53" s="19">
        <f t="shared" ca="1" si="95"/>
        <v>0</v>
      </c>
      <c r="BA53" s="19">
        <f t="shared" ca="1" si="95"/>
        <v>0</v>
      </c>
      <c r="BB53" s="19">
        <f t="shared" ca="1" si="95"/>
        <v>69788.56062532634</v>
      </c>
      <c r="BC53" s="19">
        <f t="shared" ca="1" si="95"/>
        <v>0</v>
      </c>
    </row>
    <row r="54" spans="1:55">
      <c r="A54" s="21"/>
      <c r="B54" s="15" t="s">
        <v>340</v>
      </c>
      <c r="C54" s="15"/>
      <c r="D54" s="21"/>
      <c r="E54" s="49">
        <v>0.5</v>
      </c>
      <c r="F54" s="826">
        <f t="shared" ca="1" si="90"/>
        <v>0.19577176066745641</v>
      </c>
      <c r="G54" s="26">
        <v>1000000</v>
      </c>
      <c r="H54" s="16">
        <f t="shared" ca="1" si="91"/>
        <v>460786.81845242815</v>
      </c>
      <c r="I54" s="16">
        <f t="shared" ca="1" si="91"/>
        <v>218098.55111277648</v>
      </c>
      <c r="J54" s="16">
        <f t="shared" ca="1" si="91"/>
        <v>321114.6304347954</v>
      </c>
      <c r="K54" s="21"/>
      <c r="M54" s="19">
        <f t="shared" ca="1" si="92"/>
        <v>198714.21023028827</v>
      </c>
      <c r="N54" s="19">
        <f t="shared" ca="1" si="92"/>
        <v>298021.98086174426</v>
      </c>
      <c r="O54" s="19">
        <f t="shared" ca="1" si="92"/>
        <v>65547.322047874419</v>
      </c>
      <c r="P54" s="19">
        <f t="shared" ca="1" si="92"/>
        <v>13497.484039217783</v>
      </c>
      <c r="Q54" s="19">
        <f t="shared" ca="1" si="92"/>
        <v>21123.381432497212</v>
      </c>
      <c r="R54" s="19">
        <f t="shared" ca="1" si="92"/>
        <v>122357.35041716025</v>
      </c>
      <c r="S54" s="19">
        <f t="shared" ca="1" si="92"/>
        <v>7397.0402050591738</v>
      </c>
      <c r="T54" s="19">
        <f t="shared" ca="1" si="92"/>
        <v>133634.97846216976</v>
      </c>
      <c r="U54" s="19">
        <f t="shared" ca="1" si="92"/>
        <v>139706.25230398891</v>
      </c>
      <c r="V54" s="21"/>
      <c r="W54" s="21"/>
      <c r="X54" s="21"/>
      <c r="Y54" s="19">
        <f t="shared" ca="1" si="93"/>
        <v>45795.517570613403</v>
      </c>
      <c r="Z54" s="19">
        <f t="shared" ca="1" si="93"/>
        <v>68693.178470039769</v>
      </c>
      <c r="AA54" s="19">
        <f t="shared" ca="1" si="93"/>
        <v>29171.558513536344</v>
      </c>
      <c r="AB54" s="19">
        <f t="shared" ca="1" si="93"/>
        <v>13497.484039217783</v>
      </c>
      <c r="AC54" s="19">
        <f t="shared" ca="1" si="93"/>
        <v>21123.381432497212</v>
      </c>
      <c r="AD54" s="19">
        <f t="shared" ca="1" si="93"/>
        <v>61178.675208580134</v>
      </c>
      <c r="AE54" s="19">
        <f t="shared" ca="1" si="93"/>
        <v>7397.0402050591738</v>
      </c>
      <c r="AF54" s="19">
        <f t="shared" ca="1" si="93"/>
        <v>74223.730708895411</v>
      </c>
      <c r="AG54" s="19">
        <f t="shared" ca="1" si="93"/>
        <v>139706.25230398891</v>
      </c>
      <c r="AH54" s="21"/>
      <c r="AI54" s="21"/>
      <c r="AJ54" s="19">
        <f t="shared" ca="1" si="94"/>
        <v>45136.745595967419</v>
      </c>
      <c r="AK54" s="19">
        <f t="shared" ca="1" si="94"/>
        <v>67704.922622190454</v>
      </c>
      <c r="AL54" s="19">
        <f t="shared" ca="1" si="94"/>
        <v>23438.382502389883</v>
      </c>
      <c r="AM54" s="19">
        <f t="shared" ca="1" si="94"/>
        <v>0</v>
      </c>
      <c r="AN54" s="19">
        <f t="shared" ca="1" si="94"/>
        <v>0</v>
      </c>
      <c r="AO54" s="19">
        <f t="shared" ca="1" si="94"/>
        <v>61178.675208580127</v>
      </c>
      <c r="AP54" s="19">
        <f t="shared" ca="1" si="94"/>
        <v>0</v>
      </c>
      <c r="AQ54" s="19">
        <f t="shared" ca="1" si="94"/>
        <v>20639.825183648594</v>
      </c>
      <c r="AR54" s="19">
        <f t="shared" ca="1" si="94"/>
        <v>0</v>
      </c>
      <c r="AS54" s="21"/>
      <c r="AT54" s="21"/>
      <c r="AU54" s="19">
        <f t="shared" ca="1" si="95"/>
        <v>107781.94706370747</v>
      </c>
      <c r="AV54" s="19">
        <f t="shared" ca="1" si="95"/>
        <v>161623.87976951402</v>
      </c>
      <c r="AW54" s="19">
        <f t="shared" ca="1" si="95"/>
        <v>12937.381031948191</v>
      </c>
      <c r="AX54" s="19">
        <f t="shared" ca="1" si="95"/>
        <v>0</v>
      </c>
      <c r="AY54" s="19">
        <f t="shared" ca="1" si="95"/>
        <v>0</v>
      </c>
      <c r="AZ54" s="19">
        <f t="shared" ca="1" si="95"/>
        <v>0</v>
      </c>
      <c r="BA54" s="19">
        <f t="shared" ca="1" si="95"/>
        <v>0</v>
      </c>
      <c r="BB54" s="19">
        <f t="shared" ca="1" si="95"/>
        <v>38771.422569625742</v>
      </c>
      <c r="BC54" s="19">
        <f t="shared" ca="1" si="95"/>
        <v>0</v>
      </c>
    </row>
    <row r="55" spans="1:55">
      <c r="A55" s="21"/>
      <c r="B55" s="15" t="s">
        <v>119</v>
      </c>
      <c r="C55" s="15"/>
      <c r="D55" s="21"/>
      <c r="E55" s="49">
        <v>0</v>
      </c>
      <c r="F55" s="826">
        <f t="shared" ca="1" si="90"/>
        <v>9.7885880333728206E-2</v>
      </c>
      <c r="G55" s="13">
        <v>500000</v>
      </c>
      <c r="H55" s="16">
        <f t="shared" ca="1" si="91"/>
        <v>230393.40922621408</v>
      </c>
      <c r="I55" s="16">
        <f t="shared" ca="1" si="91"/>
        <v>109049.27555638824</v>
      </c>
      <c r="J55" s="16">
        <f t="shared" ca="1" si="91"/>
        <v>160557.3152173977</v>
      </c>
      <c r="K55" s="12"/>
      <c r="L55" s="12"/>
      <c r="M55" s="19">
        <f t="shared" ca="1" si="92"/>
        <v>99357.105115144135</v>
      </c>
      <c r="N55" s="19">
        <f t="shared" ca="1" si="92"/>
        <v>149010.99043087213</v>
      </c>
      <c r="O55" s="19">
        <f t="shared" ca="1" si="92"/>
        <v>32773.661023937209</v>
      </c>
      <c r="P55" s="19">
        <f t="shared" ca="1" si="92"/>
        <v>6748.7420196088915</v>
      </c>
      <c r="Q55" s="19">
        <f t="shared" ca="1" si="92"/>
        <v>10561.690716248606</v>
      </c>
      <c r="R55" s="19">
        <f t="shared" ca="1" si="92"/>
        <v>61178.675208580127</v>
      </c>
      <c r="S55" s="19">
        <f t="shared" ca="1" si="92"/>
        <v>3698.5201025295869</v>
      </c>
      <c r="T55" s="19">
        <f t="shared" ca="1" si="92"/>
        <v>66817.489231084881</v>
      </c>
      <c r="U55" s="19">
        <f t="shared" ca="1" si="92"/>
        <v>69853.126151994453</v>
      </c>
      <c r="V55" s="21"/>
      <c r="W55" s="21"/>
      <c r="X55" s="12"/>
      <c r="Y55" s="19">
        <f t="shared" ca="1" si="93"/>
        <v>22897.758785306702</v>
      </c>
      <c r="Z55" s="19">
        <f t="shared" ca="1" si="93"/>
        <v>34346.589235019885</v>
      </c>
      <c r="AA55" s="19">
        <f t="shared" ca="1" si="93"/>
        <v>14585.779256768172</v>
      </c>
      <c r="AB55" s="19">
        <f t="shared" ca="1" si="93"/>
        <v>6748.7420196088915</v>
      </c>
      <c r="AC55" s="19">
        <f t="shared" ca="1" si="93"/>
        <v>10561.690716248606</v>
      </c>
      <c r="AD55" s="19">
        <f t="shared" ca="1" si="93"/>
        <v>30589.337604290067</v>
      </c>
      <c r="AE55" s="19">
        <f t="shared" ca="1" si="93"/>
        <v>3698.5201025295869</v>
      </c>
      <c r="AF55" s="19">
        <f t="shared" ca="1" si="93"/>
        <v>37111.865354447706</v>
      </c>
      <c r="AG55" s="19">
        <f t="shared" ca="1" si="93"/>
        <v>69853.126151994453</v>
      </c>
      <c r="AH55" s="21"/>
      <c r="AI55" s="12"/>
      <c r="AJ55" s="19">
        <f t="shared" ca="1" si="94"/>
        <v>22568.372797983709</v>
      </c>
      <c r="AK55" s="19">
        <f t="shared" ca="1" si="94"/>
        <v>33852.461311095227</v>
      </c>
      <c r="AL55" s="19">
        <f t="shared" ca="1" si="94"/>
        <v>11719.191251194941</v>
      </c>
      <c r="AM55" s="19">
        <f t="shared" ca="1" si="94"/>
        <v>0</v>
      </c>
      <c r="AN55" s="19">
        <f t="shared" ca="1" si="94"/>
        <v>0</v>
      </c>
      <c r="AO55" s="19">
        <f t="shared" ca="1" si="94"/>
        <v>30589.337604290064</v>
      </c>
      <c r="AP55" s="19">
        <f t="shared" ca="1" si="94"/>
        <v>0</v>
      </c>
      <c r="AQ55" s="19">
        <f t="shared" ca="1" si="94"/>
        <v>10319.912591824297</v>
      </c>
      <c r="AR55" s="19">
        <f t="shared" ca="1" si="94"/>
        <v>0</v>
      </c>
      <c r="AS55" s="21"/>
      <c r="AT55" s="12"/>
      <c r="AU55" s="19">
        <f t="shared" ca="1" si="95"/>
        <v>53890.973531853735</v>
      </c>
      <c r="AV55" s="19">
        <f t="shared" ca="1" si="95"/>
        <v>80811.939884757012</v>
      </c>
      <c r="AW55" s="19">
        <f t="shared" ca="1" si="95"/>
        <v>6468.6905159740954</v>
      </c>
      <c r="AX55" s="19">
        <f t="shared" ca="1" si="95"/>
        <v>0</v>
      </c>
      <c r="AY55" s="19">
        <f t="shared" ca="1" si="95"/>
        <v>0</v>
      </c>
      <c r="AZ55" s="19">
        <f t="shared" ca="1" si="95"/>
        <v>0</v>
      </c>
      <c r="BA55" s="19">
        <f t="shared" ca="1" si="95"/>
        <v>0</v>
      </c>
      <c r="BB55" s="19">
        <f t="shared" ca="1" si="95"/>
        <v>19385.711284812871</v>
      </c>
      <c r="BC55" s="19">
        <f t="shared" ca="1" si="95"/>
        <v>0</v>
      </c>
    </row>
    <row r="56" spans="1:55">
      <c r="A56" s="21"/>
      <c r="B56" s="15" t="s">
        <v>341</v>
      </c>
      <c r="C56" s="15"/>
      <c r="D56" s="21"/>
      <c r="E56" s="49">
        <v>0.1</v>
      </c>
      <c r="F56" s="826">
        <f ca="1">+H56/$G$10</f>
        <v>7.9342186285052685E-2</v>
      </c>
      <c r="G56" s="26">
        <f>SUM(H56:J56)</f>
        <v>1451593.6662128</v>
      </c>
      <c r="H56" s="19">
        <f>0.1*'Parcel x Block Info'!P15</f>
        <v>405279.01477999997</v>
      </c>
      <c r="I56" s="16">
        <f>0.1*'Parcel x Block Info'!P16</f>
        <v>293776.94823599997</v>
      </c>
      <c r="J56" s="16">
        <f>0.1*'Parcel x Block Info'!P17</f>
        <v>752537.70319679996</v>
      </c>
      <c r="K56" s="21"/>
      <c r="M56" s="708">
        <f t="shared" ref="M56:U56" ca="1" si="96">+$I56*M$5*M$6+$J56*M$7</f>
        <v>258631.38150653616</v>
      </c>
      <c r="N56" s="708">
        <f t="shared" ca="1" si="96"/>
        <v>392363.97560696059</v>
      </c>
      <c r="O56" s="708">
        <f t="shared" ca="1" si="96"/>
        <v>32317.697644710381</v>
      </c>
      <c r="P56" s="19">
        <f t="shared" ca="1" si="96"/>
        <v>0</v>
      </c>
      <c r="Q56" s="19">
        <f t="shared" ca="1" si="96"/>
        <v>0</v>
      </c>
      <c r="R56" s="708">
        <f t="shared" ca="1" si="96"/>
        <v>10941.201702185728</v>
      </c>
      <c r="S56" s="19">
        <f t="shared" ca="1" si="96"/>
        <v>0</v>
      </c>
      <c r="T56" s="708">
        <f t="shared" ca="1" si="96"/>
        <v>95339.806063047421</v>
      </c>
      <c r="U56" s="19">
        <f t="shared" ca="1" si="96"/>
        <v>0</v>
      </c>
      <c r="V56" s="21"/>
      <c r="W56" s="21"/>
      <c r="X56" s="21"/>
      <c r="Y56" s="19">
        <f t="shared" ref="Y56:AE56" ca="1" si="97">+$I56*Y$5+Y$6+$J56*Y$7</f>
        <v>29197.162019451051</v>
      </c>
      <c r="Z56" s="19">
        <f t="shared" ca="1" si="97"/>
        <v>43795.680621542393</v>
      </c>
      <c r="AA56" s="19">
        <f t="shared" ca="1" si="97"/>
        <v>18598.47350707011</v>
      </c>
      <c r="AB56" s="19">
        <f t="shared" ca="1" si="97"/>
        <v>8605.3886767485565</v>
      </c>
      <c r="AC56" s="19">
        <f t="shared" ca="1" si="97"/>
        <v>13467.317824988262</v>
      </c>
      <c r="AD56" s="19">
        <f t="shared" ca="1" si="97"/>
        <v>39004.771360996798</v>
      </c>
      <c r="AE56" s="19">
        <f t="shared" ca="1" si="97"/>
        <v>4716.0200995324894</v>
      </c>
      <c r="AF56" s="19">
        <f ca="1">+$I56*AF$5*AF$6+$J56+AF$7</f>
        <v>752537.70319679996</v>
      </c>
      <c r="AG56" s="19">
        <f ca="1">+$I56*AG$5*AG$6+$J56*AG$7</f>
        <v>0</v>
      </c>
      <c r="AH56" s="21"/>
      <c r="AI56" s="21"/>
      <c r="AJ56" s="19">
        <f t="shared" ref="AJ56:AR56" ca="1" si="98">+$I56*AJ$5+AJ$6+$J56*AJ$7</f>
        <v>0.20695573338599429</v>
      </c>
      <c r="AK56" s="19">
        <f t="shared" ca="1" si="98"/>
        <v>0.31043270244918292</v>
      </c>
      <c r="AL56" s="19">
        <f t="shared" ca="1" si="98"/>
        <v>0.10746693356192973</v>
      </c>
      <c r="AM56" s="19">
        <f t="shared" ca="1" si="98"/>
        <v>0</v>
      </c>
      <c r="AN56" s="19">
        <f t="shared" ca="1" si="98"/>
        <v>0</v>
      </c>
      <c r="AO56" s="19">
        <f t="shared" ca="1" si="98"/>
        <v>0.2805093151533376</v>
      </c>
      <c r="AP56" s="19">
        <f t="shared" ca="1" si="98"/>
        <v>0</v>
      </c>
      <c r="AQ56" s="19">
        <f t="shared" ca="1" si="98"/>
        <v>9.4635315449555446E-2</v>
      </c>
      <c r="AR56" s="19">
        <f t="shared" ca="1" si="98"/>
        <v>0</v>
      </c>
      <c r="AS56" s="21"/>
      <c r="AT56" s="21"/>
      <c r="AU56" s="19">
        <f t="shared" ref="AU56:BC56" ca="1" si="99">+$I56*AU$5+AU$6+$J56*AU$7</f>
        <v>252588.86142801098</v>
      </c>
      <c r="AV56" s="19">
        <f t="shared" ca="1" si="99"/>
        <v>378768.36411601386</v>
      </c>
      <c r="AW56" s="19">
        <f t="shared" ca="1" si="99"/>
        <v>30318.976727972768</v>
      </c>
      <c r="AX56" s="19">
        <f t="shared" ca="1" si="99"/>
        <v>0</v>
      </c>
      <c r="AY56" s="19">
        <f t="shared" ca="1" si="99"/>
        <v>0</v>
      </c>
      <c r="AZ56" s="19">
        <f t="shared" ca="1" si="99"/>
        <v>0</v>
      </c>
      <c r="BA56" s="19">
        <f t="shared" ca="1" si="99"/>
        <v>0</v>
      </c>
      <c r="BB56" s="19">
        <f t="shared" ca="1" si="99"/>
        <v>90861.500924802342</v>
      </c>
      <c r="BC56" s="19">
        <f t="shared" ca="1" si="99"/>
        <v>0</v>
      </c>
    </row>
    <row r="57" spans="1:55">
      <c r="A57" s="21"/>
      <c r="B57" s="15" t="s">
        <v>126</v>
      </c>
      <c r="C57" s="15"/>
      <c r="D57" s="53">
        <v>0.01</v>
      </c>
      <c r="E57" s="49">
        <v>0.1</v>
      </c>
      <c r="F57" s="826">
        <f t="shared" ca="1" si="90"/>
        <v>1.4506956519840479</v>
      </c>
      <c r="G57" s="26">
        <f ca="1">$D$57*SUM(G36:G44)</f>
        <v>7410137.4326823447</v>
      </c>
      <c r="H57" s="16">
        <f ca="1">+$G57*H$21</f>
        <v>3414493.6519009415</v>
      </c>
      <c r="I57" s="16">
        <f t="shared" ref="H57:J63" ca="1" si="100">+$G57*I$21</f>
        <v>1616140.2376145686</v>
      </c>
      <c r="J57" s="16">
        <f t="shared" ca="1" si="100"/>
        <v>2379503.5431668344</v>
      </c>
      <c r="K57" s="21"/>
      <c r="M57" s="19">
        <f t="shared" ca="1" si="92"/>
        <v>1472499.6076333681</v>
      </c>
      <c r="N57" s="19">
        <f t="shared" ca="1" si="92"/>
        <v>2208383.8361457521</v>
      </c>
      <c r="O57" s="19">
        <f t="shared" ca="1" si="92"/>
        <v>485714.66471903893</v>
      </c>
      <c r="P57" s="19">
        <f t="shared" ca="1" si="92"/>
        <v>100018.21172604019</v>
      </c>
      <c r="Q57" s="19">
        <f t="shared" ca="1" si="92"/>
        <v>156527.1594577748</v>
      </c>
      <c r="R57" s="19">
        <f t="shared" ca="1" si="92"/>
        <v>906684.78249002993</v>
      </c>
      <c r="S57" s="19">
        <f t="shared" ca="1" si="92"/>
        <v>54813.084514565264</v>
      </c>
      <c r="T57" s="19">
        <f t="shared" ca="1" si="92"/>
        <v>990253.55621822283</v>
      </c>
      <c r="U57" s="19">
        <f t="shared" ca="1" si="92"/>
        <v>1035242.5297775524</v>
      </c>
      <c r="V57" s="21"/>
      <c r="W57" s="21"/>
      <c r="X57" s="21"/>
      <c r="Y57" s="19">
        <f t="shared" ca="1" si="93"/>
        <v>339351.0789990644</v>
      </c>
      <c r="Z57" s="19">
        <f t="shared" ca="1" si="93"/>
        <v>509025.89315077063</v>
      </c>
      <c r="AA57" s="19">
        <f t="shared" ca="1" si="93"/>
        <v>216165.25771083898</v>
      </c>
      <c r="AB57" s="19">
        <f t="shared" ca="1" si="93"/>
        <v>100018.21172604019</v>
      </c>
      <c r="AC57" s="19">
        <f t="shared" ca="1" si="93"/>
        <v>156527.1594577748</v>
      </c>
      <c r="AD57" s="19">
        <f t="shared" ca="1" si="93"/>
        <v>453342.39124501497</v>
      </c>
      <c r="AE57" s="19">
        <f t="shared" ca="1" si="93"/>
        <v>54813.084514565264</v>
      </c>
      <c r="AF57" s="19">
        <f t="shared" ca="1" si="93"/>
        <v>550008.04531931994</v>
      </c>
      <c r="AG57" s="19">
        <f t="shared" ca="1" si="93"/>
        <v>1035242.5297775524</v>
      </c>
      <c r="AH57" s="21"/>
      <c r="AI57" s="21"/>
      <c r="AJ57" s="19">
        <f t="shared" ca="1" si="94"/>
        <v>334469.48813013814</v>
      </c>
      <c r="AK57" s="19">
        <f t="shared" ca="1" si="94"/>
        <v>501702.78149955516</v>
      </c>
      <c r="AL57" s="19">
        <f t="shared" ca="1" si="94"/>
        <v>173681.63554248615</v>
      </c>
      <c r="AM57" s="19">
        <f t="shared" ca="1" si="94"/>
        <v>0</v>
      </c>
      <c r="AN57" s="19">
        <f t="shared" ca="1" si="94"/>
        <v>0</v>
      </c>
      <c r="AO57" s="19">
        <f t="shared" ca="1" si="94"/>
        <v>453342.39124501491</v>
      </c>
      <c r="AP57" s="19">
        <f t="shared" ca="1" si="94"/>
        <v>0</v>
      </c>
      <c r="AQ57" s="19">
        <f t="shared" ca="1" si="94"/>
        <v>152943.9411973742</v>
      </c>
      <c r="AR57" s="19">
        <f t="shared" ca="1" si="94"/>
        <v>0</v>
      </c>
      <c r="AS57" s="21"/>
      <c r="AT57" s="21"/>
      <c r="AU57" s="19">
        <f t="shared" ca="1" si="95"/>
        <v>798679.04050416558</v>
      </c>
      <c r="AV57" s="19">
        <f t="shared" ca="1" si="95"/>
        <v>1197655.1614954264</v>
      </c>
      <c r="AW57" s="19">
        <f t="shared" ca="1" si="95"/>
        <v>95867.771465713813</v>
      </c>
      <c r="AX57" s="19">
        <f t="shared" ca="1" si="95"/>
        <v>0</v>
      </c>
      <c r="AY57" s="19">
        <f t="shared" ca="1" si="95"/>
        <v>0</v>
      </c>
      <c r="AZ57" s="19">
        <f t="shared" ca="1" si="95"/>
        <v>0</v>
      </c>
      <c r="BA57" s="19">
        <f t="shared" ca="1" si="95"/>
        <v>0</v>
      </c>
      <c r="BB57" s="19">
        <f t="shared" ca="1" si="95"/>
        <v>287301.56970152876</v>
      </c>
      <c r="BC57" s="19">
        <f t="shared" ca="1" si="95"/>
        <v>0</v>
      </c>
    </row>
    <row r="58" spans="1:55">
      <c r="A58" s="21"/>
      <c r="B58" s="15" t="s">
        <v>342</v>
      </c>
      <c r="C58" s="15"/>
      <c r="D58" s="827"/>
      <c r="E58" s="49">
        <v>0.25</v>
      </c>
      <c r="F58" s="826">
        <f t="shared" ca="1" si="90"/>
        <v>2.9365764100118461E-2</v>
      </c>
      <c r="G58" s="26">
        <v>150000</v>
      </c>
      <c r="H58" s="16">
        <f t="shared" ca="1" si="100"/>
        <v>69118.022767864226</v>
      </c>
      <c r="I58" s="16">
        <f t="shared" ca="1" si="100"/>
        <v>32714.782666916471</v>
      </c>
      <c r="J58" s="16">
        <f t="shared" ca="1" si="100"/>
        <v>48167.19456521931</v>
      </c>
      <c r="K58" s="21"/>
      <c r="M58" s="19">
        <f t="shared" ca="1" si="92"/>
        <v>29807.131534543241</v>
      </c>
      <c r="N58" s="19">
        <f t="shared" ca="1" si="92"/>
        <v>44703.297129261628</v>
      </c>
      <c r="O58" s="19">
        <f t="shared" ca="1" si="92"/>
        <v>9832.0983071811625</v>
      </c>
      <c r="P58" s="19">
        <f t="shared" ca="1" si="92"/>
        <v>2024.6226058826676</v>
      </c>
      <c r="Q58" s="19">
        <f t="shared" ca="1" si="92"/>
        <v>3168.5072148745817</v>
      </c>
      <c r="R58" s="19">
        <f t="shared" ca="1" si="92"/>
        <v>18353.602562574037</v>
      </c>
      <c r="S58" s="19">
        <f t="shared" ca="1" si="92"/>
        <v>1109.556030758876</v>
      </c>
      <c r="T58" s="19">
        <f t="shared" ca="1" si="92"/>
        <v>20045.246769325462</v>
      </c>
      <c r="U58" s="19">
        <f t="shared" ca="1" si="92"/>
        <v>20955.937845598339</v>
      </c>
      <c r="V58" s="21"/>
      <c r="W58" s="21"/>
      <c r="X58" s="21"/>
      <c r="Y58" s="19">
        <f t="shared" ca="1" si="93"/>
        <v>6869.3276355920107</v>
      </c>
      <c r="Z58" s="19">
        <f t="shared" ca="1" si="93"/>
        <v>10303.976770505966</v>
      </c>
      <c r="AA58" s="19">
        <f t="shared" ca="1" si="93"/>
        <v>4375.7337770304512</v>
      </c>
      <c r="AB58" s="19">
        <f t="shared" ca="1" si="93"/>
        <v>2024.6226058826676</v>
      </c>
      <c r="AC58" s="19">
        <f t="shared" ca="1" si="93"/>
        <v>3168.5072148745817</v>
      </c>
      <c r="AD58" s="19">
        <f t="shared" ca="1" si="93"/>
        <v>9176.8012812870202</v>
      </c>
      <c r="AE58" s="19">
        <f t="shared" ca="1" si="93"/>
        <v>1109.556030758876</v>
      </c>
      <c r="AF58" s="19">
        <f t="shared" ca="1" si="93"/>
        <v>11133.559606334313</v>
      </c>
      <c r="AG58" s="19">
        <f t="shared" ca="1" si="93"/>
        <v>20955.937845598339</v>
      </c>
      <c r="AH58" s="21"/>
      <c r="AI58" s="21"/>
      <c r="AJ58" s="19">
        <f t="shared" ca="1" si="94"/>
        <v>6770.5118393951125</v>
      </c>
      <c r="AK58" s="19">
        <f t="shared" ca="1" si="94"/>
        <v>10155.738393328567</v>
      </c>
      <c r="AL58" s="19">
        <f t="shared" ca="1" si="94"/>
        <v>3515.7573753584825</v>
      </c>
      <c r="AM58" s="19">
        <f t="shared" ca="1" si="94"/>
        <v>0</v>
      </c>
      <c r="AN58" s="19">
        <f t="shared" ca="1" si="94"/>
        <v>0</v>
      </c>
      <c r="AO58" s="19">
        <f t="shared" ca="1" si="94"/>
        <v>9176.8012812870184</v>
      </c>
      <c r="AP58" s="19">
        <f t="shared" ca="1" si="94"/>
        <v>0</v>
      </c>
      <c r="AQ58" s="19">
        <f t="shared" ca="1" si="94"/>
        <v>3095.973777547289</v>
      </c>
      <c r="AR58" s="19">
        <f t="shared" ca="1" si="94"/>
        <v>0</v>
      </c>
      <c r="AS58" s="21"/>
      <c r="AT58" s="21"/>
      <c r="AU58" s="19">
        <f t="shared" ca="1" si="95"/>
        <v>16167.292059556119</v>
      </c>
      <c r="AV58" s="19">
        <f t="shared" ca="1" si="95"/>
        <v>24243.5819654271</v>
      </c>
      <c r="AW58" s="19">
        <f t="shared" ca="1" si="95"/>
        <v>1940.6071547922286</v>
      </c>
      <c r="AX58" s="19">
        <f t="shared" ca="1" si="95"/>
        <v>0</v>
      </c>
      <c r="AY58" s="19">
        <f t="shared" ca="1" si="95"/>
        <v>0</v>
      </c>
      <c r="AZ58" s="19">
        <f t="shared" ca="1" si="95"/>
        <v>0</v>
      </c>
      <c r="BA58" s="19">
        <f t="shared" ca="1" si="95"/>
        <v>0</v>
      </c>
      <c r="BB58" s="19">
        <f t="shared" ca="1" si="95"/>
        <v>5815.7133854438607</v>
      </c>
      <c r="BC58" s="19">
        <f t="shared" ca="1" si="95"/>
        <v>0</v>
      </c>
    </row>
    <row r="59" spans="1:55">
      <c r="A59" s="21"/>
      <c r="B59" s="15" t="s">
        <v>343</v>
      </c>
      <c r="C59" s="15"/>
      <c r="D59" s="827">
        <v>2.5000000000000001E-3</v>
      </c>
      <c r="E59" s="49">
        <v>0.25</v>
      </c>
      <c r="F59" s="826">
        <f t="shared" ca="1" si="90"/>
        <v>0.32997123375685128</v>
      </c>
      <c r="G59" s="13">
        <f ca="1">0.0025*(G25+0.65*G46)</f>
        <v>1685489.432346425</v>
      </c>
      <c r="H59" s="16">
        <f t="shared" ca="1" si="100"/>
        <v>776651.31306609826</v>
      </c>
      <c r="I59" s="16">
        <f ca="1">+$G59*I$21</f>
        <v>367602.80311065138</v>
      </c>
      <c r="J59" s="16">
        <f t="shared" ca="1" si="100"/>
        <v>541235.31616967532</v>
      </c>
      <c r="K59" s="16"/>
      <c r="L59" s="16"/>
      <c r="M59" s="19">
        <f t="shared" ca="1" si="92"/>
        <v>334930.70140021673</v>
      </c>
      <c r="N59" s="19">
        <f t="shared" ca="1" si="92"/>
        <v>502312.89934941841</v>
      </c>
      <c r="O59" s="19">
        <f t="shared" ca="1" si="92"/>
        <v>110479.31863030017</v>
      </c>
      <c r="P59" s="19">
        <f t="shared" ca="1" si="92"/>
        <v>22749.86671136611</v>
      </c>
      <c r="Q59" s="19">
        <f t="shared" ca="1" si="92"/>
        <v>35603.236179896739</v>
      </c>
      <c r="R59" s="19">
        <f t="shared" ca="1" si="92"/>
        <v>206232.02109803204</v>
      </c>
      <c r="S59" s="19">
        <f t="shared" ca="1" si="92"/>
        <v>12467.633096268868</v>
      </c>
      <c r="T59" s="19">
        <f t="shared" ca="1" si="92"/>
        <v>225240.34398982918</v>
      </c>
      <c r="U59" s="19">
        <f t="shared" ca="1" si="92"/>
        <v>235473.41189109668</v>
      </c>
      <c r="V59" s="21"/>
      <c r="W59" s="21"/>
      <c r="X59" s="16"/>
      <c r="Y59" s="19">
        <f t="shared" ca="1" si="93"/>
        <v>77187.86091410392</v>
      </c>
      <c r="Z59" s="19">
        <f t="shared" ca="1" si="93"/>
        <v>115781.62638553898</v>
      </c>
      <c r="AA59" s="19">
        <f t="shared" ca="1" si="93"/>
        <v>49168.35359964089</v>
      </c>
      <c r="AB59" s="19">
        <f t="shared" ca="1" si="93"/>
        <v>22749.86671136611</v>
      </c>
      <c r="AC59" s="19">
        <f t="shared" ca="1" si="93"/>
        <v>35603.236179896739</v>
      </c>
      <c r="AD59" s="19">
        <f t="shared" ca="1" si="93"/>
        <v>103116.01054901602</v>
      </c>
      <c r="AE59" s="19">
        <f t="shared" ca="1" si="93"/>
        <v>12467.633096268868</v>
      </c>
      <c r="AF59" s="19">
        <f t="shared" ca="1" si="93"/>
        <v>125103.31373917003</v>
      </c>
      <c r="AG59" s="19">
        <f t="shared" ca="1" si="93"/>
        <v>235473.41189109668</v>
      </c>
      <c r="AH59" s="21"/>
      <c r="AI59" s="16"/>
      <c r="AJ59" s="19">
        <f t="shared" ca="1" si="94"/>
        <v>76077.507712512117</v>
      </c>
      <c r="AK59" s="19">
        <f t="shared" ca="1" si="94"/>
        <v>114115.93159753441</v>
      </c>
      <c r="AL59" s="19">
        <f t="shared" ca="1" si="94"/>
        <v>39505.146019071508</v>
      </c>
      <c r="AM59" s="19">
        <f t="shared" ca="1" si="94"/>
        <v>0</v>
      </c>
      <c r="AN59" s="19">
        <f t="shared" ca="1" si="94"/>
        <v>0</v>
      </c>
      <c r="AO59" s="19">
        <f t="shared" ca="1" si="94"/>
        <v>103116.01054901602</v>
      </c>
      <c r="AP59" s="19">
        <f t="shared" ca="1" si="94"/>
        <v>0</v>
      </c>
      <c r="AQ59" s="19">
        <f t="shared" ca="1" si="94"/>
        <v>34788.207232517314</v>
      </c>
      <c r="AR59" s="19">
        <f t="shared" ca="1" si="94"/>
        <v>0</v>
      </c>
      <c r="AS59" s="21"/>
      <c r="AT59" s="16"/>
      <c r="AU59" s="19">
        <f t="shared" ca="1" si="95"/>
        <v>181665.3327736007</v>
      </c>
      <c r="AV59" s="19">
        <f t="shared" ca="1" si="95"/>
        <v>272415.341366345</v>
      </c>
      <c r="AW59" s="19">
        <f t="shared" ca="1" si="95"/>
        <v>21805.819011587762</v>
      </c>
      <c r="AX59" s="19">
        <f t="shared" ca="1" si="95"/>
        <v>0</v>
      </c>
      <c r="AY59" s="19">
        <f t="shared" ca="1" si="95"/>
        <v>0</v>
      </c>
      <c r="AZ59" s="19">
        <f t="shared" ca="1" si="95"/>
        <v>0</v>
      </c>
      <c r="BA59" s="19">
        <f t="shared" ca="1" si="95"/>
        <v>0</v>
      </c>
      <c r="BB59" s="19">
        <f t="shared" ca="1" si="95"/>
        <v>65348.823018141855</v>
      </c>
      <c r="BC59" s="19">
        <f t="shared" ca="1" si="95"/>
        <v>0</v>
      </c>
    </row>
    <row r="60" spans="1:55">
      <c r="A60" s="21"/>
      <c r="B60" s="15" t="s">
        <v>344</v>
      </c>
      <c r="C60" s="15"/>
      <c r="D60" s="21"/>
      <c r="E60" s="49">
        <v>0.25</v>
      </c>
      <c r="F60" s="826">
        <f t="shared" ca="1" si="90"/>
        <v>3.9154352133491284E-2</v>
      </c>
      <c r="G60" s="26">
        <v>200000</v>
      </c>
      <c r="H60" s="16">
        <f t="shared" ca="1" si="100"/>
        <v>92157.363690485625</v>
      </c>
      <c r="I60" s="16">
        <f t="shared" ca="1" si="100"/>
        <v>43619.710222555295</v>
      </c>
      <c r="J60" s="16">
        <f ca="1">+$G60*J$21</f>
        <v>64222.926086959073</v>
      </c>
      <c r="K60" s="21"/>
      <c r="M60" s="19">
        <f t="shared" ca="1" si="92"/>
        <v>39742.842046057653</v>
      </c>
      <c r="N60" s="19">
        <f t="shared" ca="1" si="92"/>
        <v>59604.396172348839</v>
      </c>
      <c r="O60" s="19">
        <f t="shared" ca="1" si="92"/>
        <v>13109.464409574883</v>
      </c>
      <c r="P60" s="19">
        <f t="shared" ca="1" si="92"/>
        <v>2699.4968078435563</v>
      </c>
      <c r="Q60" s="19">
        <f t="shared" ca="1" si="92"/>
        <v>4224.6762864994416</v>
      </c>
      <c r="R60" s="19">
        <f t="shared" ca="1" si="92"/>
        <v>24471.470083432054</v>
      </c>
      <c r="S60" s="19">
        <f t="shared" ca="1" si="92"/>
        <v>1479.4080410118347</v>
      </c>
      <c r="T60" s="19">
        <f t="shared" ca="1" si="92"/>
        <v>26726.995692433949</v>
      </c>
      <c r="U60" s="19">
        <f t="shared" ca="1" si="92"/>
        <v>27941.250460797783</v>
      </c>
      <c r="V60" s="21"/>
      <c r="W60" s="21"/>
      <c r="X60" s="21"/>
      <c r="Y60" s="19">
        <f t="shared" ca="1" si="93"/>
        <v>9159.1035141226803</v>
      </c>
      <c r="Z60" s="19">
        <f t="shared" ca="1" si="93"/>
        <v>13738.635694007953</v>
      </c>
      <c r="AA60" s="19">
        <f t="shared" ca="1" si="93"/>
        <v>5834.3117027072676</v>
      </c>
      <c r="AB60" s="19">
        <f t="shared" ca="1" si="93"/>
        <v>2699.4968078435563</v>
      </c>
      <c r="AC60" s="19">
        <f t="shared" ca="1" si="93"/>
        <v>4224.6762864994416</v>
      </c>
      <c r="AD60" s="19">
        <f t="shared" ca="1" si="93"/>
        <v>12235.735041716027</v>
      </c>
      <c r="AE60" s="19">
        <f t="shared" ca="1" si="93"/>
        <v>1479.4080410118347</v>
      </c>
      <c r="AF60" s="19">
        <f t="shared" ca="1" si="93"/>
        <v>14844.746141779082</v>
      </c>
      <c r="AG60" s="19">
        <f t="shared" ca="1" si="93"/>
        <v>27941.250460797783</v>
      </c>
      <c r="AH60" s="21"/>
      <c r="AI60" s="21"/>
      <c r="AJ60" s="19">
        <f t="shared" ca="1" si="94"/>
        <v>9027.3491191934827</v>
      </c>
      <c r="AK60" s="19">
        <f t="shared" ca="1" si="94"/>
        <v>13540.98452443809</v>
      </c>
      <c r="AL60" s="19">
        <f t="shared" ca="1" si="94"/>
        <v>4687.6765004779772</v>
      </c>
      <c r="AM60" s="19">
        <f t="shared" ca="1" si="94"/>
        <v>0</v>
      </c>
      <c r="AN60" s="19">
        <f t="shared" ca="1" si="94"/>
        <v>0</v>
      </c>
      <c r="AO60" s="19">
        <f t="shared" ca="1" si="94"/>
        <v>12235.735041716025</v>
      </c>
      <c r="AP60" s="19">
        <f t="shared" ca="1" si="94"/>
        <v>0</v>
      </c>
      <c r="AQ60" s="19">
        <f t="shared" ca="1" si="94"/>
        <v>4127.965036729719</v>
      </c>
      <c r="AR60" s="19">
        <f t="shared" ca="1" si="94"/>
        <v>0</v>
      </c>
      <c r="AS60" s="21"/>
      <c r="AT60" s="21"/>
      <c r="AU60" s="19">
        <f t="shared" ca="1" si="95"/>
        <v>21556.38941274149</v>
      </c>
      <c r="AV60" s="19">
        <f t="shared" ca="1" si="95"/>
        <v>32324.775953902797</v>
      </c>
      <c r="AW60" s="19">
        <f t="shared" ca="1" si="95"/>
        <v>2587.4762063896378</v>
      </c>
      <c r="AX60" s="19">
        <f t="shared" ca="1" si="95"/>
        <v>0</v>
      </c>
      <c r="AY60" s="19">
        <f t="shared" ca="1" si="95"/>
        <v>0</v>
      </c>
      <c r="AZ60" s="19">
        <f t="shared" ca="1" si="95"/>
        <v>0</v>
      </c>
      <c r="BA60" s="19">
        <f t="shared" ca="1" si="95"/>
        <v>0</v>
      </c>
      <c r="BB60" s="19">
        <f t="shared" ca="1" si="95"/>
        <v>7754.2845139251467</v>
      </c>
      <c r="BC60" s="19">
        <f t="shared" ca="1" si="95"/>
        <v>0</v>
      </c>
    </row>
    <row r="61" spans="1:55">
      <c r="A61" s="21"/>
      <c r="B61" s="15" t="s">
        <v>345</v>
      </c>
      <c r="C61" s="15"/>
      <c r="D61" s="21"/>
      <c r="E61" s="49">
        <v>0</v>
      </c>
      <c r="F61" s="826">
        <f t="shared" ca="1" si="90"/>
        <v>3.9154352133491284E-2</v>
      </c>
      <c r="G61" s="26">
        <v>200000</v>
      </c>
      <c r="H61" s="16">
        <f t="shared" ca="1" si="100"/>
        <v>92157.363690485625</v>
      </c>
      <c r="I61" s="16">
        <f t="shared" ca="1" si="100"/>
        <v>43619.710222555295</v>
      </c>
      <c r="J61" s="16">
        <f t="shared" ca="1" si="100"/>
        <v>64222.926086959073</v>
      </c>
      <c r="K61" s="21"/>
      <c r="M61" s="19">
        <f t="shared" ca="1" si="92"/>
        <v>39742.842046057653</v>
      </c>
      <c r="N61" s="19">
        <f t="shared" ca="1" si="92"/>
        <v>59604.396172348839</v>
      </c>
      <c r="O61" s="19">
        <f t="shared" ca="1" si="92"/>
        <v>13109.464409574883</v>
      </c>
      <c r="P61" s="19">
        <f t="shared" ca="1" si="92"/>
        <v>2699.4968078435563</v>
      </c>
      <c r="Q61" s="19">
        <f t="shared" ca="1" si="92"/>
        <v>4224.6762864994416</v>
      </c>
      <c r="R61" s="19">
        <f t="shared" ca="1" si="92"/>
        <v>24471.470083432054</v>
      </c>
      <c r="S61" s="19">
        <f t="shared" ca="1" si="92"/>
        <v>1479.4080410118347</v>
      </c>
      <c r="T61" s="19">
        <f t="shared" ca="1" si="92"/>
        <v>26726.995692433949</v>
      </c>
      <c r="U61" s="19">
        <f t="shared" ca="1" si="92"/>
        <v>27941.250460797783</v>
      </c>
      <c r="V61" s="21"/>
      <c r="W61" s="21"/>
      <c r="X61" s="21"/>
      <c r="Y61" s="19">
        <f t="shared" ca="1" si="93"/>
        <v>9159.1035141226803</v>
      </c>
      <c r="Z61" s="19">
        <f t="shared" ca="1" si="93"/>
        <v>13738.635694007953</v>
      </c>
      <c r="AA61" s="19">
        <f t="shared" ca="1" si="93"/>
        <v>5834.3117027072676</v>
      </c>
      <c r="AB61" s="19">
        <f t="shared" ca="1" si="93"/>
        <v>2699.4968078435563</v>
      </c>
      <c r="AC61" s="19">
        <f t="shared" ca="1" si="93"/>
        <v>4224.6762864994416</v>
      </c>
      <c r="AD61" s="19">
        <f t="shared" ca="1" si="93"/>
        <v>12235.735041716027</v>
      </c>
      <c r="AE61" s="19">
        <f t="shared" ca="1" si="93"/>
        <v>1479.4080410118347</v>
      </c>
      <c r="AF61" s="19">
        <f t="shared" ca="1" si="93"/>
        <v>14844.746141779082</v>
      </c>
      <c r="AG61" s="19">
        <f t="shared" ca="1" si="93"/>
        <v>27941.250460797783</v>
      </c>
      <c r="AH61" s="21"/>
      <c r="AI61" s="21"/>
      <c r="AJ61" s="19">
        <f t="shared" ca="1" si="94"/>
        <v>9027.3491191934827</v>
      </c>
      <c r="AK61" s="19">
        <f t="shared" ca="1" si="94"/>
        <v>13540.98452443809</v>
      </c>
      <c r="AL61" s="19">
        <f t="shared" ca="1" si="94"/>
        <v>4687.6765004779772</v>
      </c>
      <c r="AM61" s="19">
        <f t="shared" ca="1" si="94"/>
        <v>0</v>
      </c>
      <c r="AN61" s="19">
        <f t="shared" ca="1" si="94"/>
        <v>0</v>
      </c>
      <c r="AO61" s="19">
        <f t="shared" ca="1" si="94"/>
        <v>12235.735041716025</v>
      </c>
      <c r="AP61" s="19">
        <f t="shared" ca="1" si="94"/>
        <v>0</v>
      </c>
      <c r="AQ61" s="19">
        <f t="shared" ca="1" si="94"/>
        <v>4127.965036729719</v>
      </c>
      <c r="AR61" s="19">
        <f t="shared" ca="1" si="94"/>
        <v>0</v>
      </c>
      <c r="AS61" s="21"/>
      <c r="AT61" s="21"/>
      <c r="AU61" s="19">
        <f t="shared" ca="1" si="95"/>
        <v>21556.38941274149</v>
      </c>
      <c r="AV61" s="19">
        <f t="shared" ca="1" si="95"/>
        <v>32324.775953902797</v>
      </c>
      <c r="AW61" s="19">
        <f t="shared" ca="1" si="95"/>
        <v>2587.4762063896378</v>
      </c>
      <c r="AX61" s="19">
        <f t="shared" ca="1" si="95"/>
        <v>0</v>
      </c>
      <c r="AY61" s="19">
        <f t="shared" ca="1" si="95"/>
        <v>0</v>
      </c>
      <c r="AZ61" s="19">
        <f t="shared" ca="1" si="95"/>
        <v>0</v>
      </c>
      <c r="BA61" s="19">
        <f t="shared" ca="1" si="95"/>
        <v>0</v>
      </c>
      <c r="BB61" s="19">
        <f t="shared" ca="1" si="95"/>
        <v>7754.2845139251467</v>
      </c>
      <c r="BC61" s="19">
        <f t="shared" ca="1" si="95"/>
        <v>0</v>
      </c>
    </row>
    <row r="62" spans="1:55">
      <c r="A62" s="21"/>
      <c r="B62" s="15" t="s">
        <v>346</v>
      </c>
      <c r="C62" s="15"/>
      <c r="D62" s="21"/>
      <c r="E62" s="49">
        <v>0</v>
      </c>
      <c r="F62" s="826">
        <f t="shared" ca="1" si="90"/>
        <v>3.9154352133491284E-2</v>
      </c>
      <c r="G62" s="26">
        <v>200000</v>
      </c>
      <c r="H62" s="16">
        <f t="shared" ca="1" si="100"/>
        <v>92157.363690485625</v>
      </c>
      <c r="I62" s="16">
        <f t="shared" ca="1" si="100"/>
        <v>43619.710222555295</v>
      </c>
      <c r="J62" s="16">
        <f t="shared" ca="1" si="100"/>
        <v>64222.926086959073</v>
      </c>
      <c r="K62" s="21"/>
      <c r="M62" s="19">
        <f t="shared" ca="1" si="92"/>
        <v>39742.842046057653</v>
      </c>
      <c r="N62" s="19">
        <f t="shared" ca="1" si="92"/>
        <v>59604.396172348839</v>
      </c>
      <c r="O62" s="19">
        <f t="shared" ca="1" si="92"/>
        <v>13109.464409574883</v>
      </c>
      <c r="P62" s="19">
        <f t="shared" ca="1" si="92"/>
        <v>2699.4968078435563</v>
      </c>
      <c r="Q62" s="19">
        <f t="shared" ca="1" si="92"/>
        <v>4224.6762864994416</v>
      </c>
      <c r="R62" s="19">
        <f t="shared" ca="1" si="92"/>
        <v>24471.470083432054</v>
      </c>
      <c r="S62" s="19">
        <f t="shared" ca="1" si="92"/>
        <v>1479.4080410118347</v>
      </c>
      <c r="T62" s="19">
        <f t="shared" ca="1" si="92"/>
        <v>26726.995692433949</v>
      </c>
      <c r="U62" s="19">
        <f t="shared" ca="1" si="92"/>
        <v>27941.250460797783</v>
      </c>
      <c r="V62" s="21"/>
      <c r="W62" s="21"/>
      <c r="X62" s="21"/>
      <c r="Y62" s="19">
        <f t="shared" ca="1" si="93"/>
        <v>9159.1035141226803</v>
      </c>
      <c r="Z62" s="19">
        <f t="shared" ca="1" si="93"/>
        <v>13738.635694007953</v>
      </c>
      <c r="AA62" s="19">
        <f t="shared" ca="1" si="93"/>
        <v>5834.3117027072676</v>
      </c>
      <c r="AB62" s="19">
        <f t="shared" ca="1" si="93"/>
        <v>2699.4968078435563</v>
      </c>
      <c r="AC62" s="19">
        <f t="shared" ca="1" si="93"/>
        <v>4224.6762864994416</v>
      </c>
      <c r="AD62" s="19">
        <f t="shared" ca="1" si="93"/>
        <v>12235.735041716027</v>
      </c>
      <c r="AE62" s="19">
        <f t="shared" ca="1" si="93"/>
        <v>1479.4080410118347</v>
      </c>
      <c r="AF62" s="19">
        <f t="shared" ca="1" si="93"/>
        <v>14844.746141779082</v>
      </c>
      <c r="AG62" s="19">
        <f t="shared" ca="1" si="93"/>
        <v>27941.250460797783</v>
      </c>
      <c r="AH62" s="21"/>
      <c r="AI62" s="21"/>
      <c r="AJ62" s="19">
        <f t="shared" ca="1" si="94"/>
        <v>9027.3491191934827</v>
      </c>
      <c r="AK62" s="19">
        <f t="shared" ca="1" si="94"/>
        <v>13540.98452443809</v>
      </c>
      <c r="AL62" s="19">
        <f t="shared" ca="1" si="94"/>
        <v>4687.6765004779772</v>
      </c>
      <c r="AM62" s="19">
        <f t="shared" ca="1" si="94"/>
        <v>0</v>
      </c>
      <c r="AN62" s="19">
        <f t="shared" ca="1" si="94"/>
        <v>0</v>
      </c>
      <c r="AO62" s="19">
        <f t="shared" ca="1" si="94"/>
        <v>12235.735041716025</v>
      </c>
      <c r="AP62" s="19">
        <f t="shared" ca="1" si="94"/>
        <v>0</v>
      </c>
      <c r="AQ62" s="19">
        <f t="shared" ca="1" si="94"/>
        <v>4127.965036729719</v>
      </c>
      <c r="AR62" s="19">
        <f t="shared" ca="1" si="94"/>
        <v>0</v>
      </c>
      <c r="AS62" s="21"/>
      <c r="AT62" s="21"/>
      <c r="AU62" s="19">
        <f t="shared" ca="1" si="95"/>
        <v>21556.38941274149</v>
      </c>
      <c r="AV62" s="19">
        <f t="shared" ca="1" si="95"/>
        <v>32324.775953902797</v>
      </c>
      <c r="AW62" s="19">
        <f t="shared" ca="1" si="95"/>
        <v>2587.4762063896378</v>
      </c>
      <c r="AX62" s="19">
        <f t="shared" ca="1" si="95"/>
        <v>0</v>
      </c>
      <c r="AY62" s="19">
        <f t="shared" ca="1" si="95"/>
        <v>0</v>
      </c>
      <c r="AZ62" s="19">
        <f t="shared" ca="1" si="95"/>
        <v>0</v>
      </c>
      <c r="BA62" s="19">
        <f t="shared" ca="1" si="95"/>
        <v>0</v>
      </c>
      <c r="BB62" s="19">
        <f t="shared" ca="1" si="95"/>
        <v>7754.2845139251467</v>
      </c>
      <c r="BC62" s="19">
        <f t="shared" ca="1" si="95"/>
        <v>0</v>
      </c>
    </row>
    <row r="63" spans="1:55">
      <c r="A63" s="21"/>
      <c r="B63" s="15" t="s">
        <v>347</v>
      </c>
      <c r="C63" s="15"/>
      <c r="D63" s="828">
        <v>5.7000000000000002E-2</v>
      </c>
      <c r="E63" s="49">
        <v>0</v>
      </c>
      <c r="F63" s="826">
        <f t="shared" ca="1" si="90"/>
        <v>5.7000000000000002E-2</v>
      </c>
      <c r="G63" s="13">
        <f ca="1">$D$63*$G$10</f>
        <v>291155.37300000002</v>
      </c>
      <c r="H63" s="16">
        <f t="shared" ca="1" si="100"/>
        <v>134160.55800000002</v>
      </c>
      <c r="I63" s="16">
        <f t="shared" ca="1" si="100"/>
        <v>63500.56500000001</v>
      </c>
      <c r="J63" s="16">
        <f t="shared" ca="1" si="100"/>
        <v>93494.250000000015</v>
      </c>
      <c r="K63" s="21"/>
      <c r="M63" s="19">
        <f t="shared" ca="1" si="92"/>
        <v>57856.710000000006</v>
      </c>
      <c r="N63" s="19">
        <f t="shared" ca="1" si="92"/>
        <v>86770.701000000015</v>
      </c>
      <c r="O63" s="19">
        <f t="shared" ca="1" si="92"/>
        <v>19084.455000000002</v>
      </c>
      <c r="P63" s="19">
        <f t="shared" ca="1" si="92"/>
        <v>3929.8650000000007</v>
      </c>
      <c r="Q63" s="19">
        <f t="shared" ca="1" si="92"/>
        <v>6150.1860000000006</v>
      </c>
      <c r="R63" s="19">
        <f t="shared" ca="1" si="92"/>
        <v>35625.000000000007</v>
      </c>
      <c r="S63" s="19">
        <f t="shared" ca="1" si="92"/>
        <v>2153.6880000000006</v>
      </c>
      <c r="T63" s="19">
        <f t="shared" ca="1" si="92"/>
        <v>38908.542000000001</v>
      </c>
      <c r="U63" s="19">
        <f t="shared" ca="1" si="92"/>
        <v>40676.22600000001</v>
      </c>
      <c r="V63" s="21"/>
      <c r="W63" s="21"/>
      <c r="X63" s="21"/>
      <c r="Y63" s="19">
        <f t="shared" ca="1" si="93"/>
        <v>13333.611000000001</v>
      </c>
      <c r="Z63" s="19">
        <f t="shared" ca="1" si="93"/>
        <v>20000.388000000003</v>
      </c>
      <c r="AA63" s="19">
        <f t="shared" ca="1" si="93"/>
        <v>8493.4560000000001</v>
      </c>
      <c r="AB63" s="19">
        <f t="shared" ca="1" si="93"/>
        <v>3929.8650000000007</v>
      </c>
      <c r="AC63" s="19">
        <f t="shared" ca="1" si="93"/>
        <v>6150.1860000000006</v>
      </c>
      <c r="AD63" s="19">
        <f t="shared" ca="1" si="93"/>
        <v>17812.500000000004</v>
      </c>
      <c r="AE63" s="19">
        <f t="shared" ca="1" si="93"/>
        <v>2153.6880000000006</v>
      </c>
      <c r="AF63" s="19">
        <f t="shared" ca="1" si="93"/>
        <v>21610.638000000003</v>
      </c>
      <c r="AG63" s="19">
        <f t="shared" ca="1" si="93"/>
        <v>40676.22600000001</v>
      </c>
      <c r="AH63" s="21"/>
      <c r="AI63" s="21"/>
      <c r="AJ63" s="19">
        <f t="shared" ca="1" si="94"/>
        <v>13141.806000000002</v>
      </c>
      <c r="AK63" s="19">
        <f t="shared" ca="1" si="94"/>
        <v>19712.652000000002</v>
      </c>
      <c r="AL63" s="19">
        <f t="shared" ca="1" si="94"/>
        <v>6824.2110000000011</v>
      </c>
      <c r="AM63" s="19">
        <f t="shared" ca="1" si="94"/>
        <v>0</v>
      </c>
      <c r="AN63" s="19">
        <f t="shared" ca="1" si="94"/>
        <v>0</v>
      </c>
      <c r="AO63" s="19">
        <f t="shared" ca="1" si="94"/>
        <v>17812.500000000004</v>
      </c>
      <c r="AP63" s="19">
        <f t="shared" ca="1" si="94"/>
        <v>0</v>
      </c>
      <c r="AQ63" s="19">
        <f t="shared" ca="1" si="94"/>
        <v>6009.3960000000006</v>
      </c>
      <c r="AR63" s="19">
        <f t="shared" ca="1" si="94"/>
        <v>0</v>
      </c>
      <c r="AS63" s="21"/>
      <c r="AT63" s="21"/>
      <c r="AU63" s="19">
        <f t="shared" ca="1" si="95"/>
        <v>31381.293000000005</v>
      </c>
      <c r="AV63" s="19">
        <f t="shared" ca="1" si="95"/>
        <v>47057.661000000007</v>
      </c>
      <c r="AW63" s="19">
        <f t="shared" ca="1" si="95"/>
        <v>3766.7880000000005</v>
      </c>
      <c r="AX63" s="19">
        <f t="shared" ca="1" si="95"/>
        <v>0</v>
      </c>
      <c r="AY63" s="19">
        <f t="shared" ca="1" si="95"/>
        <v>0</v>
      </c>
      <c r="AZ63" s="19">
        <f t="shared" ca="1" si="95"/>
        <v>0</v>
      </c>
      <c r="BA63" s="19">
        <f t="shared" ca="1" si="95"/>
        <v>0</v>
      </c>
      <c r="BB63" s="19">
        <f t="shared" ca="1" si="95"/>
        <v>11288.508000000002</v>
      </c>
      <c r="BC63" s="19">
        <f t="shared" ca="1" si="95"/>
        <v>0</v>
      </c>
    </row>
    <row r="64" spans="1:55">
      <c r="A64" s="21"/>
      <c r="B64" s="15" t="s">
        <v>348</v>
      </c>
      <c r="C64" s="15"/>
      <c r="D64" s="53">
        <v>0.05</v>
      </c>
      <c r="E64" s="49">
        <v>0.25</v>
      </c>
      <c r="F64" s="826">
        <f ca="1">+G64/$G$10</f>
        <v>1.1602977121598983</v>
      </c>
      <c r="G64" s="26">
        <f ca="1">SUM(H64:J64)</f>
        <v>5926787.9504379267</v>
      </c>
      <c r="H64" s="16">
        <f ca="1">SUM(H50:H63)*0.1</f>
        <v>2704626.1420884901</v>
      </c>
      <c r="I64" s="16">
        <f t="shared" ref="I64:J64" ca="1" si="101">SUM(I50:I63)*0.1</f>
        <v>1290342.5120262245</v>
      </c>
      <c r="J64" s="16">
        <f t="shared" ca="1" si="101"/>
        <v>1931819.2963232119</v>
      </c>
      <c r="K64" s="16"/>
      <c r="L64" s="16"/>
      <c r="M64" s="19">
        <f t="shared" ca="1" si="92"/>
        <v>1184258.4112028622</v>
      </c>
      <c r="N64" s="19">
        <f t="shared" ca="1" si="92"/>
        <v>1776090.8553609145</v>
      </c>
      <c r="O64" s="19">
        <f t="shared" ca="1" si="92"/>
        <v>387725.04544068169</v>
      </c>
      <c r="P64" s="19">
        <f t="shared" ca="1" si="92"/>
        <v>79224.593072120231</v>
      </c>
      <c r="Q64" s="19">
        <f t="shared" ca="1" si="92"/>
        <v>123985.42524179604</v>
      </c>
      <c r="R64" s="19">
        <f t="shared" ca="1" si="92"/>
        <v>721046.36196687084</v>
      </c>
      <c r="S64" s="19">
        <f t="shared" ca="1" si="92"/>
        <v>43417.536074218449</v>
      </c>
      <c r="T64" s="19">
        <f t="shared" ca="1" si="92"/>
        <v>791022.37986451969</v>
      </c>
      <c r="U64" s="19">
        <f t="shared" ca="1" si="92"/>
        <v>820017.3422139429</v>
      </c>
      <c r="V64" s="21"/>
      <c r="W64" s="21"/>
      <c r="X64" s="16"/>
      <c r="Y64" s="19">
        <f t="shared" ca="1" si="93"/>
        <v>268800.55820160388</v>
      </c>
      <c r="Z64" s="19">
        <f t="shared" ca="1" si="93"/>
        <v>403200.26275317767</v>
      </c>
      <c r="AA64" s="19">
        <f t="shared" ca="1" si="93"/>
        <v>171224.86278178968</v>
      </c>
      <c r="AB64" s="19">
        <f t="shared" ca="1" si="93"/>
        <v>79224.593072120231</v>
      </c>
      <c r="AC64" s="19">
        <f t="shared" ca="1" si="93"/>
        <v>123985.42524179604</v>
      </c>
      <c r="AD64" s="19">
        <f t="shared" ca="1" si="93"/>
        <v>359093.26760515734</v>
      </c>
      <c r="AE64" s="19">
        <f t="shared" ca="1" si="93"/>
        <v>43417.536074218449</v>
      </c>
      <c r="AF64" s="19">
        <f t="shared" ca="1" si="93"/>
        <v>435662.29414468387</v>
      </c>
      <c r="AG64" s="19">
        <f t="shared" ca="1" si="93"/>
        <v>820017.3422139429</v>
      </c>
      <c r="AH64" s="21"/>
      <c r="AI64" s="16"/>
      <c r="AJ64" s="19">
        <f ca="1">+$H64*AJ$5+$I64*AJ$6+$J64*AJ$7</f>
        <v>267043.78089551348</v>
      </c>
      <c r="AK64" s="19">
        <f t="shared" ca="1" si="94"/>
        <v>400564.51309336821</v>
      </c>
      <c r="AL64" s="19">
        <f t="shared" ca="1" si="94"/>
        <v>138669.15301205579</v>
      </c>
      <c r="AM64" s="19">
        <f t="shared" ca="1" si="94"/>
        <v>0</v>
      </c>
      <c r="AN64" s="19">
        <f t="shared" ca="1" si="94"/>
        <v>0</v>
      </c>
      <c r="AO64" s="19">
        <f t="shared" ca="1" si="94"/>
        <v>361953.09436171351</v>
      </c>
      <c r="AP64" s="19">
        <f t="shared" ca="1" si="94"/>
        <v>0</v>
      </c>
      <c r="AQ64" s="19">
        <f t="shared" ca="1" si="94"/>
        <v>122111.97066357355</v>
      </c>
      <c r="AR64" s="19">
        <f t="shared" ca="1" si="94"/>
        <v>0</v>
      </c>
      <c r="AS64" s="21"/>
      <c r="AT64" s="16"/>
      <c r="AU64" s="19">
        <f t="shared" ca="1" si="95"/>
        <v>648414.07210574485</v>
      </c>
      <c r="AV64" s="19">
        <f t="shared" ca="1" si="95"/>
        <v>972326.07951436855</v>
      </c>
      <c r="AW64" s="19">
        <f t="shared" ca="1" si="95"/>
        <v>77831.029646836236</v>
      </c>
      <c r="AX64" s="19">
        <f t="shared" ca="1" si="95"/>
        <v>0</v>
      </c>
      <c r="AY64" s="19">
        <f t="shared" ca="1" si="95"/>
        <v>0</v>
      </c>
      <c r="AZ64" s="19">
        <f t="shared" ca="1" si="95"/>
        <v>0</v>
      </c>
      <c r="BA64" s="19">
        <f t="shared" ca="1" si="95"/>
        <v>0</v>
      </c>
      <c r="BB64" s="19">
        <f t="shared" ca="1" si="95"/>
        <v>233248.11505626226</v>
      </c>
      <c r="BC64" s="19">
        <f t="shared" ca="1" si="95"/>
        <v>0</v>
      </c>
    </row>
    <row r="65" spans="1:55">
      <c r="A65" s="21"/>
      <c r="B65" s="17" t="s">
        <v>349</v>
      </c>
      <c r="C65" s="17"/>
      <c r="D65" s="17"/>
      <c r="E65" s="17"/>
      <c r="F65" s="829">
        <f ca="1">+G65/$G$10</f>
        <v>12.763274833758883</v>
      </c>
      <c r="G65" s="18">
        <f ca="1">+SUM(G50:G64)</f>
        <v>65194667.454817206</v>
      </c>
      <c r="H65" s="58">
        <f ca="1">+SUM(H50:H64)</f>
        <v>29750887.562973391</v>
      </c>
      <c r="I65" s="58">
        <f ca="1">+SUM(I50:I64)</f>
        <v>14193767.632288469</v>
      </c>
      <c r="J65" s="58">
        <f ca="1">+SUM(J50:J64)</f>
        <v>21250012.259555332</v>
      </c>
      <c r="K65" s="21"/>
      <c r="M65" s="58">
        <f t="shared" ref="M65:U65" ca="1" si="102">+SUM(M50:M64)</f>
        <v>12931807.371489251</v>
      </c>
      <c r="N65" s="58">
        <f t="shared" ca="1" si="102"/>
        <v>19398978.862527061</v>
      </c>
      <c r="O65" s="58">
        <f t="shared" ca="1" si="102"/>
        <v>4209745.4505316503</v>
      </c>
      <c r="P65" s="58">
        <f t="shared" ca="1" si="102"/>
        <v>859598.98837962537</v>
      </c>
      <c r="Q65" s="58">
        <f t="shared" ca="1" si="102"/>
        <v>1345260.884011673</v>
      </c>
      <c r="R65" s="58">
        <f t="shared" ca="1" si="102"/>
        <v>7806235.109788293</v>
      </c>
      <c r="S65" s="58">
        <f t="shared" ca="1" si="102"/>
        <v>471086.92692632927</v>
      </c>
      <c r="T65" s="58">
        <f t="shared" ca="1" si="102"/>
        <v>8612640.2986735944</v>
      </c>
      <c r="U65" s="58">
        <f t="shared" ca="1" si="102"/>
        <v>8897313.9588003699</v>
      </c>
      <c r="V65" s="21"/>
      <c r="W65" s="21"/>
      <c r="X65" s="16">
        <f ca="1">+SUM(Y65:AG65)</f>
        <v>30255531.065500528</v>
      </c>
      <c r="Y65" s="58">
        <f t="shared" ref="Y65:AG65" ca="1" si="103">+SUM(Y50:Y64)</f>
        <v>2945724.4541904153</v>
      </c>
      <c r="Z65" s="58">
        <f t="shared" ca="1" si="103"/>
        <v>4418580.3849307224</v>
      </c>
      <c r="AA65" s="58">
        <f t="shared" ca="1" si="103"/>
        <v>1876414.5016522759</v>
      </c>
      <c r="AB65" s="58">
        <f t="shared" ca="1" si="103"/>
        <v>868204.37705637398</v>
      </c>
      <c r="AC65" s="58">
        <f t="shared" ca="1" si="103"/>
        <v>1358728.2018366614</v>
      </c>
      <c r="AD65" s="58">
        <f t="shared" ca="1" si="103"/>
        <v>3935221.8120257724</v>
      </c>
      <c r="AE65" s="58">
        <f t="shared" ca="1" si="103"/>
        <v>475802.94702586177</v>
      </c>
      <c r="AF65" s="58">
        <f t="shared" ca="1" si="103"/>
        <v>5479540.4279820761</v>
      </c>
      <c r="AG65" s="58">
        <f t="shared" ca="1" si="103"/>
        <v>8897313.9588003699</v>
      </c>
      <c r="AH65" s="16"/>
      <c r="AI65" s="16">
        <f ca="1">+SUM(AJ65:AR65)</f>
        <v>13899991.684052471</v>
      </c>
      <c r="AJ65" s="58">
        <f t="shared" ref="AJ65:AR65" ca="1" si="104">+SUM(AJ50:AJ64)</f>
        <v>2876682.9730323008</v>
      </c>
      <c r="AK65" s="58">
        <f t="shared" ca="1" si="104"/>
        <v>4315011.9825015785</v>
      </c>
      <c r="AL65" s="58">
        <f t="shared" ca="1" si="104"/>
        <v>1493789.4828214427</v>
      </c>
      <c r="AM65" s="58">
        <f t="shared" ca="1" si="104"/>
        <v>0</v>
      </c>
      <c r="AN65" s="58">
        <f t="shared" ca="1" si="104"/>
        <v>0</v>
      </c>
      <c r="AO65" s="58">
        <f t="shared" ca="1" si="104"/>
        <v>3899077.1479306468</v>
      </c>
      <c r="AP65" s="58">
        <f t="shared" ca="1" si="104"/>
        <v>0</v>
      </c>
      <c r="AQ65" s="58">
        <f t="shared" ca="1" si="104"/>
        <v>1315430.0977665035</v>
      </c>
      <c r="AR65" s="58">
        <f t="shared" ca="1" si="104"/>
        <v>0</v>
      </c>
      <c r="AS65" s="21"/>
      <c r="AT65" s="16">
        <f ca="1">+SUM(AU65:BC65)</f>
        <v>21250012.259555336</v>
      </c>
      <c r="AU65" s="58">
        <f t="shared" ref="AU65:BC65" ca="1" si="105">+SUM(AU50:AU64)</f>
        <v>7132554.7931631943</v>
      </c>
      <c r="AV65" s="58">
        <f t="shared" ca="1" si="105"/>
        <v>10695586.874658056</v>
      </c>
      <c r="AW65" s="58">
        <f t="shared" ca="1" si="105"/>
        <v>856141.32611519867</v>
      </c>
      <c r="AX65" s="58">
        <f t="shared" ca="1" si="105"/>
        <v>0</v>
      </c>
      <c r="AY65" s="58">
        <f t="shared" ca="1" si="105"/>
        <v>0</v>
      </c>
      <c r="AZ65" s="58">
        <f t="shared" ca="1" si="105"/>
        <v>0</v>
      </c>
      <c r="BA65" s="58">
        <f t="shared" ca="1" si="105"/>
        <v>0</v>
      </c>
      <c r="BB65" s="58">
        <f t="shared" ca="1" si="105"/>
        <v>2565729.2656188854</v>
      </c>
      <c r="BC65" s="58">
        <f t="shared" ca="1" si="105"/>
        <v>0</v>
      </c>
    </row>
    <row r="66" spans="1:55">
      <c r="B66" s="15"/>
      <c r="C66" s="15"/>
      <c r="D66" s="21"/>
      <c r="E66" s="21"/>
      <c r="F66" s="21"/>
      <c r="G66" s="21"/>
      <c r="H66" s="15"/>
      <c r="I66" s="15"/>
      <c r="J66" s="15"/>
      <c r="K66" s="21"/>
      <c r="M66" s="15"/>
      <c r="N66" s="15"/>
      <c r="O66" s="15"/>
      <c r="P66" s="15"/>
      <c r="Q66" s="15"/>
      <c r="R66" s="15"/>
      <c r="S66" s="15"/>
      <c r="T66" s="15"/>
      <c r="U66" s="15"/>
      <c r="V66" s="21"/>
      <c r="W66" s="21"/>
      <c r="X66" s="21"/>
      <c r="Y66" s="15"/>
      <c r="Z66" s="15"/>
      <c r="AA66" s="15"/>
      <c r="AB66" s="15"/>
      <c r="AC66" s="15"/>
      <c r="AD66" s="15"/>
      <c r="AE66" s="15"/>
      <c r="AF66" s="15"/>
      <c r="AG66" s="15"/>
      <c r="AH66" s="21"/>
      <c r="AI66" s="21"/>
      <c r="AJ66" s="15"/>
      <c r="AK66" s="15"/>
      <c r="AL66" s="15"/>
      <c r="AM66" s="15"/>
      <c r="AN66" s="15"/>
      <c r="AO66" s="15"/>
      <c r="AP66" s="15"/>
      <c r="AQ66" s="15"/>
      <c r="AR66" s="15"/>
      <c r="AS66" s="21"/>
      <c r="AT66" s="21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ht="32.25" customHeight="1">
      <c r="B67" s="440" t="s">
        <v>263</v>
      </c>
      <c r="C67" s="441"/>
      <c r="D67" s="441"/>
      <c r="E67" s="441"/>
      <c r="F67" s="441"/>
      <c r="G67" s="440" t="s">
        <v>210</v>
      </c>
      <c r="H67" s="442" t="str">
        <f>+H$23</f>
        <v>I</v>
      </c>
      <c r="I67" s="442" t="str">
        <f t="shared" ref="I67:J67" si="106">+I$23</f>
        <v>II</v>
      </c>
      <c r="J67" s="442" t="str">
        <f t="shared" si="106"/>
        <v>III</v>
      </c>
      <c r="K67" s="21"/>
      <c r="M67" s="532" t="str">
        <f t="shared" ref="M67:U67" ca="1" si="107">+M$23</f>
        <v>Affordable Residential</v>
      </c>
      <c r="N67" s="532" t="str">
        <f t="shared" ca="1" si="107"/>
        <v>Market Rate Residential</v>
      </c>
      <c r="O67" s="532" t="str">
        <f t="shared" ca="1" si="107"/>
        <v>Retail</v>
      </c>
      <c r="P67" s="532" t="str">
        <f t="shared" ca="1" si="107"/>
        <v>Hotel</v>
      </c>
      <c r="Q67" s="532" t="str">
        <f t="shared" ca="1" si="107"/>
        <v>Museum</v>
      </c>
      <c r="R67" s="532" t="str">
        <f t="shared" ca="1" si="107"/>
        <v>Office</v>
      </c>
      <c r="S67" s="532" t="str">
        <f t="shared" ca="1" si="107"/>
        <v>Light Industrial/Flex</v>
      </c>
      <c r="T67" s="532" t="str">
        <f t="shared" ca="1" si="107"/>
        <v>Structural Parking</v>
      </c>
      <c r="U67" s="532" t="str">
        <f t="shared" ca="1" si="107"/>
        <v>Surface Parking</v>
      </c>
      <c r="V67" s="21"/>
      <c r="W67" s="21"/>
      <c r="X67" s="21"/>
      <c r="Y67" s="532" t="str">
        <f t="shared" ref="Y67:AG67" ca="1" si="108">+Y$23</f>
        <v>Affordable Residential</v>
      </c>
      <c r="Z67" s="532" t="str">
        <f t="shared" ca="1" si="108"/>
        <v>Market Rate Residential</v>
      </c>
      <c r="AA67" s="532" t="str">
        <f t="shared" ca="1" si="108"/>
        <v>Retail</v>
      </c>
      <c r="AB67" s="532" t="str">
        <f t="shared" ca="1" si="108"/>
        <v>Hotel</v>
      </c>
      <c r="AC67" s="532" t="str">
        <f t="shared" ca="1" si="108"/>
        <v>Museum</v>
      </c>
      <c r="AD67" s="532" t="str">
        <f t="shared" ca="1" si="108"/>
        <v>Office</v>
      </c>
      <c r="AE67" s="532" t="str">
        <f t="shared" ca="1" si="108"/>
        <v>Light Industrial/Flex</v>
      </c>
      <c r="AF67" s="532" t="str">
        <f t="shared" ca="1" si="108"/>
        <v>Structural Parking</v>
      </c>
      <c r="AG67" s="532" t="str">
        <f t="shared" ca="1" si="108"/>
        <v>Surface Parking</v>
      </c>
      <c r="AH67" s="21"/>
      <c r="AI67" s="21"/>
      <c r="AJ67" s="532" t="str">
        <f t="shared" ref="AJ67:AR67" ca="1" si="109">+AJ$23</f>
        <v>Affordable Residential</v>
      </c>
      <c r="AK67" s="532" t="str">
        <f t="shared" ca="1" si="109"/>
        <v>Market Rate Residential</v>
      </c>
      <c r="AL67" s="532" t="str">
        <f t="shared" ca="1" si="109"/>
        <v>Retail</v>
      </c>
      <c r="AM67" s="532" t="str">
        <f t="shared" ca="1" si="109"/>
        <v>Hotel</v>
      </c>
      <c r="AN67" s="532" t="str">
        <f t="shared" ca="1" si="109"/>
        <v>Museum</v>
      </c>
      <c r="AO67" s="532" t="str">
        <f t="shared" ca="1" si="109"/>
        <v>Office</v>
      </c>
      <c r="AP67" s="532" t="str">
        <f t="shared" ca="1" si="109"/>
        <v>Light Industrial/Flex</v>
      </c>
      <c r="AQ67" s="532" t="str">
        <f t="shared" ca="1" si="109"/>
        <v>Structural Parking</v>
      </c>
      <c r="AR67" s="532" t="str">
        <f t="shared" ca="1" si="109"/>
        <v>Surface Parking</v>
      </c>
      <c r="AS67" s="21"/>
      <c r="AT67" s="21"/>
      <c r="AU67" s="532" t="str">
        <f t="shared" ref="AU67:BC67" ca="1" si="110">+AU$23</f>
        <v>Affordable Residential</v>
      </c>
      <c r="AV67" s="532" t="str">
        <f t="shared" ca="1" si="110"/>
        <v>Market Rate Residential</v>
      </c>
      <c r="AW67" s="532" t="str">
        <f t="shared" ca="1" si="110"/>
        <v>Retail</v>
      </c>
      <c r="AX67" s="532" t="str">
        <f t="shared" ca="1" si="110"/>
        <v>Hotel</v>
      </c>
      <c r="AY67" s="532" t="str">
        <f t="shared" ca="1" si="110"/>
        <v>Museum</v>
      </c>
      <c r="AZ67" s="532" t="str">
        <f t="shared" ca="1" si="110"/>
        <v>Office</v>
      </c>
      <c r="BA67" s="532" t="str">
        <f t="shared" ca="1" si="110"/>
        <v>Light Industrial/Flex</v>
      </c>
      <c r="BB67" s="532" t="str">
        <f t="shared" ca="1" si="110"/>
        <v>Structural Parking</v>
      </c>
      <c r="BC67" s="532" t="str">
        <f t="shared" ca="1" si="110"/>
        <v>Surface Parking</v>
      </c>
    </row>
    <row r="68" spans="1:55">
      <c r="B68" s="15" t="s">
        <v>350</v>
      </c>
      <c r="C68" s="15"/>
      <c r="D68" s="15"/>
      <c r="E68" s="24"/>
      <c r="F68" s="47">
        <f t="shared" ref="F68:F72" ca="1" si="111">+G68/$G$10</f>
        <v>0.7177612340798547</v>
      </c>
      <c r="G68" s="26">
        <f ca="1">+SUM(H68:J68)</f>
        <v>3666316.4883063231</v>
      </c>
      <c r="H68" s="16">
        <f>+Assumptions!N146*'S&amp;U'!H17</f>
        <v>611715.25</v>
      </c>
      <c r="I68" s="16">
        <f ca="1">+Assumptions!O146*'S&amp;U'!I17</f>
        <v>1013662.9751979429</v>
      </c>
      <c r="J68" s="16">
        <f ca="1">+Assumptions!P146*'S&amp;U'!J17</f>
        <v>0</v>
      </c>
      <c r="K68" s="16"/>
      <c r="L68" s="16"/>
      <c r="M68" s="16">
        <f ca="1">$G68*('Loan Sizing'!$E$5/'Loan Sizing'!$E$63)</f>
        <v>243227.56209317013</v>
      </c>
      <c r="N68" s="16">
        <f ca="1">$G68*('Loan Sizing'!$E$6/'Loan Sizing'!$E$63)</f>
        <v>1135420.5275540263</v>
      </c>
      <c r="O68" s="16">
        <f ca="1">$G68*('Loan Sizing'!$E$7/'Loan Sizing'!$E$63)</f>
        <v>837237.34714360966</v>
      </c>
      <c r="P68" s="16">
        <f ca="1">$G68*('Loan Sizing'!$E$31/'Loan Sizing'!$E$63)</f>
        <v>178215.73510864965</v>
      </c>
      <c r="Q68" s="16">
        <f ca="1">$G68*('Loan Sizing'!$E$8/'Loan Sizing'!$E$63)</f>
        <v>0</v>
      </c>
      <c r="R68" s="16">
        <f ca="1">$G68*('Loan Sizing'!$E$9/'Loan Sizing'!$E$63)</f>
        <v>1045483.7809508482</v>
      </c>
      <c r="S68" s="16">
        <f ca="1">$G68*('Loan Sizing'!$E$47/'Loan Sizing'!$E$63)</f>
        <v>163021.55201400106</v>
      </c>
      <c r="T68" s="16">
        <f ca="1">$G68*('Loan Sizing'!$E$10/'Loan Sizing'!$E$63)*SUM(T$12:T$20)/SUM($T$12:$U$20)</f>
        <v>148659.55245208964</v>
      </c>
      <c r="U68" s="16">
        <f ca="1">$G68*('Loan Sizing'!$E$10/'Loan Sizing'!$E$63)*SUM(U$12:U$20)/SUM($T$12:$U$20)</f>
        <v>155413.419310342</v>
      </c>
      <c r="V68" s="21"/>
      <c r="W68" s="21"/>
      <c r="X68" s="16"/>
      <c r="Y68" s="16">
        <f ca="1">$H68*('Loan Sizing'!$F$5/'Loan Sizing'!$F$63)</f>
        <v>6928.4786860513914</v>
      </c>
      <c r="Z68" s="16">
        <f ca="1">$H68*('Loan Sizing'!$F$6/'Loan Sizing'!$F$63)</f>
        <v>-9822.586217137632</v>
      </c>
      <c r="AA68" s="16">
        <f ca="1">$H68*('Loan Sizing'!$F$7/'Loan Sizing'!$F$63)</f>
        <v>177773.04616150187</v>
      </c>
      <c r="AB68" s="16">
        <f ca="1">$H68*('Loan Sizing'!$F$31/'Loan Sizing'!$F$63)</f>
        <v>18.920692874849376</v>
      </c>
      <c r="AC68" s="16">
        <f ca="1">$H68*('Loan Sizing'!$F$8/'Loan Sizing'!$F$63)</f>
        <v>2.4656595651887301E-2</v>
      </c>
      <c r="AD68" s="16">
        <f ca="1">$H68*('Loan Sizing'!$F$9/'Loan Sizing'!$F$63)</f>
        <v>306028.54500108992</v>
      </c>
      <c r="AE68" s="16">
        <f ca="1">$H68*('Loan Sizing'!$F$47/'Loan Sizing'!$F$63)</f>
        <v>5861.5527528314396</v>
      </c>
      <c r="AF68" s="16">
        <f ca="1">$H68*('Loan Sizing'!$F$10/'Loan Sizing'!$F$63)*SUM(AF$12:AF$20)/SUM($AF$12:$AG$20)</f>
        <v>43343.937990353355</v>
      </c>
      <c r="AG68" s="16">
        <f ca="1">$H68*('Loan Sizing'!$F$10/'Loan Sizing'!$F$63)*SUM(AG$12:AG$20)/SUM($AF$12:$AG$20)</f>
        <v>81583.330275839107</v>
      </c>
      <c r="AH68" s="21"/>
      <c r="AI68" s="16"/>
      <c r="AJ68" s="16">
        <f ca="1">$I68*('Loan Sizing'!$G$5/'Loan Sizing'!$G$63)</f>
        <v>64385.320379364588</v>
      </c>
      <c r="AK68" s="16">
        <f ca="1">$I68*('Loan Sizing'!$G$6/'Loan Sizing'!$G$63)</f>
        <v>315147.96304467693</v>
      </c>
      <c r="AL68" s="16">
        <f ca="1">$I68*('Loan Sizing'!$G$7/'Loan Sizing'!$G$63)</f>
        <v>241107.29298513383</v>
      </c>
      <c r="AM68" s="16">
        <f ca="1">$I68*('Loan Sizing'!$G$31/'Loan Sizing'!$G$63)</f>
        <v>0</v>
      </c>
      <c r="AN68" s="16">
        <f ca="1">$I68*('Loan Sizing'!$G$8/'Loan Sizing'!$G$63)</f>
        <v>0</v>
      </c>
      <c r="AO68" s="16">
        <f ca="1">$I68*('Loan Sizing'!$G$9/'Loan Sizing'!$G$63)</f>
        <v>372525.19109488494</v>
      </c>
      <c r="AP68" s="16">
        <f ca="1">$I68*('Loan Sizing'!$G$47/'Loan Sizing'!$G$63)</f>
        <v>2.9358105093787486E-7</v>
      </c>
      <c r="AQ68" s="16">
        <f ca="1">$I68*('Loan Sizing'!$G$10/'Loan Sizing'!$G$63)*SUM(AQ$12:AQ$20)/SUM($AQ$12:$AR$20)</f>
        <v>20497.20769358912</v>
      </c>
      <c r="AR68" s="16">
        <f ca="1">$I68*('Loan Sizing'!$G$10/'Loan Sizing'!$G$63)*SUM(AR$12:AR$20)/SUM($AQ$12:$AR$20)</f>
        <v>0</v>
      </c>
      <c r="AS68" s="21"/>
      <c r="AT68" s="16"/>
      <c r="AU68" s="16">
        <f ca="1">$J68*('Loan Sizing'!$H$5/'Loan Sizing'!$H$63)</f>
        <v>0</v>
      </c>
      <c r="AV68" s="16">
        <f ca="1">$J68*('Loan Sizing'!$H$6/'Loan Sizing'!$H$63)</f>
        <v>0</v>
      </c>
      <c r="AW68" s="16">
        <f ca="1">$J68*('Loan Sizing'!$H$7/'Loan Sizing'!$H$63)</f>
        <v>0</v>
      </c>
      <c r="AX68" s="16">
        <f ca="1">$J68*('Loan Sizing'!$H$31/'Loan Sizing'!$H$63)</f>
        <v>0</v>
      </c>
      <c r="AY68" s="16">
        <v>0</v>
      </c>
      <c r="AZ68" s="16">
        <f ca="1">$J68*('Loan Sizing'!$H$9/'Loan Sizing'!$H$63)</f>
        <v>0</v>
      </c>
      <c r="BA68" s="16">
        <f ca="1">$J68*('Loan Sizing'!$H$47/'Loan Sizing'!$H$63)</f>
        <v>0</v>
      </c>
      <c r="BB68" s="16">
        <f ca="1">$J68*('Loan Sizing'!$H$10/'Loan Sizing'!$H$63)*SUM(BB$12:BB$20)/SUM($BB$12:$BC$20)</f>
        <v>0</v>
      </c>
      <c r="BC68" s="16">
        <v>0</v>
      </c>
    </row>
    <row r="69" spans="1:55">
      <c r="B69" s="15" t="s">
        <v>351</v>
      </c>
      <c r="C69" s="15"/>
      <c r="D69" s="15"/>
      <c r="E69" s="24"/>
      <c r="F69" s="47">
        <f t="shared" ca="1" si="111"/>
        <v>2.768880170329644</v>
      </c>
      <c r="G69" s="26">
        <f ca="1">+SUM(H69:J69)</f>
        <v>14143409.452361949</v>
      </c>
      <c r="H69" s="16">
        <f>+Assumptions!N145*Assumptions!N147*'S&amp;U'!H17*(Assumptions!F$25/12)</f>
        <v>5248516.8449999997</v>
      </c>
      <c r="I69" s="16">
        <f ca="1">+Assumptions!O145*Assumptions!O147*'S&amp;U'!I17*(Assumptions!G$25/12)</f>
        <v>8894892.60736195</v>
      </c>
      <c r="J69" s="16">
        <v>0</v>
      </c>
      <c r="K69" s="16"/>
      <c r="L69" s="16"/>
      <c r="M69" s="16">
        <f ca="1">$G69*('Loan Sizing'!$E$5/'Loan Sizing'!$E$63)</f>
        <v>938289.70078157505</v>
      </c>
      <c r="N69" s="16">
        <f ca="1">$G69*('Loan Sizing'!$E$6/'Loan Sizing'!$E$63)</f>
        <v>4380068.5164612802</v>
      </c>
      <c r="O69" s="16">
        <f ca="1">$G69*('Loan Sizing'!$E$7/'Loan Sizing'!$E$63)</f>
        <v>3229778.6203753436</v>
      </c>
      <c r="P69" s="16">
        <f ca="1">$G69*('Loan Sizing'!$E$31/'Loan Sizing'!$E$63)</f>
        <v>687496.05238245672</v>
      </c>
      <c r="Q69" s="16">
        <f ca="1">$G69*('Loan Sizing'!$E$8/'Loan Sizing'!$E$63)</f>
        <v>0</v>
      </c>
      <c r="R69" s="16">
        <f ca="1">$G69*('Loan Sizing'!$E$9/'Loan Sizing'!$E$63)</f>
        <v>4033122.9551385902</v>
      </c>
      <c r="S69" s="16">
        <f ca="1">$G69*('Loan Sizing'!$E$47/'Loan Sizing'!$E$63)</f>
        <v>628882.03106509789</v>
      </c>
      <c r="T69" s="16">
        <f ca="1">$G69*('Loan Sizing'!$E$10/'Loan Sizing'!$E$63)*SUM(T$12:T$20)/SUM($T$12:$U$20)</f>
        <v>573478.29246079864</v>
      </c>
      <c r="U69" s="16">
        <f ca="1">$G69*('Loan Sizing'!$E$10/'Loan Sizing'!$E$63)*SUM(U$12:U$20)/SUM($T$12:$U$20)</f>
        <v>599532.42735822743</v>
      </c>
      <c r="V69" s="21"/>
      <c r="W69" s="21"/>
      <c r="X69" s="16"/>
      <c r="Y69" s="16">
        <f ca="1">$H69*('Loan Sizing'!$F$5/'Loan Sizing'!$F$63)</f>
        <v>59446.347126320936</v>
      </c>
      <c r="Z69" s="16">
        <f ca="1">$H69*('Loan Sizing'!$F$6/'Loan Sizing'!$F$63)</f>
        <v>-84277.789743040878</v>
      </c>
      <c r="AA69" s="16">
        <f ca="1">$H69*('Loan Sizing'!$F$7/'Loan Sizing'!$F$63)</f>
        <v>1525292.7360656862</v>
      </c>
      <c r="AB69" s="16">
        <f ca="1">$H69*('Loan Sizing'!$F$31/'Loan Sizing'!$F$63)</f>
        <v>162.33954486620763</v>
      </c>
      <c r="AC69" s="16">
        <f ca="1">$H69*('Loan Sizing'!$F$8/'Loan Sizing'!$F$63)</f>
        <v>0.21155359069319302</v>
      </c>
      <c r="AD69" s="16">
        <f ca="1">$H69*('Loan Sizing'!$F$9/'Loan Sizing'!$F$63)</f>
        <v>2625724.9161093514</v>
      </c>
      <c r="AE69" s="16">
        <f ca="1">$H69*('Loan Sizing'!$F$47/'Loan Sizing'!$F$63)</f>
        <v>50292.122619293747</v>
      </c>
      <c r="AF69" s="16">
        <f ca="1">$H69*('Loan Sizing'!$F$10/'Loan Sizing'!$F$63)*SUM(AF$12:AF$20)/SUM($AF$12:$AG$20)</f>
        <v>371890.98795723182</v>
      </c>
      <c r="AG69" s="16">
        <v>0</v>
      </c>
      <c r="AH69" s="21"/>
      <c r="AI69" s="16"/>
      <c r="AJ69" s="16">
        <f ca="1">$I69*('Loan Sizing'!$G$5/'Loan Sizing'!$G$63)</f>
        <v>564981.18632892426</v>
      </c>
      <c r="AK69" s="16">
        <f ca="1">$I69*('Loan Sizing'!$G$6/'Loan Sizing'!$G$63)</f>
        <v>2765423.3757170406</v>
      </c>
      <c r="AL69" s="16">
        <f ca="1">$I69*('Loan Sizing'!$G$7/'Loan Sizing'!$G$63)</f>
        <v>2115716.4959445493</v>
      </c>
      <c r="AM69" s="16">
        <f ca="1">$I69*('Loan Sizing'!$G$31/'Loan Sizing'!$G$63)</f>
        <v>0</v>
      </c>
      <c r="AN69" s="16">
        <f ca="1">$I69*('Loan Sizing'!$G$8/'Loan Sizing'!$G$63)</f>
        <v>0</v>
      </c>
      <c r="AO69" s="16">
        <f ca="1">$I69*('Loan Sizing'!$G$9/'Loan Sizing'!$G$63)</f>
        <v>3268908.5518576154</v>
      </c>
      <c r="AP69" s="16">
        <f ca="1">$I69*('Loan Sizing'!$G$47/'Loan Sizing'!$G$63)</f>
        <v>2.5761737219798522E-6</v>
      </c>
      <c r="AQ69" s="16">
        <f ca="1">$I69*('Loan Sizing'!$G$10/'Loan Sizing'!$G$63)*SUM(AQ$12:AQ$20)/SUM($AQ$12:$AR$20)</f>
        <v>179862.99751124455</v>
      </c>
      <c r="AR69" s="16">
        <f ca="1">$I69*('Loan Sizing'!$G$10/'Loan Sizing'!$G$63)*SUM(AR$12:AR$20)/SUM($AQ$12:$AR$20)</f>
        <v>0</v>
      </c>
      <c r="AS69" s="21"/>
      <c r="AT69" s="16"/>
      <c r="AU69" s="16">
        <f>$J69*('Loan Sizing'!$H$5/'Loan Sizing'!$H$63)</f>
        <v>0</v>
      </c>
      <c r="AV69" s="16">
        <f>$J69*('Loan Sizing'!$H$6/'Loan Sizing'!$H$63)</f>
        <v>0</v>
      </c>
      <c r="AW69" s="16">
        <f>$J69*('Loan Sizing'!$H$7/'Loan Sizing'!$H$63)</f>
        <v>0</v>
      </c>
      <c r="AX69" s="16">
        <f>$J69*('Loan Sizing'!$H$31/'Loan Sizing'!$H$63)</f>
        <v>0</v>
      </c>
      <c r="AY69" s="16">
        <f>$J69*('Loan Sizing'!$H$8/'Loan Sizing'!$H$63)</f>
        <v>0</v>
      </c>
      <c r="AZ69" s="16">
        <f>$J69*('Loan Sizing'!$H$9/'Loan Sizing'!$H$63)</f>
        <v>0</v>
      </c>
      <c r="BA69" s="16">
        <f ca="1">$J69*('Loan Sizing'!$H$47/'Loan Sizing'!$H$63)</f>
        <v>0</v>
      </c>
      <c r="BB69" s="16">
        <f ca="1">$J69*('Loan Sizing'!$H$10/'Loan Sizing'!$H$63)*SUM(BB$12:BB$20)/SUM($BB$12:$BC$20)</f>
        <v>0</v>
      </c>
      <c r="BC69" s="16">
        <v>0</v>
      </c>
    </row>
    <row r="70" spans="1:55" s="21" customFormat="1">
      <c r="B70" s="15" t="s">
        <v>352</v>
      </c>
      <c r="C70" s="15"/>
      <c r="D70" s="15"/>
      <c r="E70" s="24"/>
      <c r="F70" s="47">
        <v>1</v>
      </c>
      <c r="G70" s="26">
        <f>+SUM(H70:J70)</f>
        <v>677480.8</v>
      </c>
      <c r="H70" s="16">
        <f>+Assumptions!$N$170*'S&amp;U'!H18</f>
        <v>677480.8</v>
      </c>
      <c r="I70" s="16">
        <v>0</v>
      </c>
      <c r="J70" s="16">
        <v>0</v>
      </c>
      <c r="M70" s="16">
        <f>$G70*('Loan Sizing'!$E$5/'Loan Sizing'!$E$63)</f>
        <v>44944.838743327535</v>
      </c>
      <c r="N70" s="16">
        <f>$G70*('Loan Sizing'!$E$6/'Loan Sizing'!$E$63)</f>
        <v>209808.83941611715</v>
      </c>
      <c r="O70" s="16">
        <f>$G70*('Loan Sizing'!$E$7/'Loan Sizing'!$E$63)</f>
        <v>154709.01913183101</v>
      </c>
      <c r="P70" s="16">
        <f>$G70*('Loan Sizing'!$E$31/'Loan Sizing'!$E$63)</f>
        <v>32931.619305931097</v>
      </c>
      <c r="Q70" s="16">
        <f>$G70*('Loan Sizing'!$E$8/'Loan Sizing'!$E$63)</f>
        <v>0</v>
      </c>
      <c r="R70" s="16">
        <f>$G70*('Loan Sizing'!$E$9/'Loan Sizing'!$E$63)</f>
        <v>193189.86524068649</v>
      </c>
      <c r="S70" s="16">
        <f ca="1">$G70*('Loan Sizing'!$E$47/'Loan Sizing'!$E$63)</f>
        <v>30123.960063989816</v>
      </c>
      <c r="T70" s="16">
        <f ca="1">$G70*('Loan Sizing'!$E$10/'Loan Sizing'!$E$63)*SUM(T$12:T$20)/SUM($T$12:$U$20)</f>
        <v>27470.075986104817</v>
      </c>
      <c r="U70" s="16">
        <f ca="1">$G70*('Loan Sizing'!$E$10/'Loan Sizing'!$E$63)*SUM(U$12:U$20)/SUM($T$12:$U$20)</f>
        <v>28718.090208776583</v>
      </c>
      <c r="Y70" s="16">
        <f ca="1">$H70*('Loan Sizing'!$F$5/'Loan Sizing'!$F$63)</f>
        <v>7673.3599219719408</v>
      </c>
      <c r="Z70" s="16">
        <f ca="1">$H70*('Loan Sizing'!$F$6/'Loan Sizing'!$F$63)</f>
        <v>-10878.613159399536</v>
      </c>
      <c r="AA70" s="16">
        <f ca="1">$H70*('Loan Sizing'!$F$7/'Loan Sizing'!$F$63)</f>
        <v>196885.43898804425</v>
      </c>
      <c r="AB70" s="16">
        <f ca="1">$H70*('Loan Sizing'!$F$31/'Loan Sizing'!$F$63)</f>
        <v>20.954857910453036</v>
      </c>
      <c r="AC70" s="16">
        <f ca="1">$H70*('Loan Sizing'!$F$8/'Loan Sizing'!$F$63)</f>
        <v>2.7307428002681201E-2</v>
      </c>
      <c r="AD70" s="16">
        <f ca="1">$H70*('Loan Sizing'!$F$9/'Loan Sizing'!$F$63)</f>
        <v>338929.69562255382</v>
      </c>
      <c r="AE70" s="16">
        <f ca="1">$H70*('Loan Sizing'!$F$47/'Loan Sizing'!$F$63)</f>
        <v>6491.7287058487527</v>
      </c>
      <c r="AF70" s="16">
        <f ca="1">$H70*('Loan Sizing'!$F$10/'Loan Sizing'!$F$63)*SUM(AF$12:AF$20)/SUM($AF$12:$AG$20)</f>
        <v>48003.847844000928</v>
      </c>
      <c r="AG70" s="16">
        <v>0</v>
      </c>
      <c r="AJ70" s="16">
        <f ca="1">$I70*('Loan Sizing'!$G$5/'Loan Sizing'!$G$63)</f>
        <v>0</v>
      </c>
      <c r="AK70" s="16">
        <f ca="1">$I70*('Loan Sizing'!$G$6/'Loan Sizing'!$G$63)</f>
        <v>0</v>
      </c>
      <c r="AL70" s="16">
        <f ca="1">$I70*('Loan Sizing'!$G$7/'Loan Sizing'!$G$63)</f>
        <v>0</v>
      </c>
      <c r="AM70" s="16">
        <f ca="1">$I70*('Loan Sizing'!$G$31/'Loan Sizing'!$G$63)</f>
        <v>0</v>
      </c>
      <c r="AN70" s="16">
        <f ca="1">$I70*('Loan Sizing'!$G$8/'Loan Sizing'!$G$63)</f>
        <v>0</v>
      </c>
      <c r="AO70" s="16">
        <f ca="1">$I70*('Loan Sizing'!$G$9/'Loan Sizing'!$G$63)</f>
        <v>0</v>
      </c>
      <c r="AP70" s="16">
        <f ca="1">$I70*('Loan Sizing'!$G$47/'Loan Sizing'!$G$63)</f>
        <v>0</v>
      </c>
      <c r="AQ70" s="16">
        <f ca="1">$I70*('Loan Sizing'!$G$10/'Loan Sizing'!$G$63)*SUM(AQ$12:AQ$20)/SUM($AQ$12:$AR$20)</f>
        <v>0</v>
      </c>
      <c r="AR70" s="16">
        <f ca="1">$I70*('Loan Sizing'!$G$10/'Loan Sizing'!$G$63)*SUM(AR$12:AR$20)/SUM($AQ$12:$AR$20)</f>
        <v>0</v>
      </c>
      <c r="AU70" s="16">
        <f>$J70*('Loan Sizing'!$H$5/'Loan Sizing'!$H$63)</f>
        <v>0</v>
      </c>
      <c r="AV70" s="16">
        <f>$J70*('Loan Sizing'!$H$6/'Loan Sizing'!$H$63)</f>
        <v>0</v>
      </c>
      <c r="AW70" s="16">
        <f>$J70*('Loan Sizing'!$H$7/'Loan Sizing'!$H$63)</f>
        <v>0</v>
      </c>
      <c r="AX70" s="16">
        <f>$J70*('Loan Sizing'!$H$31/'Loan Sizing'!$H$63)</f>
        <v>0</v>
      </c>
      <c r="AY70" s="16">
        <f>$J70*('Loan Sizing'!$H$8/'Loan Sizing'!$H$63)</f>
        <v>0</v>
      </c>
      <c r="AZ70" s="16">
        <f>$J70*('Loan Sizing'!$H$9/'Loan Sizing'!$H$63)</f>
        <v>0</v>
      </c>
      <c r="BA70" s="16">
        <f ca="1">$J70*('Loan Sizing'!$H$47/'Loan Sizing'!$H$63)</f>
        <v>0</v>
      </c>
      <c r="BB70" s="16">
        <f ca="1">$J70*('Loan Sizing'!$H$10/'Loan Sizing'!$H$63)*SUM(BB$12:BB$20)/SUM($BB$12:$BC$20)</f>
        <v>0</v>
      </c>
      <c r="BC70" s="16">
        <v>0</v>
      </c>
    </row>
    <row r="71" spans="1:55" s="21" customFormat="1">
      <c r="B71" s="15" t="s">
        <v>353</v>
      </c>
      <c r="C71" s="15"/>
      <c r="D71" s="15"/>
      <c r="E71" s="24"/>
      <c r="F71" s="47">
        <v>0.2</v>
      </c>
      <c r="G71" s="26">
        <f>+SUM(H71:J71)</f>
        <v>4642539</v>
      </c>
      <c r="H71" s="16">
        <f>+'S&amp;U'!H18*Assumptions!N168*Assumptions!N171*(Assumptions!F25)/12</f>
        <v>4064884.7999999993</v>
      </c>
      <c r="I71" s="16">
        <f>+'S&amp;U'!I18*Assumptions!O168*Assumptions!O171*(Assumptions!G25)/12</f>
        <v>438081.3</v>
      </c>
      <c r="J71" s="16">
        <f>+'S&amp;U'!J18*Assumptions!P168*Assumptions!P171*(Assumptions!H25)/12</f>
        <v>139572.9</v>
      </c>
      <c r="M71" s="16">
        <f>$G71*('Loan Sizing'!$E$5/'Loan Sizing'!$E$63)</f>
        <v>307991.26220936305</v>
      </c>
      <c r="N71" s="16">
        <f>$G71*('Loan Sizing'!$E$6/'Loan Sizing'!$E$63)</f>
        <v>1437746.6040868775</v>
      </c>
      <c r="O71" s="16">
        <f>$G71*('Loan Sizing'!$E$7/'Loan Sizing'!$E$63)</f>
        <v>1060166.8046847549</v>
      </c>
      <c r="P71" s="16">
        <f>$G71*('Loan Sizing'!$E$31/'Loan Sizing'!$E$63)</f>
        <v>225668.87055830669</v>
      </c>
      <c r="Q71" s="16">
        <f>$G71*('Loan Sizing'!$E$8/'Loan Sizing'!$E$63)</f>
        <v>0</v>
      </c>
      <c r="R71" s="16">
        <f>$G71*('Loan Sizing'!$E$9/'Loan Sizing'!$E$63)</f>
        <v>1323862.5858985691</v>
      </c>
      <c r="S71" s="16">
        <f ca="1">$G71*('Loan Sizing'!$E$47/'Loan Sizing'!$E$63)</f>
        <v>206428.96364223934</v>
      </c>
      <c r="T71" s="16">
        <f ca="1">$G71*('Loan Sizing'!$E$10/'Loan Sizing'!$E$63)*SUM(T$12:T$20)/SUM($T$12:$U$20)</f>
        <v>188242.82414860328</v>
      </c>
      <c r="U71" s="16">
        <f ca="1">$G71*('Loan Sizing'!$E$10/'Loan Sizing'!$E$63)*SUM(U$12:U$20)/SUM($T$12:$U$20)</f>
        <v>196795.02917243328</v>
      </c>
      <c r="Y71" s="16">
        <f ca="1">$H71*('Loan Sizing'!$F$5/'Loan Sizing'!$F$63)</f>
        <v>46040.159531831632</v>
      </c>
      <c r="Z71" s="16">
        <f ca="1">$H71*('Loan Sizing'!$F$6/'Loan Sizing'!$F$63)</f>
        <v>-65271.678956397198</v>
      </c>
      <c r="AA71" s="16">
        <f ca="1">$H71*('Loan Sizing'!$F$7/'Loan Sizing'!$F$63)</f>
        <v>1181312.6339282652</v>
      </c>
      <c r="AB71" s="16">
        <f ca="1">$H71*('Loan Sizing'!$F$31/'Loan Sizing'!$F$63)</f>
        <v>125.72914746271817</v>
      </c>
      <c r="AC71" s="16">
        <f ca="1">$H71*('Loan Sizing'!$F$8/'Loan Sizing'!$F$63)</f>
        <v>0.16384456801608716</v>
      </c>
      <c r="AD71" s="16">
        <f ca="1">$H71*('Loan Sizing'!$F$9/'Loan Sizing'!$F$63)</f>
        <v>2033578.1737353224</v>
      </c>
      <c r="AE71" s="16">
        <f ca="1">$H71*('Loan Sizing'!$F$47/'Loan Sizing'!$F$63)</f>
        <v>38950.372235092509</v>
      </c>
      <c r="AF71" s="16">
        <f ca="1">$H71*('Loan Sizing'!$F$10/'Loan Sizing'!$F$63)*SUM(AF$12:AF$20)/SUM($AF$12:$AG$20)</f>
        <v>288023.08706400549</v>
      </c>
      <c r="AG71" s="16">
        <v>0</v>
      </c>
      <c r="AJ71" s="16">
        <f ca="1">$I71*('Loan Sizing'!$G$5/'Loan Sizing'!$G$63)</f>
        <v>27825.821345798493</v>
      </c>
      <c r="AK71" s="16">
        <f ca="1">$I71*('Loan Sizing'!$G$6/'Loan Sizing'!$G$63)</f>
        <v>136199.53842745841</v>
      </c>
      <c r="AL71" s="16">
        <f ca="1">$I71*('Loan Sizing'!$G$7/'Loan Sizing'!$G$63)</f>
        <v>104200.90201063373</v>
      </c>
      <c r="AM71" s="16">
        <f ca="1">$I71*('Loan Sizing'!$G$31/'Loan Sizing'!$G$63)</f>
        <v>0</v>
      </c>
      <c r="AN71" s="16">
        <f ca="1">$I71*('Loan Sizing'!$G$8/'Loan Sizing'!$G$63)</f>
        <v>0</v>
      </c>
      <c r="AO71" s="16">
        <f ca="1">$I71*('Loan Sizing'!$G$9/'Loan Sizing'!$G$63)</f>
        <v>160996.62707491854</v>
      </c>
      <c r="AP71" s="16">
        <f ca="1">$I71*('Loan Sizing'!$G$47/'Loan Sizing'!$G$63)</f>
        <v>1.2687882619478696E-7</v>
      </c>
      <c r="AQ71" s="16">
        <f ca="1">$I71*('Loan Sizing'!$G$10/'Loan Sizing'!$G$63)*SUM(AQ$12:AQ$20)/SUM($AQ$12:$AR$20)</f>
        <v>8858.4111410639853</v>
      </c>
      <c r="AR71" s="16">
        <f ca="1">$I71*('Loan Sizing'!$G$10/'Loan Sizing'!$G$63)*SUM(AR$12:AR$20)/SUM($AQ$12:$AR$20)</f>
        <v>0</v>
      </c>
      <c r="AU71" s="16">
        <f>$J71*('Loan Sizing'!$H$5/'Loan Sizing'!$H$63)</f>
        <v>17737.441369604152</v>
      </c>
      <c r="AV71" s="16">
        <f>$J71*('Loan Sizing'!$H$6/'Loan Sizing'!$H$63)</f>
        <v>89144.415955848715</v>
      </c>
      <c r="AW71" s="16">
        <f>$J71*('Loan Sizing'!$H$7/'Loan Sizing'!$H$63)</f>
        <v>24715.581861223891</v>
      </c>
      <c r="AX71" s="16">
        <f>$J71*('Loan Sizing'!$H$31/'Loan Sizing'!$H$63)</f>
        <v>0</v>
      </c>
      <c r="AY71" s="16">
        <f>$J71*('Loan Sizing'!$H$8/'Loan Sizing'!$H$63)</f>
        <v>0</v>
      </c>
      <c r="AZ71" s="16">
        <f>$J71*('Loan Sizing'!$H$9/'Loan Sizing'!$H$63)</f>
        <v>0</v>
      </c>
      <c r="BA71" s="16">
        <f ca="1">$J71*('Loan Sizing'!$H$47/'Loan Sizing'!$H$63)</f>
        <v>0</v>
      </c>
      <c r="BB71" s="16">
        <f ca="1">$J71*('Loan Sizing'!$H$10/'Loan Sizing'!$H$63)*SUM(BB$12:BB$20)/SUM($BB$12:$BC$20)</f>
        <v>8266.6409487533965</v>
      </c>
      <c r="BC71" s="16">
        <v>0</v>
      </c>
    </row>
    <row r="72" spans="1:55">
      <c r="B72" s="17" t="s">
        <v>354</v>
      </c>
      <c r="C72" s="17"/>
      <c r="D72" s="17"/>
      <c r="E72" s="17"/>
      <c r="F72" s="48">
        <f t="shared" ca="1" si="111"/>
        <v>4.5281510474412281</v>
      </c>
      <c r="G72" s="18">
        <f ca="1">+SUM(G68:G71)</f>
        <v>23129745.740668271</v>
      </c>
      <c r="H72" s="58">
        <f>+SUM(H68:H71)</f>
        <v>10602597.694999998</v>
      </c>
      <c r="I72" s="58">
        <f ca="1">+SUM(I68:I71)</f>
        <v>10346636.882559894</v>
      </c>
      <c r="J72" s="58">
        <f ca="1">+SUM(J68:J71)</f>
        <v>139572.9</v>
      </c>
      <c r="K72" s="49"/>
      <c r="M72" s="58">
        <f t="shared" ref="M72:U72" ca="1" si="112">+SUM(M68:M71)</f>
        <v>1534453.363827436</v>
      </c>
      <c r="N72" s="58">
        <f t="shared" ca="1" si="112"/>
        <v>7163044.4875183022</v>
      </c>
      <c r="O72" s="58">
        <f t="shared" ca="1" si="112"/>
        <v>5281891.7913355399</v>
      </c>
      <c r="P72" s="58">
        <f t="shared" ca="1" si="112"/>
        <v>1124312.2772397581</v>
      </c>
      <c r="Q72" s="58">
        <f t="shared" ca="1" si="112"/>
        <v>0</v>
      </c>
      <c r="R72" s="58">
        <f t="shared" ca="1" si="112"/>
        <v>6595659.1872286936</v>
      </c>
      <c r="S72" s="58">
        <f t="shared" ca="1" si="112"/>
        <v>1028456.5067853282</v>
      </c>
      <c r="T72" s="58">
        <f t="shared" ca="1" si="112"/>
        <v>937850.74504759628</v>
      </c>
      <c r="U72" s="58">
        <f t="shared" ca="1" si="112"/>
        <v>980458.96604977921</v>
      </c>
      <c r="V72" s="21"/>
      <c r="W72" s="21"/>
      <c r="X72" s="16">
        <f ca="1">+SUM(Y72:AG72)</f>
        <v>9188548.8715759702</v>
      </c>
      <c r="Y72" s="58">
        <f t="shared" ref="Y72:AF72" ca="1" si="113">+SUM(Y68:Y71)</f>
        <v>120088.34526617589</v>
      </c>
      <c r="Z72" s="58">
        <f t="shared" ca="1" si="113"/>
        <v>-170250.66807597526</v>
      </c>
      <c r="AA72" s="58">
        <f t="shared" ca="1" si="113"/>
        <v>3081263.8551434977</v>
      </c>
      <c r="AB72" s="58">
        <f t="shared" ca="1" si="113"/>
        <v>327.94424311422824</v>
      </c>
      <c r="AC72" s="58">
        <f t="shared" ca="1" si="113"/>
        <v>0.42736218236384865</v>
      </c>
      <c r="AD72" s="58">
        <f t="shared" ca="1" si="113"/>
        <v>5304261.3304683175</v>
      </c>
      <c r="AE72" s="58">
        <f t="shared" ca="1" si="113"/>
        <v>101595.77631306645</v>
      </c>
      <c r="AF72" s="58">
        <f t="shared" ca="1" si="113"/>
        <v>751261.86085559148</v>
      </c>
      <c r="AG72" s="58">
        <v>0</v>
      </c>
      <c r="AH72" s="16"/>
      <c r="AI72" s="16">
        <f ca="1">+SUM(AJ72:AR72)</f>
        <v>10346636.882559894</v>
      </c>
      <c r="AJ72" s="58">
        <f t="shared" ref="AJ72:AR72" ca="1" si="114">+SUM(AJ68:AJ71)</f>
        <v>657192.32805408724</v>
      </c>
      <c r="AK72" s="58">
        <f t="shared" ca="1" si="114"/>
        <v>3216770.8771891762</v>
      </c>
      <c r="AL72" s="58">
        <f t="shared" ca="1" si="114"/>
        <v>2461024.6909403168</v>
      </c>
      <c r="AM72" s="58">
        <f t="shared" ca="1" si="114"/>
        <v>0</v>
      </c>
      <c r="AN72" s="58">
        <f t="shared" ca="1" si="114"/>
        <v>0</v>
      </c>
      <c r="AO72" s="58">
        <f t="shared" ca="1" si="114"/>
        <v>3802430.3700274192</v>
      </c>
      <c r="AP72" s="58">
        <f t="shared" ca="1" si="114"/>
        <v>2.9966335991125142E-6</v>
      </c>
      <c r="AQ72" s="58">
        <f t="shared" ca="1" si="114"/>
        <v>209218.61634589767</v>
      </c>
      <c r="AR72" s="58">
        <f t="shared" ca="1" si="114"/>
        <v>0</v>
      </c>
      <c r="AS72" s="21"/>
      <c r="AT72" s="16">
        <f ca="1">+SUM(AU72:BC72)</f>
        <v>2185060.1947311438</v>
      </c>
      <c r="AU72" s="58">
        <f t="shared" ref="AU72:BB72" ca="1" si="115">+SUM(AU68:AU71)</f>
        <v>17737.441369604152</v>
      </c>
      <c r="AV72" s="58">
        <f t="shared" ca="1" si="115"/>
        <v>89144.415955848715</v>
      </c>
      <c r="AW72" s="58">
        <f t="shared" ca="1" si="115"/>
        <v>24715.581861223891</v>
      </c>
      <c r="AX72" s="58">
        <f t="shared" ca="1" si="115"/>
        <v>0</v>
      </c>
      <c r="AY72" s="58">
        <f t="shared" si="115"/>
        <v>0</v>
      </c>
      <c r="AZ72" s="58">
        <f t="shared" ca="1" si="115"/>
        <v>0</v>
      </c>
      <c r="BA72" s="58">
        <f t="shared" ca="1" si="115"/>
        <v>0</v>
      </c>
      <c r="BB72" s="58">
        <f t="shared" ca="1" si="115"/>
        <v>8266.6409487533965</v>
      </c>
      <c r="BC72" s="58">
        <v>0</v>
      </c>
    </row>
    <row r="73" spans="1:55">
      <c r="B73" s="15"/>
      <c r="C73" s="15"/>
      <c r="D73" s="15"/>
      <c r="E73" s="15"/>
      <c r="F73" s="15"/>
      <c r="G73" s="15"/>
      <c r="H73" s="15"/>
      <c r="I73" s="15"/>
      <c r="J73" s="15"/>
      <c r="K73" s="21"/>
      <c r="M73" s="15"/>
      <c r="N73" s="15"/>
      <c r="O73" s="15"/>
      <c r="P73" s="15"/>
      <c r="Q73" s="15"/>
      <c r="R73" s="15"/>
      <c r="S73" s="15"/>
      <c r="T73" s="15"/>
      <c r="U73" s="15"/>
      <c r="V73" s="21"/>
      <c r="W73" s="21"/>
      <c r="X73" s="21"/>
      <c r="Y73" s="15"/>
      <c r="Z73" s="15"/>
      <c r="AA73" s="15"/>
      <c r="AB73" s="15"/>
      <c r="AC73" s="15"/>
      <c r="AD73" s="15"/>
      <c r="AE73" s="15"/>
      <c r="AF73" s="15"/>
      <c r="AG73" s="15"/>
      <c r="AH73" s="21"/>
      <c r="AI73" s="21"/>
      <c r="AJ73" s="15"/>
      <c r="AK73" s="15"/>
      <c r="AL73" s="15"/>
      <c r="AM73" s="15"/>
      <c r="AN73" s="15"/>
      <c r="AO73" s="15"/>
      <c r="AP73" s="15"/>
      <c r="AQ73" s="15"/>
      <c r="AR73" s="15"/>
      <c r="AS73" s="21"/>
      <c r="AT73" s="21"/>
      <c r="AU73" s="15"/>
      <c r="AV73" s="15"/>
      <c r="AW73" s="15"/>
      <c r="AX73" s="15"/>
      <c r="AY73" s="15"/>
      <c r="AZ73" s="15"/>
      <c r="BA73" s="15"/>
      <c r="BB73" s="15"/>
      <c r="BC73" s="15">
        <v>0</v>
      </c>
    </row>
    <row r="74" spans="1:55" ht="32.25" customHeight="1">
      <c r="B74" s="440" t="s">
        <v>264</v>
      </c>
      <c r="C74" s="441"/>
      <c r="D74" s="441"/>
      <c r="E74" s="441"/>
      <c r="F74" s="441"/>
      <c r="G74" s="440" t="s">
        <v>210</v>
      </c>
      <c r="H74" s="442" t="str">
        <f>+H$23</f>
        <v>I</v>
      </c>
      <c r="I74" s="442" t="str">
        <f t="shared" ref="I74:J74" si="116">+I$23</f>
        <v>II</v>
      </c>
      <c r="J74" s="442" t="str">
        <f t="shared" si="116"/>
        <v>III</v>
      </c>
      <c r="K74" s="21"/>
      <c r="M74" s="532" t="str">
        <f t="shared" ref="M74:U74" ca="1" si="117">+M$23</f>
        <v>Affordable Residential</v>
      </c>
      <c r="N74" s="532" t="str">
        <f t="shared" ca="1" si="117"/>
        <v>Market Rate Residential</v>
      </c>
      <c r="O74" s="532" t="str">
        <f t="shared" ca="1" si="117"/>
        <v>Retail</v>
      </c>
      <c r="P74" s="532" t="str">
        <f t="shared" ca="1" si="117"/>
        <v>Hotel</v>
      </c>
      <c r="Q74" s="532" t="str">
        <f t="shared" ca="1" si="117"/>
        <v>Museum</v>
      </c>
      <c r="R74" s="532" t="str">
        <f t="shared" ca="1" si="117"/>
        <v>Office</v>
      </c>
      <c r="S74" s="532" t="str">
        <f t="shared" ca="1" si="117"/>
        <v>Light Industrial/Flex</v>
      </c>
      <c r="T74" s="532" t="str">
        <f t="shared" ca="1" si="117"/>
        <v>Structural Parking</v>
      </c>
      <c r="U74" s="532" t="str">
        <f t="shared" ca="1" si="117"/>
        <v>Surface Parking</v>
      </c>
      <c r="V74" s="21"/>
      <c r="W74" s="21"/>
      <c r="X74" s="21"/>
      <c r="Y74" s="532" t="str">
        <f t="shared" ref="Y74:AG74" ca="1" si="118">+Y$23</f>
        <v>Affordable Residential</v>
      </c>
      <c r="Z74" s="532" t="str">
        <f t="shared" ca="1" si="118"/>
        <v>Market Rate Residential</v>
      </c>
      <c r="AA74" s="532" t="str">
        <f t="shared" ca="1" si="118"/>
        <v>Retail</v>
      </c>
      <c r="AB74" s="532" t="str">
        <f t="shared" ca="1" si="118"/>
        <v>Hotel</v>
      </c>
      <c r="AC74" s="532" t="str">
        <f t="shared" ca="1" si="118"/>
        <v>Museum</v>
      </c>
      <c r="AD74" s="532" t="str">
        <f t="shared" ca="1" si="118"/>
        <v>Office</v>
      </c>
      <c r="AE74" s="532" t="str">
        <f t="shared" ca="1" si="118"/>
        <v>Light Industrial/Flex</v>
      </c>
      <c r="AF74" s="532" t="str">
        <f t="shared" ca="1" si="118"/>
        <v>Structural Parking</v>
      </c>
      <c r="AG74" s="532" t="str">
        <f t="shared" ca="1" si="118"/>
        <v>Surface Parking</v>
      </c>
      <c r="AH74" s="21"/>
      <c r="AI74" s="21"/>
      <c r="AJ74" s="532" t="str">
        <f t="shared" ref="AJ74:AR74" ca="1" si="119">+AJ$23</f>
        <v>Affordable Residential</v>
      </c>
      <c r="AK74" s="532" t="str">
        <f t="shared" ca="1" si="119"/>
        <v>Market Rate Residential</v>
      </c>
      <c r="AL74" s="532" t="str">
        <f t="shared" ca="1" si="119"/>
        <v>Retail</v>
      </c>
      <c r="AM74" s="532" t="str">
        <f t="shared" ca="1" si="119"/>
        <v>Hotel</v>
      </c>
      <c r="AN74" s="532" t="str">
        <f t="shared" ca="1" si="119"/>
        <v>Museum</v>
      </c>
      <c r="AO74" s="532" t="str">
        <f t="shared" ca="1" si="119"/>
        <v>Office</v>
      </c>
      <c r="AP74" s="532" t="str">
        <f t="shared" ca="1" si="119"/>
        <v>Light Industrial/Flex</v>
      </c>
      <c r="AQ74" s="532" t="str">
        <f t="shared" ca="1" si="119"/>
        <v>Structural Parking</v>
      </c>
      <c r="AR74" s="532" t="str">
        <f t="shared" ca="1" si="119"/>
        <v>Surface Parking</v>
      </c>
      <c r="AS74" s="21"/>
      <c r="AT74" s="21"/>
      <c r="AU74" s="532" t="str">
        <f t="shared" ref="AU74:BC74" ca="1" si="120">+AU$23</f>
        <v>Affordable Residential</v>
      </c>
      <c r="AV74" s="532" t="str">
        <f t="shared" ca="1" si="120"/>
        <v>Market Rate Residential</v>
      </c>
      <c r="AW74" s="532" t="str">
        <f t="shared" ca="1" si="120"/>
        <v>Retail</v>
      </c>
      <c r="AX74" s="532" t="str">
        <f t="shared" ca="1" si="120"/>
        <v>Hotel</v>
      </c>
      <c r="AY74" s="532" t="str">
        <f t="shared" ca="1" si="120"/>
        <v>Museum</v>
      </c>
      <c r="AZ74" s="532" t="str">
        <f t="shared" ca="1" si="120"/>
        <v>Office</v>
      </c>
      <c r="BA74" s="532" t="str">
        <f t="shared" ca="1" si="120"/>
        <v>Light Industrial/Flex</v>
      </c>
      <c r="BB74" s="532" t="str">
        <f t="shared" ca="1" si="120"/>
        <v>Structural Parking</v>
      </c>
      <c r="BC74" s="532" t="str">
        <f t="shared" ca="1" si="120"/>
        <v>Surface Parking</v>
      </c>
    </row>
    <row r="75" spans="1:55">
      <c r="B75" s="15" t="s">
        <v>355</v>
      </c>
      <c r="C75" s="15"/>
      <c r="D75" s="15"/>
      <c r="E75" s="24"/>
      <c r="F75" s="47">
        <f t="shared" ref="F75:F77" ca="1" si="121">+G75/$G$10</f>
        <v>0.19577176066745641</v>
      </c>
      <c r="G75" s="26">
        <v>1000000</v>
      </c>
      <c r="H75" s="16">
        <f t="shared" ref="H75:J76" ca="1" si="122">+$G75*H$21</f>
        <v>460786.81845242815</v>
      </c>
      <c r="I75" s="16">
        <f t="shared" ca="1" si="122"/>
        <v>218098.55111277648</v>
      </c>
      <c r="J75" s="16">
        <f t="shared" ca="1" si="122"/>
        <v>321114.6304347954</v>
      </c>
      <c r="K75" s="21"/>
      <c r="M75" s="19">
        <f t="shared" ref="M75:U76" ca="1" si="123">+$H75*M$5+$I75*M$6+$J75*M$7</f>
        <v>198714.21023028827</v>
      </c>
      <c r="N75" s="19">
        <f t="shared" ca="1" si="123"/>
        <v>298021.98086174426</v>
      </c>
      <c r="O75" s="19">
        <f t="shared" ca="1" si="123"/>
        <v>65547.322047874419</v>
      </c>
      <c r="P75" s="19">
        <f t="shared" ca="1" si="123"/>
        <v>13497.484039217783</v>
      </c>
      <c r="Q75" s="19">
        <f t="shared" ca="1" si="123"/>
        <v>21123.381432497212</v>
      </c>
      <c r="R75" s="19">
        <f t="shared" ca="1" si="123"/>
        <v>122357.35041716025</v>
      </c>
      <c r="S75" s="19">
        <f t="shared" ca="1" si="123"/>
        <v>7397.0402050591738</v>
      </c>
      <c r="T75" s="19">
        <f t="shared" ca="1" si="123"/>
        <v>133634.97846216976</v>
      </c>
      <c r="U75" s="19">
        <f t="shared" ca="1" si="123"/>
        <v>139706.25230398891</v>
      </c>
      <c r="V75" s="21"/>
      <c r="W75" s="21"/>
      <c r="X75" s="21"/>
      <c r="Y75" s="19">
        <f t="shared" ref="Y75:AG76" ca="1" si="124">+$H75*Y$5+$I75*Y$6+$J75*Y$7</f>
        <v>45795.517570613403</v>
      </c>
      <c r="Z75" s="19">
        <f t="shared" ca="1" si="124"/>
        <v>68693.178470039769</v>
      </c>
      <c r="AA75" s="19">
        <f t="shared" ca="1" si="124"/>
        <v>29171.558513536344</v>
      </c>
      <c r="AB75" s="19">
        <f t="shared" ca="1" si="124"/>
        <v>13497.484039217783</v>
      </c>
      <c r="AC75" s="19">
        <f t="shared" ca="1" si="124"/>
        <v>21123.381432497212</v>
      </c>
      <c r="AD75" s="19">
        <f t="shared" ca="1" si="124"/>
        <v>61178.675208580134</v>
      </c>
      <c r="AE75" s="19">
        <f t="shared" ca="1" si="124"/>
        <v>7397.0402050591738</v>
      </c>
      <c r="AF75" s="19">
        <f t="shared" ca="1" si="124"/>
        <v>74223.730708895411</v>
      </c>
      <c r="AG75" s="19">
        <f t="shared" ca="1" si="124"/>
        <v>139706.25230398891</v>
      </c>
      <c r="AH75" s="21"/>
      <c r="AI75" s="21"/>
      <c r="AJ75" s="19">
        <f t="shared" ref="AJ75:AR76" ca="1" si="125">+$H75*AJ$5+$I75*AJ$6+$J75*AJ$7</f>
        <v>45136.745595967419</v>
      </c>
      <c r="AK75" s="19">
        <f t="shared" ca="1" si="125"/>
        <v>67704.922622190454</v>
      </c>
      <c r="AL75" s="19">
        <f t="shared" ca="1" si="125"/>
        <v>23438.382502389883</v>
      </c>
      <c r="AM75" s="19">
        <f t="shared" ca="1" si="125"/>
        <v>0</v>
      </c>
      <c r="AN75" s="19">
        <f t="shared" ca="1" si="125"/>
        <v>0</v>
      </c>
      <c r="AO75" s="19">
        <f t="shared" ca="1" si="125"/>
        <v>61178.675208580127</v>
      </c>
      <c r="AP75" s="19">
        <f t="shared" ca="1" si="125"/>
        <v>0</v>
      </c>
      <c r="AQ75" s="19">
        <f t="shared" ca="1" si="125"/>
        <v>20639.825183648594</v>
      </c>
      <c r="AR75" s="19">
        <f t="shared" ca="1" si="125"/>
        <v>0</v>
      </c>
      <c r="AS75" s="21"/>
      <c r="AT75" s="21"/>
      <c r="AU75" s="19">
        <f t="shared" ref="AU75:BC76" ca="1" si="126">+$H75*AU$5+$I75*AU$6+$J75*AU$7</f>
        <v>107781.94706370747</v>
      </c>
      <c r="AV75" s="19">
        <f t="shared" ca="1" si="126"/>
        <v>161623.87976951402</v>
      </c>
      <c r="AW75" s="19">
        <f t="shared" ca="1" si="126"/>
        <v>12937.381031948191</v>
      </c>
      <c r="AX75" s="19">
        <f t="shared" ca="1" si="126"/>
        <v>0</v>
      </c>
      <c r="AY75" s="19">
        <f t="shared" ca="1" si="126"/>
        <v>0</v>
      </c>
      <c r="AZ75" s="19">
        <f t="shared" ca="1" si="126"/>
        <v>0</v>
      </c>
      <c r="BA75" s="19">
        <f t="shared" ca="1" si="126"/>
        <v>0</v>
      </c>
      <c r="BB75" s="19">
        <f t="shared" ca="1" si="126"/>
        <v>38771.422569625742</v>
      </c>
      <c r="BC75" s="19">
        <f t="shared" ca="1" si="126"/>
        <v>0</v>
      </c>
    </row>
    <row r="76" spans="1:55">
      <c r="B76" s="15" t="s">
        <v>356</v>
      </c>
      <c r="C76" s="15"/>
      <c r="D76" s="15"/>
      <c r="E76" s="24"/>
      <c r="F76" s="47">
        <f t="shared" ca="1" si="121"/>
        <v>0.19577176066745641</v>
      </c>
      <c r="G76" s="13">
        <v>1000000</v>
      </c>
      <c r="H76" s="16">
        <f t="shared" ca="1" si="122"/>
        <v>460786.81845242815</v>
      </c>
      <c r="I76" s="16">
        <f t="shared" ca="1" si="122"/>
        <v>218098.55111277648</v>
      </c>
      <c r="J76" s="16">
        <f t="shared" ca="1" si="122"/>
        <v>321114.6304347954</v>
      </c>
      <c r="K76" s="21"/>
      <c r="M76" s="19">
        <f t="shared" ca="1" si="123"/>
        <v>198714.21023028827</v>
      </c>
      <c r="N76" s="19">
        <f t="shared" ca="1" si="123"/>
        <v>298021.98086174426</v>
      </c>
      <c r="O76" s="19">
        <f t="shared" ca="1" si="123"/>
        <v>65547.322047874419</v>
      </c>
      <c r="P76" s="19">
        <f t="shared" ca="1" si="123"/>
        <v>13497.484039217783</v>
      </c>
      <c r="Q76" s="19">
        <f t="shared" ca="1" si="123"/>
        <v>21123.381432497212</v>
      </c>
      <c r="R76" s="19">
        <f t="shared" ca="1" si="123"/>
        <v>122357.35041716025</v>
      </c>
      <c r="S76" s="19">
        <f t="shared" ca="1" si="123"/>
        <v>7397.0402050591738</v>
      </c>
      <c r="T76" s="19">
        <f t="shared" ca="1" si="123"/>
        <v>133634.97846216976</v>
      </c>
      <c r="U76" s="19">
        <f t="shared" ca="1" si="123"/>
        <v>139706.25230398891</v>
      </c>
      <c r="V76" s="21"/>
      <c r="W76" s="21"/>
      <c r="X76" s="21"/>
      <c r="Y76" s="19">
        <f t="shared" ca="1" si="124"/>
        <v>45795.517570613403</v>
      </c>
      <c r="Z76" s="19">
        <f t="shared" ca="1" si="124"/>
        <v>68693.178470039769</v>
      </c>
      <c r="AA76" s="19">
        <f t="shared" ca="1" si="124"/>
        <v>29171.558513536344</v>
      </c>
      <c r="AB76" s="19">
        <f t="shared" ca="1" si="124"/>
        <v>13497.484039217783</v>
      </c>
      <c r="AC76" s="19">
        <f t="shared" ca="1" si="124"/>
        <v>21123.381432497212</v>
      </c>
      <c r="AD76" s="19">
        <f t="shared" ca="1" si="124"/>
        <v>61178.675208580134</v>
      </c>
      <c r="AE76" s="19">
        <f t="shared" ca="1" si="124"/>
        <v>7397.0402050591738</v>
      </c>
      <c r="AF76" s="19">
        <f t="shared" ca="1" si="124"/>
        <v>74223.730708895411</v>
      </c>
      <c r="AG76" s="19">
        <f t="shared" ca="1" si="124"/>
        <v>139706.25230398891</v>
      </c>
      <c r="AH76" s="21"/>
      <c r="AI76" s="21"/>
      <c r="AJ76" s="19">
        <f t="shared" ca="1" si="125"/>
        <v>45136.745595967419</v>
      </c>
      <c r="AK76" s="19">
        <f t="shared" ca="1" si="125"/>
        <v>67704.922622190454</v>
      </c>
      <c r="AL76" s="19">
        <f t="shared" ca="1" si="125"/>
        <v>23438.382502389883</v>
      </c>
      <c r="AM76" s="19">
        <f t="shared" ca="1" si="125"/>
        <v>0</v>
      </c>
      <c r="AN76" s="19">
        <f t="shared" ca="1" si="125"/>
        <v>0</v>
      </c>
      <c r="AO76" s="19">
        <f t="shared" ca="1" si="125"/>
        <v>61178.675208580127</v>
      </c>
      <c r="AP76" s="19">
        <f t="shared" ca="1" si="125"/>
        <v>0</v>
      </c>
      <c r="AQ76" s="19">
        <f t="shared" ca="1" si="125"/>
        <v>20639.825183648594</v>
      </c>
      <c r="AR76" s="19">
        <f t="shared" ca="1" si="125"/>
        <v>0</v>
      </c>
      <c r="AS76" s="21"/>
      <c r="AT76" s="21"/>
      <c r="AU76" s="19">
        <f t="shared" ca="1" si="126"/>
        <v>107781.94706370747</v>
      </c>
      <c r="AV76" s="19">
        <f t="shared" ca="1" si="126"/>
        <v>161623.87976951402</v>
      </c>
      <c r="AW76" s="19">
        <f t="shared" ca="1" si="126"/>
        <v>12937.381031948191</v>
      </c>
      <c r="AX76" s="19">
        <f t="shared" ca="1" si="126"/>
        <v>0</v>
      </c>
      <c r="AY76" s="19">
        <f t="shared" ca="1" si="126"/>
        <v>0</v>
      </c>
      <c r="AZ76" s="19">
        <f t="shared" ca="1" si="126"/>
        <v>0</v>
      </c>
      <c r="BA76" s="19">
        <f t="shared" ca="1" si="126"/>
        <v>0</v>
      </c>
      <c r="BB76" s="19">
        <f t="shared" ca="1" si="126"/>
        <v>38771.422569625742</v>
      </c>
      <c r="BC76" s="19">
        <f t="shared" ca="1" si="126"/>
        <v>0</v>
      </c>
    </row>
    <row r="77" spans="1:55">
      <c r="B77" s="17" t="s">
        <v>357</v>
      </c>
      <c r="C77" s="17"/>
      <c r="D77" s="17"/>
      <c r="E77" s="17"/>
      <c r="F77" s="48">
        <f t="shared" ca="1" si="121"/>
        <v>0.39154352133491283</v>
      </c>
      <c r="G77" s="18">
        <f>+SUM(G75:G76)</f>
        <v>2000000</v>
      </c>
      <c r="H77" s="58">
        <f ca="1">+SUM(H75:H76)</f>
        <v>921573.63690485631</v>
      </c>
      <c r="I77" s="58">
        <f ca="1">+SUM(I75:I76)</f>
        <v>436197.10222555295</v>
      </c>
      <c r="J77" s="58">
        <f ca="1">+SUM(J75:J76)</f>
        <v>642229.2608695908</v>
      </c>
      <c r="K77" s="21"/>
      <c r="M77" s="58">
        <f t="shared" ref="M77:U77" ca="1" si="127">+SUM(M75:M76)</f>
        <v>397428.42046057654</v>
      </c>
      <c r="N77" s="58">
        <f t="shared" ca="1" si="127"/>
        <v>596043.96172348852</v>
      </c>
      <c r="O77" s="58">
        <f t="shared" ca="1" si="127"/>
        <v>131094.64409574884</v>
      </c>
      <c r="P77" s="58">
        <f t="shared" ca="1" si="127"/>
        <v>26994.968078435566</v>
      </c>
      <c r="Q77" s="58">
        <f t="shared" ca="1" si="127"/>
        <v>42246.762864994424</v>
      </c>
      <c r="R77" s="58">
        <f t="shared" ca="1" si="127"/>
        <v>244714.70083432051</v>
      </c>
      <c r="S77" s="58">
        <f t="shared" ca="1" si="127"/>
        <v>14794.080410118348</v>
      </c>
      <c r="T77" s="58">
        <f t="shared" ca="1" si="127"/>
        <v>267269.95692433952</v>
      </c>
      <c r="U77" s="58">
        <f t="shared" ca="1" si="127"/>
        <v>279412.50460797781</v>
      </c>
      <c r="V77" s="21"/>
      <c r="W77" s="21"/>
      <c r="X77" s="16">
        <f ca="1">+SUM(Y77:AG77)</f>
        <v>921573.63690485619</v>
      </c>
      <c r="Y77" s="58">
        <f t="shared" ref="Y77:AG77" ca="1" si="128">+SUM(Y75:Y76)</f>
        <v>91591.035141226806</v>
      </c>
      <c r="Z77" s="58">
        <f t="shared" ca="1" si="128"/>
        <v>137386.35694007954</v>
      </c>
      <c r="AA77" s="58">
        <f t="shared" ca="1" si="128"/>
        <v>58343.117027072687</v>
      </c>
      <c r="AB77" s="58">
        <f t="shared" ca="1" si="128"/>
        <v>26994.968078435566</v>
      </c>
      <c r="AC77" s="58">
        <f t="shared" ca="1" si="128"/>
        <v>42246.762864994424</v>
      </c>
      <c r="AD77" s="58">
        <f t="shared" ca="1" si="128"/>
        <v>122357.35041716027</v>
      </c>
      <c r="AE77" s="58">
        <f t="shared" ca="1" si="128"/>
        <v>14794.080410118348</v>
      </c>
      <c r="AF77" s="58">
        <f t="shared" ca="1" si="128"/>
        <v>148447.46141779082</v>
      </c>
      <c r="AG77" s="58">
        <f t="shared" ca="1" si="128"/>
        <v>279412.50460797781</v>
      </c>
      <c r="AH77" s="16"/>
      <c r="AI77" s="16">
        <f ca="1">+SUM(AJ77:AR77)</f>
        <v>436197.1022255529</v>
      </c>
      <c r="AJ77" s="58">
        <f t="shared" ref="AJ77:AR77" ca="1" si="129">+SUM(AJ75:AJ76)</f>
        <v>90273.491191934838</v>
      </c>
      <c r="AK77" s="58">
        <f t="shared" ca="1" si="129"/>
        <v>135409.84524438091</v>
      </c>
      <c r="AL77" s="58">
        <f t="shared" ca="1" si="129"/>
        <v>46876.765004779765</v>
      </c>
      <c r="AM77" s="58">
        <f t="shared" ca="1" si="129"/>
        <v>0</v>
      </c>
      <c r="AN77" s="58">
        <f t="shared" ca="1" si="129"/>
        <v>0</v>
      </c>
      <c r="AO77" s="58">
        <f t="shared" ca="1" si="129"/>
        <v>122357.35041716025</v>
      </c>
      <c r="AP77" s="58">
        <f t="shared" ca="1" si="129"/>
        <v>0</v>
      </c>
      <c r="AQ77" s="58">
        <f t="shared" ca="1" si="129"/>
        <v>41279.650367297188</v>
      </c>
      <c r="AR77" s="58">
        <f t="shared" ca="1" si="129"/>
        <v>0</v>
      </c>
      <c r="AS77" s="21"/>
      <c r="AT77" s="16">
        <f ca="1">+SUM(AU77:BC77)</f>
        <v>642229.2608695908</v>
      </c>
      <c r="AU77" s="58">
        <f t="shared" ref="AU77:BC77" ca="1" si="130">+SUM(AU75:AU76)</f>
        <v>215563.89412741494</v>
      </c>
      <c r="AV77" s="58">
        <f t="shared" ca="1" si="130"/>
        <v>323247.75953902805</v>
      </c>
      <c r="AW77" s="58">
        <f t="shared" ca="1" si="130"/>
        <v>25874.762063896382</v>
      </c>
      <c r="AX77" s="58">
        <f t="shared" ca="1" si="130"/>
        <v>0</v>
      </c>
      <c r="AY77" s="58">
        <f t="shared" ca="1" si="130"/>
        <v>0</v>
      </c>
      <c r="AZ77" s="58">
        <f t="shared" ca="1" si="130"/>
        <v>0</v>
      </c>
      <c r="BA77" s="58">
        <f t="shared" ca="1" si="130"/>
        <v>0</v>
      </c>
      <c r="BB77" s="58">
        <f t="shared" ca="1" si="130"/>
        <v>77542.845139251483</v>
      </c>
      <c r="BC77" s="58">
        <f t="shared" ca="1" si="130"/>
        <v>0</v>
      </c>
    </row>
    <row r="78" spans="1:55">
      <c r="B78" s="15"/>
      <c r="C78" s="15"/>
      <c r="D78" s="15"/>
      <c r="E78" s="15"/>
      <c r="F78" s="15"/>
      <c r="G78" s="15"/>
      <c r="H78" s="15"/>
      <c r="I78" s="15"/>
      <c r="J78" s="15"/>
      <c r="K78" s="21"/>
      <c r="M78" s="15"/>
      <c r="N78" s="15"/>
      <c r="O78" s="15"/>
      <c r="P78" s="15"/>
      <c r="Q78" s="15"/>
      <c r="R78" s="15"/>
      <c r="S78" s="15"/>
      <c r="T78" s="15"/>
      <c r="U78" s="15"/>
      <c r="V78" s="21"/>
      <c r="W78" s="21"/>
      <c r="X78" s="21"/>
      <c r="Y78" s="15"/>
      <c r="Z78" s="15"/>
      <c r="AA78" s="15"/>
      <c r="AB78" s="15"/>
      <c r="AC78" s="15"/>
      <c r="AD78" s="15"/>
      <c r="AE78" s="15"/>
      <c r="AF78" s="15"/>
      <c r="AG78" s="15"/>
      <c r="AH78" s="21"/>
      <c r="AI78" s="21"/>
      <c r="AJ78" s="15"/>
      <c r="AK78" s="15"/>
      <c r="AL78" s="15"/>
      <c r="AM78" s="15"/>
      <c r="AN78" s="15"/>
      <c r="AO78" s="15"/>
      <c r="AP78" s="15"/>
      <c r="AQ78" s="15"/>
      <c r="AR78" s="15"/>
      <c r="AS78" s="21"/>
      <c r="AT78" s="21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 ht="32.25" customHeight="1">
      <c r="B79" s="440" t="s">
        <v>265</v>
      </c>
      <c r="C79" s="441"/>
      <c r="D79" s="441"/>
      <c r="E79" s="441"/>
      <c r="F79" s="441"/>
      <c r="G79" s="440" t="s">
        <v>210</v>
      </c>
      <c r="H79" s="442" t="str">
        <f>+H$23</f>
        <v>I</v>
      </c>
      <c r="I79" s="442" t="str">
        <f t="shared" ref="I79:J79" si="131">+I$23</f>
        <v>II</v>
      </c>
      <c r="J79" s="442" t="str">
        <f t="shared" si="131"/>
        <v>III</v>
      </c>
      <c r="K79" s="21"/>
      <c r="M79" s="532" t="str">
        <f t="shared" ref="M79:U79" ca="1" si="132">+M$23</f>
        <v>Affordable Residential</v>
      </c>
      <c r="N79" s="532" t="str">
        <f t="shared" ca="1" si="132"/>
        <v>Market Rate Residential</v>
      </c>
      <c r="O79" s="532" t="str">
        <f t="shared" ca="1" si="132"/>
        <v>Retail</v>
      </c>
      <c r="P79" s="532" t="str">
        <f t="shared" ca="1" si="132"/>
        <v>Hotel</v>
      </c>
      <c r="Q79" s="532" t="str">
        <f t="shared" ca="1" si="132"/>
        <v>Museum</v>
      </c>
      <c r="R79" s="532" t="str">
        <f t="shared" ca="1" si="132"/>
        <v>Office</v>
      </c>
      <c r="S79" s="532" t="str">
        <f t="shared" ca="1" si="132"/>
        <v>Light Industrial/Flex</v>
      </c>
      <c r="T79" s="532" t="str">
        <f t="shared" ca="1" si="132"/>
        <v>Structural Parking</v>
      </c>
      <c r="U79" s="532" t="str">
        <f t="shared" ca="1" si="132"/>
        <v>Surface Parking</v>
      </c>
      <c r="V79" s="21"/>
      <c r="W79" s="21"/>
      <c r="X79" s="21"/>
      <c r="Y79" s="532" t="str">
        <f t="shared" ref="Y79:AG79" ca="1" si="133">+Y$23</f>
        <v>Affordable Residential</v>
      </c>
      <c r="Z79" s="532" t="str">
        <f t="shared" ca="1" si="133"/>
        <v>Market Rate Residential</v>
      </c>
      <c r="AA79" s="532" t="str">
        <f t="shared" ca="1" si="133"/>
        <v>Retail</v>
      </c>
      <c r="AB79" s="532" t="str">
        <f t="shared" ca="1" si="133"/>
        <v>Hotel</v>
      </c>
      <c r="AC79" s="532" t="str">
        <f t="shared" ca="1" si="133"/>
        <v>Museum</v>
      </c>
      <c r="AD79" s="532" t="str">
        <f t="shared" ca="1" si="133"/>
        <v>Office</v>
      </c>
      <c r="AE79" s="532" t="str">
        <f t="shared" ca="1" si="133"/>
        <v>Light Industrial/Flex</v>
      </c>
      <c r="AF79" s="532" t="str">
        <f t="shared" ca="1" si="133"/>
        <v>Structural Parking</v>
      </c>
      <c r="AG79" s="532" t="str">
        <f t="shared" ca="1" si="133"/>
        <v>Surface Parking</v>
      </c>
      <c r="AH79" s="21"/>
      <c r="AI79" s="21"/>
      <c r="AJ79" s="532" t="str">
        <f t="shared" ref="AJ79:AR79" ca="1" si="134">+AJ$23</f>
        <v>Affordable Residential</v>
      </c>
      <c r="AK79" s="532" t="str">
        <f t="shared" ca="1" si="134"/>
        <v>Market Rate Residential</v>
      </c>
      <c r="AL79" s="532" t="str">
        <f t="shared" ca="1" si="134"/>
        <v>Retail</v>
      </c>
      <c r="AM79" s="532" t="str">
        <f t="shared" ca="1" si="134"/>
        <v>Hotel</v>
      </c>
      <c r="AN79" s="532" t="str">
        <f t="shared" ca="1" si="134"/>
        <v>Museum</v>
      </c>
      <c r="AO79" s="532" t="str">
        <f t="shared" ca="1" si="134"/>
        <v>Office</v>
      </c>
      <c r="AP79" s="532" t="str">
        <f t="shared" ca="1" si="134"/>
        <v>Light Industrial/Flex</v>
      </c>
      <c r="AQ79" s="532" t="str">
        <f t="shared" ca="1" si="134"/>
        <v>Structural Parking</v>
      </c>
      <c r="AR79" s="532" t="str">
        <f t="shared" ca="1" si="134"/>
        <v>Surface Parking</v>
      </c>
      <c r="AS79" s="21"/>
      <c r="AT79" s="21"/>
      <c r="AU79" s="532" t="str">
        <f t="shared" ref="AU79:BC79" ca="1" si="135">+AU$23</f>
        <v>Affordable Residential</v>
      </c>
      <c r="AV79" s="532" t="str">
        <f t="shared" ca="1" si="135"/>
        <v>Market Rate Residential</v>
      </c>
      <c r="AW79" s="532" t="str">
        <f t="shared" ca="1" si="135"/>
        <v>Retail</v>
      </c>
      <c r="AX79" s="532" t="str">
        <f t="shared" ca="1" si="135"/>
        <v>Hotel</v>
      </c>
      <c r="AY79" s="532" t="str">
        <f t="shared" ca="1" si="135"/>
        <v>Museum</v>
      </c>
      <c r="AZ79" s="532" t="str">
        <f t="shared" ca="1" si="135"/>
        <v>Office</v>
      </c>
      <c r="BA79" s="532" t="str">
        <f t="shared" ca="1" si="135"/>
        <v>Light Industrial/Flex</v>
      </c>
      <c r="BB79" s="532" t="str">
        <f t="shared" ca="1" si="135"/>
        <v>Structural Parking</v>
      </c>
      <c r="BC79" s="532" t="str">
        <f t="shared" ca="1" si="135"/>
        <v>Surface Parking</v>
      </c>
    </row>
    <row r="80" spans="1:55">
      <c r="B80" s="15" t="s">
        <v>265</v>
      </c>
      <c r="C80" s="15"/>
      <c r="D80" s="830">
        <v>0.03</v>
      </c>
      <c r="E80" s="49">
        <v>0</v>
      </c>
      <c r="F80" s="826">
        <f t="shared" ref="F80:F83" ca="1" si="136">+G80/$G$10</f>
        <v>5.570402463359641</v>
      </c>
      <c r="G80" s="23">
        <f ca="1">+SUM(H80:J80)</f>
        <v>28453554.508413948</v>
      </c>
      <c r="H80" s="16">
        <f ca="1">+$D80*SUM(H77,H72,H65,H46,H32)</f>
        <v>10742562.761021346</v>
      </c>
      <c r="I80" s="16">
        <f ca="1">+$D80*SUM(I77,I72,I65,I46,I32)</f>
        <v>7108403.1003052182</v>
      </c>
      <c r="J80" s="16">
        <f ca="1">+$D80*SUM(J77,J72,J65,J46,J32)</f>
        <v>10541360.499194132</v>
      </c>
      <c r="K80" s="16"/>
      <c r="L80" s="16"/>
      <c r="M80" s="19">
        <f t="shared" ref="M80:U80" ca="1" si="137">+$H80*M$5+$I80*M$6+$J80*M$7</f>
        <v>6097532.4779043123</v>
      </c>
      <c r="N80" s="19">
        <f t="shared" ca="1" si="137"/>
        <v>9144670.8201460429</v>
      </c>
      <c r="O80" s="19">
        <f t="shared" ca="1" si="137"/>
        <v>1871177.4854606339</v>
      </c>
      <c r="P80" s="19">
        <f t="shared" ca="1" si="137"/>
        <v>314673.86565909447</v>
      </c>
      <c r="Q80" s="19">
        <f t="shared" ca="1" si="137"/>
        <v>492460.37793726847</v>
      </c>
      <c r="R80" s="19">
        <f t="shared" ca="1" si="137"/>
        <v>3420263.5606251</v>
      </c>
      <c r="S80" s="19">
        <f t="shared" ca="1" si="137"/>
        <v>172451.04561698783</v>
      </c>
      <c r="T80" s="19">
        <f t="shared" ca="1" si="137"/>
        <v>3683280.3516920852</v>
      </c>
      <c r="U80" s="19">
        <f t="shared" ca="1" si="137"/>
        <v>3257044.5233724229</v>
      </c>
      <c r="V80" s="21"/>
      <c r="W80" s="21"/>
      <c r="X80" s="16"/>
      <c r="Y80" s="19">
        <f t="shared" ref="Y80:AG80" ca="1" si="138">+$H80*Y$5+$I80*Y$6+$J80*Y$7</f>
        <v>1067654.7200895257</v>
      </c>
      <c r="Z80" s="19">
        <f t="shared" ca="1" si="138"/>
        <v>1601479.7980698484</v>
      </c>
      <c r="AA80" s="19">
        <f t="shared" ca="1" si="138"/>
        <v>680091.71621046262</v>
      </c>
      <c r="AB80" s="19">
        <f t="shared" ca="1" si="138"/>
        <v>314673.86565909447</v>
      </c>
      <c r="AC80" s="19">
        <f t="shared" ca="1" si="138"/>
        <v>492460.37793726847</v>
      </c>
      <c r="AD80" s="19">
        <f t="shared" ca="1" si="138"/>
        <v>1426290.2751246216</v>
      </c>
      <c r="AE80" s="19">
        <f t="shared" ca="1" si="138"/>
        <v>172451.04561698783</v>
      </c>
      <c r="AF80" s="19">
        <f t="shared" ca="1" si="138"/>
        <v>1730416.4389411141</v>
      </c>
      <c r="AG80" s="19">
        <f t="shared" ca="1" si="138"/>
        <v>3257044.5233724229</v>
      </c>
      <c r="AH80" s="21"/>
      <c r="AI80" s="16"/>
      <c r="AJ80" s="19">
        <f t="shared" ref="AJ80:AR80" ca="1" si="139">+$H80*AJ$5+$I80*AJ$6+$J80*AJ$7</f>
        <v>1471124.7768269421</v>
      </c>
      <c r="AK80" s="19">
        <f t="shared" ca="1" si="139"/>
        <v>2206680.7845258992</v>
      </c>
      <c r="AL80" s="19">
        <f t="shared" ca="1" si="139"/>
        <v>763918.28371191618</v>
      </c>
      <c r="AM80" s="19">
        <f t="shared" ca="1" si="139"/>
        <v>0</v>
      </c>
      <c r="AN80" s="19">
        <f t="shared" ca="1" si="139"/>
        <v>0</v>
      </c>
      <c r="AO80" s="19">
        <f t="shared" ca="1" si="139"/>
        <v>1993973.2855004785</v>
      </c>
      <c r="AP80" s="19">
        <f t="shared" ca="1" si="139"/>
        <v>0</v>
      </c>
      <c r="AQ80" s="19">
        <f t="shared" ca="1" si="139"/>
        <v>672705.96973998228</v>
      </c>
      <c r="AR80" s="19">
        <f t="shared" ca="1" si="139"/>
        <v>0</v>
      </c>
      <c r="AS80" s="21"/>
      <c r="AT80" s="16"/>
      <c r="AU80" s="19">
        <f t="shared" ref="AU80:BC80" ca="1" si="140">+$H80*AU$5+$I80*AU$6+$J80*AU$7</f>
        <v>3558752.9809878445</v>
      </c>
      <c r="AV80" s="19">
        <f t="shared" ca="1" si="140"/>
        <v>5336510.2375502959</v>
      </c>
      <c r="AW80" s="19">
        <f t="shared" ca="1" si="140"/>
        <v>427167.48553825496</v>
      </c>
      <c r="AX80" s="19">
        <f t="shared" ca="1" si="140"/>
        <v>0</v>
      </c>
      <c r="AY80" s="19">
        <f t="shared" ca="1" si="140"/>
        <v>0</v>
      </c>
      <c r="AZ80" s="19">
        <f t="shared" ca="1" si="140"/>
        <v>0</v>
      </c>
      <c r="BA80" s="19">
        <f t="shared" ca="1" si="140"/>
        <v>0</v>
      </c>
      <c r="BB80" s="19">
        <f t="shared" ca="1" si="140"/>
        <v>1280157.9430109884</v>
      </c>
      <c r="BC80" s="19">
        <f t="shared" ca="1" si="140"/>
        <v>0</v>
      </c>
    </row>
    <row r="81" spans="2:55">
      <c r="B81" s="17" t="s">
        <v>358</v>
      </c>
      <c r="C81" s="17"/>
      <c r="D81" s="17"/>
      <c r="E81" s="17"/>
      <c r="F81" s="829">
        <f t="shared" ca="1" si="136"/>
        <v>5.570402463359641</v>
      </c>
      <c r="G81" s="18">
        <f ca="1">+SUM(G80:G80)</f>
        <v>28453554.508413948</v>
      </c>
      <c r="H81" s="58">
        <f ca="1">+SUM(H80:H80)</f>
        <v>10742562.761021346</v>
      </c>
      <c r="I81" s="58">
        <f ca="1">+SUM(I80:I80)</f>
        <v>7108403.1003052182</v>
      </c>
      <c r="J81" s="58">
        <f ca="1">+SUM(J80:J80)</f>
        <v>10541360.499194132</v>
      </c>
      <c r="K81" s="21"/>
      <c r="M81" s="58">
        <f t="shared" ref="M81:U81" ca="1" si="141">+SUM(M80:M80)</f>
        <v>6097532.4779043123</v>
      </c>
      <c r="N81" s="58">
        <f t="shared" ca="1" si="141"/>
        <v>9144670.8201460429</v>
      </c>
      <c r="O81" s="58">
        <f t="shared" ca="1" si="141"/>
        <v>1871177.4854606339</v>
      </c>
      <c r="P81" s="58">
        <f t="shared" ca="1" si="141"/>
        <v>314673.86565909447</v>
      </c>
      <c r="Q81" s="58">
        <f t="shared" ca="1" si="141"/>
        <v>492460.37793726847</v>
      </c>
      <c r="R81" s="58">
        <f t="shared" ca="1" si="141"/>
        <v>3420263.5606251</v>
      </c>
      <c r="S81" s="58">
        <f t="shared" ca="1" si="141"/>
        <v>172451.04561698783</v>
      </c>
      <c r="T81" s="58">
        <f t="shared" ca="1" si="141"/>
        <v>3683280.3516920852</v>
      </c>
      <c r="U81" s="58">
        <f t="shared" ca="1" si="141"/>
        <v>3257044.5233724229</v>
      </c>
      <c r="V81" s="21"/>
      <c r="W81" s="21"/>
      <c r="X81" s="16">
        <f ca="1">+SUM(Y81:AG81)</f>
        <v>10742562.761021346</v>
      </c>
      <c r="Y81" s="58">
        <f t="shared" ref="Y81:AG81" ca="1" si="142">+SUM(Y80:Y80)</f>
        <v>1067654.7200895257</v>
      </c>
      <c r="Z81" s="58">
        <f t="shared" ca="1" si="142"/>
        <v>1601479.7980698484</v>
      </c>
      <c r="AA81" s="58">
        <f t="shared" ca="1" si="142"/>
        <v>680091.71621046262</v>
      </c>
      <c r="AB81" s="58">
        <f t="shared" ca="1" si="142"/>
        <v>314673.86565909447</v>
      </c>
      <c r="AC81" s="58">
        <f t="shared" ca="1" si="142"/>
        <v>492460.37793726847</v>
      </c>
      <c r="AD81" s="58">
        <f t="shared" ca="1" si="142"/>
        <v>1426290.2751246216</v>
      </c>
      <c r="AE81" s="58">
        <f t="shared" ca="1" si="142"/>
        <v>172451.04561698783</v>
      </c>
      <c r="AF81" s="58">
        <f t="shared" ca="1" si="142"/>
        <v>1730416.4389411141</v>
      </c>
      <c r="AG81" s="58">
        <f t="shared" ca="1" si="142"/>
        <v>3257044.5233724229</v>
      </c>
      <c r="AH81" s="16"/>
      <c r="AI81" s="16">
        <f ca="1">+SUM(AJ81:AR81)</f>
        <v>7108403.1003052173</v>
      </c>
      <c r="AJ81" s="58">
        <f t="shared" ref="AJ81:AR81" ca="1" si="143">+SUM(AJ80:AJ80)</f>
        <v>1471124.7768269421</v>
      </c>
      <c r="AK81" s="58">
        <f t="shared" ca="1" si="143"/>
        <v>2206680.7845258992</v>
      </c>
      <c r="AL81" s="58">
        <f t="shared" ca="1" si="143"/>
        <v>763918.28371191618</v>
      </c>
      <c r="AM81" s="58">
        <f t="shared" ca="1" si="143"/>
        <v>0</v>
      </c>
      <c r="AN81" s="58">
        <f t="shared" ca="1" si="143"/>
        <v>0</v>
      </c>
      <c r="AO81" s="58">
        <f t="shared" ca="1" si="143"/>
        <v>1993973.2855004785</v>
      </c>
      <c r="AP81" s="58">
        <f t="shared" ca="1" si="143"/>
        <v>0</v>
      </c>
      <c r="AQ81" s="58">
        <f t="shared" ca="1" si="143"/>
        <v>672705.96973998228</v>
      </c>
      <c r="AR81" s="58">
        <f t="shared" ca="1" si="143"/>
        <v>0</v>
      </c>
      <c r="AS81" s="21"/>
      <c r="AT81" s="16">
        <f ca="1">+SUM(AU81:BC81)</f>
        <v>10602588.647087384</v>
      </c>
      <c r="AU81" s="58">
        <f t="shared" ref="AU81:BC81" ca="1" si="144">+SUM(AU80:AU80)</f>
        <v>3558752.9809878445</v>
      </c>
      <c r="AV81" s="58">
        <f t="shared" ca="1" si="144"/>
        <v>5336510.2375502959</v>
      </c>
      <c r="AW81" s="58">
        <f t="shared" ca="1" si="144"/>
        <v>427167.48553825496</v>
      </c>
      <c r="AX81" s="58">
        <f t="shared" ca="1" si="144"/>
        <v>0</v>
      </c>
      <c r="AY81" s="58">
        <f t="shared" ca="1" si="144"/>
        <v>0</v>
      </c>
      <c r="AZ81" s="58">
        <f t="shared" ca="1" si="144"/>
        <v>0</v>
      </c>
      <c r="BA81" s="58">
        <f t="shared" ca="1" si="144"/>
        <v>0</v>
      </c>
      <c r="BB81" s="58">
        <f t="shared" ca="1" si="144"/>
        <v>1280157.9430109884</v>
      </c>
      <c r="BC81" s="58">
        <f t="shared" ca="1" si="144"/>
        <v>0</v>
      </c>
    </row>
    <row r="82" spans="2:55">
      <c r="B82" s="15"/>
      <c r="C82" s="15"/>
      <c r="D82" s="15"/>
      <c r="E82" s="15"/>
      <c r="F82" s="15"/>
      <c r="G82" s="7"/>
      <c r="H82" s="15"/>
      <c r="I82" s="15"/>
      <c r="J82" s="15"/>
      <c r="K82" s="21"/>
      <c r="M82" s="15"/>
      <c r="N82" s="15"/>
      <c r="O82" s="15"/>
      <c r="P82" s="15"/>
      <c r="Q82" s="15"/>
      <c r="R82" s="15"/>
      <c r="S82" s="15"/>
      <c r="T82" s="15"/>
      <c r="U82" s="15"/>
      <c r="V82" s="21"/>
      <c r="W82" s="21"/>
      <c r="X82" s="21"/>
      <c r="Y82" s="15"/>
      <c r="Z82" s="15"/>
      <c r="AA82" s="15"/>
      <c r="AB82" s="15"/>
      <c r="AC82" s="15"/>
      <c r="AD82" s="15"/>
      <c r="AE82" s="15"/>
      <c r="AF82" s="15"/>
      <c r="AG82" s="15"/>
      <c r="AH82" s="21"/>
      <c r="AI82" s="21"/>
      <c r="AJ82" s="15"/>
      <c r="AK82" s="15"/>
      <c r="AL82" s="15"/>
      <c r="AM82" s="15"/>
      <c r="AN82" s="15"/>
      <c r="AO82" s="15"/>
      <c r="AP82" s="15"/>
      <c r="AQ82" s="15"/>
      <c r="AR82" s="15"/>
      <c r="AS82" s="21"/>
      <c r="AT82" s="21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2:55">
      <c r="B83" s="17" t="s">
        <v>359</v>
      </c>
      <c r="C83" s="17"/>
      <c r="D83" s="17"/>
      <c r="E83" s="17"/>
      <c r="F83" s="48">
        <f t="shared" ca="1" si="136"/>
        <v>223.88703351858146</v>
      </c>
      <c r="G83" s="18">
        <f ca="1">+G25+G46+G65+G72+G77+G81+G32</f>
        <v>1143612504.4555454</v>
      </c>
      <c r="H83" s="58">
        <f ca="1">+H25+H46+H65+H72+H77+H81+H32</f>
        <v>448826190.12839949</v>
      </c>
      <c r="I83" s="58">
        <f ca="1">+I25+I46+I65+I72+I77+I81+I32</f>
        <v>330764104.11047912</v>
      </c>
      <c r="J83" s="58">
        <f ca="1">+J25+J46+J65+J72+J77+J81+J32</f>
        <v>361920043.80566519</v>
      </c>
      <c r="K83" s="21"/>
      <c r="M83" s="58">
        <f t="shared" ref="M83:U83" ca="1" si="145">+M25+M46+M65+M72+M77+M81+M32</f>
        <v>275201146.63070071</v>
      </c>
      <c r="N83" s="58">
        <f ca="1">+N25+N46+N65+N72+N77+N81+N32</f>
        <v>417606529.5285511</v>
      </c>
      <c r="O83" s="58">
        <f t="shared" ca="1" si="145"/>
        <v>90271088.445079088</v>
      </c>
      <c r="P83" s="58">
        <f t="shared" ca="1" si="145"/>
        <v>19370445.585821975</v>
      </c>
      <c r="Q83" s="58">
        <f t="shared" ca="1" si="145"/>
        <v>8728696.328840442</v>
      </c>
      <c r="R83" s="58">
        <f t="shared" ca="1" si="145"/>
        <v>174273651.85267881</v>
      </c>
      <c r="S83" s="58">
        <f t="shared" ca="1" si="145"/>
        <v>8449145.9058928862</v>
      </c>
      <c r="T83" s="58">
        <f t="shared" ca="1" si="145"/>
        <v>83327703.823234096</v>
      </c>
      <c r="U83" s="58">
        <f t="shared" ca="1" si="145"/>
        <v>66203478.335421383</v>
      </c>
      <c r="V83" s="21"/>
      <c r="W83" s="21"/>
      <c r="X83" s="16">
        <f ca="1">+SUM(Y83:AG83)</f>
        <v>381867853.19376439</v>
      </c>
      <c r="Y83" s="58">
        <f t="shared" ref="Y83:AF83" ca="1" si="146">+Y25+Y46+Y65+Y72+Y77+Y81+Y32</f>
        <v>67724787.90833813</v>
      </c>
      <c r="Z83" s="58">
        <f t="shared" ca="1" si="146"/>
        <v>101288463.4041945</v>
      </c>
      <c r="AA83" s="58">
        <f t="shared" ca="1" si="146"/>
        <v>40514287.862613723</v>
      </c>
      <c r="AB83" s="58">
        <f t="shared" ca="1" si="146"/>
        <v>19822766.957136456</v>
      </c>
      <c r="AC83" s="58">
        <f t="shared" ca="1" si="146"/>
        <v>8742164.0108358767</v>
      </c>
      <c r="AD83" s="58">
        <f t="shared" ca="1" si="146"/>
        <v>84295099.169178128</v>
      </c>
      <c r="AE83" s="58">
        <f t="shared" ca="1" si="146"/>
        <v>7511978.7772703525</v>
      </c>
      <c r="AF83" s="58">
        <f t="shared" ca="1" si="146"/>
        <v>51968305.104197219</v>
      </c>
      <c r="AG83" s="58">
        <v>0</v>
      </c>
      <c r="AH83" s="16"/>
      <c r="AI83" s="16">
        <f ca="1">+SUM(AJ83:AR83)</f>
        <v>330470328.16224319</v>
      </c>
      <c r="AJ83" s="58">
        <f t="shared" ref="AJ83:AR83" ca="1" si="147">+AJ25+AJ46+AJ65+AJ72+AJ77+AJ81+AJ32</f>
        <v>73479948.760762349</v>
      </c>
      <c r="AK83" s="58">
        <f t="shared" ca="1" si="147"/>
        <v>112450589.67186163</v>
      </c>
      <c r="AL83" s="58">
        <f t="shared" ca="1" si="147"/>
        <v>36025456.327178471</v>
      </c>
      <c r="AM83" s="58">
        <f t="shared" ca="1" si="147"/>
        <v>0</v>
      </c>
      <c r="AN83" s="58">
        <f t="shared" ca="1" si="147"/>
        <v>0</v>
      </c>
      <c r="AO83" s="58">
        <f t="shared" ca="1" si="147"/>
        <v>91733336.597105131</v>
      </c>
      <c r="AP83" s="58">
        <f t="shared" ca="1" si="147"/>
        <v>2.9966335991125142E-6</v>
      </c>
      <c r="AQ83" s="58">
        <f t="shared" ca="1" si="147"/>
        <v>16780996.805332609</v>
      </c>
      <c r="AR83" s="58">
        <f t="shared" ca="1" si="147"/>
        <v>0</v>
      </c>
      <c r="AS83" s="21"/>
      <c r="AT83" s="16">
        <f ca="1">+SUM(AU83:BC83)</f>
        <v>364026759.24828959</v>
      </c>
      <c r="AU83" s="58">
        <f t="shared" ref="AU83:BC83" ca="1" si="148">+AU25+AU46+AU65+AU72+AU77+AU81+AU32</f>
        <v>133521742.74481012</v>
      </c>
      <c r="AV83" s="58">
        <f t="shared" ca="1" si="148"/>
        <v>201199006.65513781</v>
      </c>
      <c r="AW83" s="58">
        <f t="shared" ca="1" si="148"/>
        <v>13938856.155767744</v>
      </c>
      <c r="AX83" s="58">
        <f t="shared" ca="1" si="148"/>
        <v>0</v>
      </c>
      <c r="AY83" s="58">
        <f t="shared" ca="1" si="148"/>
        <v>0</v>
      </c>
      <c r="AZ83" s="58">
        <f t="shared" ca="1" si="148"/>
        <v>0</v>
      </c>
      <c r="BA83" s="58">
        <f t="shared" ca="1" si="148"/>
        <v>0</v>
      </c>
      <c r="BB83" s="58">
        <f t="shared" ca="1" si="148"/>
        <v>15367153.692573933</v>
      </c>
      <c r="BC83" s="58">
        <f t="shared" ca="1" si="148"/>
        <v>0</v>
      </c>
    </row>
    <row r="84" spans="2:55">
      <c r="B84" s="17" t="s">
        <v>360</v>
      </c>
      <c r="C84" s="17"/>
      <c r="D84" s="17"/>
      <c r="E84" s="17"/>
      <c r="F84" s="48">
        <f ca="1">+G84/($G$10-SUM($G$19:$G$20))</f>
        <v>296.22985358853953</v>
      </c>
      <c r="G84" s="18">
        <f ca="1">+G83-(SUM(G43:G44)*(1+$D$45))</f>
        <v>1099535602.5050654</v>
      </c>
      <c r="H84" s="58">
        <f ca="1">+H83-(SUM(H43:H44)*(1+$D$45))</f>
        <v>421428666.12839949</v>
      </c>
      <c r="I84" s="58">
        <f ca="1">+I83-(SUM(I43:I44)*(1+$D$45))</f>
        <v>325118434.71047914</v>
      </c>
      <c r="J84" s="58">
        <f ca="1">+J83-(SUM(J43:J44)*(1+$D$45))</f>
        <v>350886335.25518519</v>
      </c>
      <c r="K84" s="21"/>
      <c r="M84" s="58"/>
      <c r="N84" s="58"/>
      <c r="O84" s="58"/>
      <c r="P84" s="58"/>
      <c r="Q84" s="58"/>
      <c r="R84" s="58"/>
      <c r="S84" s="58"/>
      <c r="T84" s="58"/>
      <c r="U84" s="58"/>
      <c r="V84" s="21"/>
      <c r="W84" s="21"/>
      <c r="X84" s="21"/>
      <c r="Y84" s="58"/>
      <c r="Z84" s="58"/>
      <c r="AA84" s="58"/>
      <c r="AB84" s="58"/>
      <c r="AC84" s="58"/>
      <c r="AD84" s="58"/>
      <c r="AE84" s="58"/>
      <c r="AF84" s="58"/>
      <c r="AG84" s="58"/>
      <c r="AH84" s="21"/>
      <c r="AI84" s="21"/>
      <c r="AJ84" s="58"/>
      <c r="AK84" s="58"/>
      <c r="AL84" s="58"/>
      <c r="AM84" s="58"/>
      <c r="AN84" s="58"/>
      <c r="AO84" s="58"/>
      <c r="AP84" s="58"/>
      <c r="AQ84" s="58"/>
      <c r="AR84" s="58"/>
      <c r="AS84" s="21"/>
      <c r="AT84" s="21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2:55">
      <c r="B85" s="21"/>
      <c r="C85" s="21"/>
      <c r="D85" s="21"/>
      <c r="E85" s="21"/>
      <c r="F85" s="21"/>
      <c r="G85" s="12"/>
      <c r="H85" s="16"/>
      <c r="I85" s="53"/>
      <c r="J85" s="21"/>
      <c r="K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</row>
    <row r="86" spans="2:55">
      <c r="B86" s="21"/>
      <c r="C86" s="21"/>
      <c r="D86" s="21"/>
      <c r="E86" s="21"/>
      <c r="F86" s="21"/>
      <c r="G86" s="21"/>
      <c r="H86" s="16"/>
      <c r="I86" s="16"/>
      <c r="J86" s="16"/>
      <c r="K86" s="21"/>
      <c r="L86" s="523" t="s">
        <v>361</v>
      </c>
      <c r="M86" s="524">
        <f t="shared" ref="M86:U86" ca="1" si="149">+IFERROR(M83/SUM(M12:M20),"")</f>
        <v>271.1261210315958</v>
      </c>
      <c r="N86" s="524">
        <f t="shared" ca="1" si="149"/>
        <v>274.3273006763817</v>
      </c>
      <c r="O86" s="524">
        <f t="shared" ca="1" si="149"/>
        <v>269.61482742732284</v>
      </c>
      <c r="P86" s="524">
        <f t="shared" ca="1" si="149"/>
        <v>280.95504512034194</v>
      </c>
      <c r="Q86" s="524">
        <f t="shared" ca="1" si="149"/>
        <v>80.897665654974531</v>
      </c>
      <c r="R86" s="524">
        <f t="shared" ca="1" si="149"/>
        <v>278.8378429642861</v>
      </c>
      <c r="S86" s="524">
        <f t="shared" ca="1" si="149"/>
        <v>223.61703117438296</v>
      </c>
      <c r="T86" s="524">
        <f t="shared" ca="1" si="149"/>
        <v>122.07291442389035</v>
      </c>
      <c r="U86" s="524">
        <f t="shared" ca="1" si="149"/>
        <v>92.771592554309706</v>
      </c>
      <c r="V86" s="27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</row>
    <row r="87" spans="2:55" s="21" customFormat="1">
      <c r="H87" s="16"/>
      <c r="I87" s="16"/>
      <c r="J87" s="16"/>
      <c r="L87" s="525" t="s">
        <v>362</v>
      </c>
      <c r="M87" s="526">
        <f t="shared" ref="M87:T87" ca="1" si="150">+M46/SUM(M12:M20)</f>
        <v>216.17311198171589</v>
      </c>
      <c r="N87" s="526">
        <f t="shared" ca="1" si="150"/>
        <v>216.1723567650389</v>
      </c>
      <c r="O87" s="526">
        <f t="shared" ca="1" si="150"/>
        <v>177.09016034001979</v>
      </c>
      <c r="P87" s="526">
        <f t="shared" ca="1" si="150"/>
        <v>184.89174710901247</v>
      </c>
      <c r="Q87" s="526">
        <f t="shared" ca="1" si="150"/>
        <v>1.1417471090124713</v>
      </c>
      <c r="R87" s="526">
        <f t="shared" ca="1" si="150"/>
        <v>176.57145355450623</v>
      </c>
      <c r="S87" s="526">
        <f t="shared" ca="1" si="150"/>
        <v>116.64174710901247</v>
      </c>
      <c r="T87" s="526">
        <f t="shared" ca="1" si="150"/>
        <v>54.228629837575909</v>
      </c>
      <c r="U87" s="526">
        <v>0</v>
      </c>
      <c r="V87" s="27"/>
    </row>
    <row r="88" spans="2:55">
      <c r="B88" s="21"/>
      <c r="C88" s="21"/>
      <c r="D88" s="21"/>
      <c r="E88" s="21"/>
      <c r="F88" s="21"/>
      <c r="G88" s="21"/>
      <c r="H88" s="16"/>
      <c r="I88" s="21"/>
      <c r="J88" s="21"/>
      <c r="K88" s="21"/>
      <c r="L88" s="525" t="s">
        <v>363</v>
      </c>
      <c r="M88" s="527">
        <f ca="1">+M83/Assumptions!$M$46</f>
        <v>381355.15917697531</v>
      </c>
      <c r="N88" s="527">
        <f ca="1">+N83/Assumptions!$M$47</f>
        <v>385794.80703276821</v>
      </c>
      <c r="O88" s="528"/>
      <c r="P88" s="527">
        <f ca="1">+P83/Assumptions!$M$48</f>
        <v>149842.69073084905</v>
      </c>
      <c r="Q88" s="528"/>
      <c r="R88" s="528"/>
      <c r="S88" s="528"/>
      <c r="T88" s="527">
        <f ca="1">+T83/Assumptions!$M$49</f>
        <v>30518.228605972588</v>
      </c>
      <c r="U88" s="527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</row>
    <row r="89" spans="2:5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529" t="s">
        <v>364</v>
      </c>
      <c r="M89" s="530">
        <f ca="1">+M46/Assumptions!$M$46</f>
        <v>304060.45428563608</v>
      </c>
      <c r="N89" s="530">
        <f ca="1">+N46/Assumptions!$M$47</f>
        <v>304009.74477698823</v>
      </c>
      <c r="O89" s="531"/>
      <c r="P89" s="530">
        <f ca="1">+P46/Assumptions!$M$48</f>
        <v>98608.931791473311</v>
      </c>
      <c r="Q89" s="531"/>
      <c r="R89" s="531"/>
      <c r="S89" s="531"/>
      <c r="T89" s="530">
        <f ca="1">+T46/Assumptions!$M$49</f>
        <v>13557.157459393979</v>
      </c>
      <c r="U89" s="530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</row>
    <row r="90" spans="2:55">
      <c r="B90" s="21"/>
      <c r="C90" s="21"/>
      <c r="D90" s="21"/>
      <c r="E90" s="21"/>
      <c r="F90" s="21"/>
      <c r="G90" s="21"/>
      <c r="H90" s="21"/>
      <c r="I90" s="21"/>
      <c r="J90" s="21"/>
      <c r="K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</row>
    <row r="91" spans="2:55">
      <c r="B91" s="21"/>
      <c r="C91" s="21"/>
      <c r="D91" s="21"/>
      <c r="E91" s="21"/>
      <c r="F91" s="21"/>
      <c r="G91" s="21"/>
      <c r="H91" s="21"/>
      <c r="I91" s="21"/>
      <c r="J91" s="21"/>
      <c r="K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</row>
    <row r="92" spans="2:55">
      <c r="B92" s="21"/>
      <c r="C92" s="21"/>
      <c r="D92" s="21"/>
      <c r="E92" s="21"/>
      <c r="F92" s="21"/>
      <c r="G92" s="21"/>
      <c r="H92" s="21"/>
      <c r="I92" s="21"/>
      <c r="J92" s="21"/>
      <c r="K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</row>
    <row r="93" spans="2:55">
      <c r="B93" s="21"/>
      <c r="C93" s="21"/>
      <c r="D93" s="21"/>
      <c r="E93" s="21"/>
      <c r="F93" s="21"/>
      <c r="G93" s="21"/>
      <c r="H93" s="21"/>
      <c r="I93" s="21"/>
      <c r="J93" s="21"/>
      <c r="K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</row>
    <row r="94" spans="2:55">
      <c r="B94" s="21"/>
      <c r="C94" s="21"/>
      <c r="D94" s="21"/>
      <c r="E94" s="21"/>
      <c r="F94" s="21"/>
      <c r="G94" s="21"/>
      <c r="H94" s="21"/>
      <c r="I94" s="21"/>
      <c r="J94" s="21"/>
      <c r="K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</row>
    <row r="95" spans="2:55">
      <c r="B95" s="21"/>
      <c r="C95" s="21"/>
      <c r="D95" s="21"/>
      <c r="E95" s="21"/>
      <c r="F95" s="21"/>
      <c r="G95" s="21"/>
      <c r="H95" s="21"/>
      <c r="I95" s="21"/>
      <c r="J95" s="21"/>
      <c r="K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</row>
    <row r="96" spans="2:55">
      <c r="B96" s="21"/>
      <c r="C96" s="21"/>
      <c r="D96" s="21"/>
      <c r="E96" s="21"/>
      <c r="F96" s="21"/>
      <c r="G96" s="21"/>
      <c r="H96" s="21"/>
      <c r="I96" s="21"/>
      <c r="J96" s="21"/>
      <c r="K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</row>
    <row r="97" spans="2:55">
      <c r="B97" s="21"/>
      <c r="C97" s="21"/>
      <c r="D97" s="21"/>
      <c r="E97" s="21"/>
      <c r="F97" s="21"/>
      <c r="G97" s="21"/>
      <c r="H97" s="21"/>
      <c r="I97" s="21"/>
      <c r="J97" s="21"/>
      <c r="K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</row>
  </sheetData>
  <mergeCells count="4">
    <mergeCell ref="M2:U2"/>
    <mergeCell ref="Y2:AG2"/>
    <mergeCell ref="AJ2:AR2"/>
    <mergeCell ref="AU2:BC2"/>
  </mergeCells>
  <pageMargins left="0.7" right="0.7" top="0.75" bottom="0.75" header="0.3" footer="0.3"/>
  <pageSetup orientation="portrait" r:id="rId1"/>
  <ignoredErrors>
    <ignoredError sqref="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A57"/>
  <sheetViews>
    <sheetView showGridLines="0" topLeftCell="AP5" zoomScale="110" zoomScaleNormal="110" workbookViewId="0">
      <selection activeCell="AY7" sqref="AY7"/>
    </sheetView>
  </sheetViews>
  <sheetFormatPr defaultColWidth="8.81640625" defaultRowHeight="16" customHeight="1"/>
  <cols>
    <col min="1" max="1" width="8.81640625" style="21"/>
    <col min="2" max="2" width="18.54296875" style="21" customWidth="1"/>
    <col min="3" max="3" width="14.453125" style="21" customWidth="1"/>
    <col min="4" max="4" width="16.453125" style="157" hidden="1" customWidth="1"/>
    <col min="5" max="6" width="14.453125" style="157" customWidth="1"/>
    <col min="7" max="7" width="16" style="157" customWidth="1"/>
    <col min="8" max="8" width="14.453125" style="157" customWidth="1"/>
    <col min="9" max="9" width="4" style="157" customWidth="1"/>
    <col min="10" max="10" width="4.1796875" style="157" customWidth="1"/>
    <col min="11" max="11" width="12.453125" style="21" customWidth="1"/>
    <col min="12" max="12" width="7.453125" style="157" customWidth="1"/>
    <col min="13" max="23" width="16.453125" style="157" customWidth="1"/>
    <col min="24" max="24" width="10.453125" style="157" customWidth="1"/>
    <col min="25" max="25" width="16.453125" style="21" customWidth="1"/>
    <col min="26" max="26" width="16.1796875" style="21" customWidth="1"/>
    <col min="27" max="34" width="16.453125" style="21" customWidth="1"/>
    <col min="35" max="37" width="8.81640625" style="21"/>
    <col min="38" max="38" width="12.453125" style="21" customWidth="1"/>
    <col min="39" max="39" width="8.81640625" style="21"/>
    <col min="40" max="49" width="16.453125" style="21" customWidth="1"/>
    <col min="50" max="50" width="11.453125" style="21" bestFit="1" customWidth="1"/>
    <col min="51" max="51" width="8.81640625" style="21"/>
    <col min="52" max="52" width="19.453125" style="21" customWidth="1"/>
    <col min="53" max="16384" width="8.81640625" style="21"/>
  </cols>
  <sheetData>
    <row r="1" spans="1:53" ht="16" customHeight="1">
      <c r="F1" s="948"/>
      <c r="G1" s="948"/>
      <c r="M1" s="71">
        <v>0</v>
      </c>
      <c r="N1" s="71">
        <f>+M1+1</f>
        <v>1</v>
      </c>
      <c r="O1" s="71">
        <f t="shared" ref="O1" si="0">+N1+1</f>
        <v>2</v>
      </c>
      <c r="P1" s="71">
        <f t="shared" ref="P1" si="1">+O1+1</f>
        <v>3</v>
      </c>
      <c r="Q1" s="71">
        <f t="shared" ref="Q1" si="2">+P1+1</f>
        <v>4</v>
      </c>
      <c r="R1" s="71">
        <f t="shared" ref="R1" si="3">+Q1+1</f>
        <v>5</v>
      </c>
      <c r="S1" s="71">
        <f t="shared" ref="S1" si="4">+R1+1</f>
        <v>6</v>
      </c>
      <c r="T1" s="71">
        <f t="shared" ref="T1" si="5">+S1+1</f>
        <v>7</v>
      </c>
      <c r="U1" s="71">
        <f t="shared" ref="U1" si="6">+T1+1</f>
        <v>8</v>
      </c>
      <c r="V1" s="71"/>
      <c r="W1" s="71"/>
      <c r="Y1" s="71">
        <v>0</v>
      </c>
      <c r="Z1" s="71">
        <f>+Y1+1</f>
        <v>1</v>
      </c>
      <c r="AA1" s="71">
        <f t="shared" ref="AA1:AH1" si="7">+Z1+1</f>
        <v>2</v>
      </c>
      <c r="AB1" s="71">
        <f t="shared" si="7"/>
        <v>3</v>
      </c>
      <c r="AC1" s="71">
        <f t="shared" si="7"/>
        <v>4</v>
      </c>
      <c r="AD1" s="71">
        <f t="shared" si="7"/>
        <v>5</v>
      </c>
      <c r="AE1" s="71">
        <f t="shared" si="7"/>
        <v>6</v>
      </c>
      <c r="AF1" s="71">
        <f>+AE1+1</f>
        <v>7</v>
      </c>
      <c r="AG1" s="71">
        <f t="shared" si="7"/>
        <v>8</v>
      </c>
      <c r="AH1" s="71">
        <f t="shared" si="7"/>
        <v>9</v>
      </c>
    </row>
    <row r="2" spans="1:53" ht="16" customHeight="1">
      <c r="F2" s="948"/>
      <c r="G2" s="948"/>
      <c r="M2" s="233">
        <f ca="1">+OFFSET(Budget!$D$36,'Parcel Breakdown'!M1,0)</f>
        <v>198.15</v>
      </c>
      <c r="N2" s="233">
        <f ca="1">+OFFSET(Budget!$D$36,'Parcel Breakdown'!N1,0)</f>
        <v>198.15</v>
      </c>
      <c r="O2" s="233">
        <f ca="1">+OFFSET(Budget!$D$36,'Parcel Breakdown'!O1,0)</f>
        <v>165</v>
      </c>
      <c r="P2" s="233">
        <f ca="1">+OFFSET(Budget!$D$36,'Parcel Breakdown'!P1,0)</f>
        <v>175</v>
      </c>
      <c r="Q2" s="233">
        <f ca="1">+OFFSET(Budget!$D$36,'Parcel Breakdown'!Q1,0)</f>
        <v>0</v>
      </c>
      <c r="R2" s="233">
        <f ca="1">+OFFSET(Budget!$D$36,'Parcel Breakdown'!R1,0)</f>
        <v>165.96</v>
      </c>
      <c r="S2" s="233">
        <f ca="1">+OFFSET(Budget!$D$36,'Parcel Breakdown'!S1,0)</f>
        <v>110</v>
      </c>
      <c r="T2" s="233">
        <f ca="1">+OFFSET(Budget!$D$36,'Parcel Breakdown'!T1,0)</f>
        <v>50</v>
      </c>
      <c r="U2" s="233">
        <f ca="1">+OFFSET(Budget!$D$36,'Parcel Breakdown'!U1,0)</f>
        <v>10</v>
      </c>
      <c r="V2" s="233"/>
      <c r="W2" s="233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53" ht="16" customHeight="1">
      <c r="F3" s="948"/>
      <c r="G3" s="948"/>
      <c r="M3" s="949" t="s">
        <v>365</v>
      </c>
      <c r="N3" s="949"/>
      <c r="O3" s="949"/>
      <c r="P3" s="949"/>
      <c r="Q3" s="949"/>
      <c r="R3" s="949"/>
      <c r="S3" s="949"/>
      <c r="T3" s="949"/>
      <c r="U3" s="949"/>
      <c r="V3" s="949" t="s">
        <v>366</v>
      </c>
      <c r="W3" s="949"/>
      <c r="Y3" s="949" t="s">
        <v>367</v>
      </c>
      <c r="Z3" s="949"/>
      <c r="AA3" s="949"/>
      <c r="AB3" s="949"/>
      <c r="AC3" s="949"/>
      <c r="AD3" s="949"/>
      <c r="AE3" s="949"/>
      <c r="AF3" s="949"/>
      <c r="AG3" s="949"/>
      <c r="AH3" s="899"/>
      <c r="AJ3" s="949" t="s">
        <v>368</v>
      </c>
      <c r="AK3" s="949"/>
      <c r="AL3" s="949"/>
      <c r="AN3" s="605"/>
      <c r="AO3" s="949" t="s">
        <v>369</v>
      </c>
      <c r="AP3" s="949"/>
      <c r="AQ3" s="949"/>
      <c r="AR3" s="949"/>
      <c r="AS3" s="949"/>
      <c r="AT3" s="949"/>
      <c r="AU3" s="949"/>
      <c r="AV3" s="949"/>
      <c r="AW3" s="949"/>
    </row>
    <row r="4" spans="1:53" ht="53.25" customHeight="1">
      <c r="B4" s="539" t="s">
        <v>370</v>
      </c>
      <c r="C4" s="539" t="s">
        <v>15</v>
      </c>
      <c r="D4" s="539" t="s">
        <v>371</v>
      </c>
      <c r="E4" s="899" t="s">
        <v>372</v>
      </c>
      <c r="F4" s="899" t="s">
        <v>373</v>
      </c>
      <c r="G4" s="899" t="s">
        <v>374</v>
      </c>
      <c r="H4" s="899" t="s">
        <v>375</v>
      </c>
      <c r="I4" s="160"/>
      <c r="J4" s="160"/>
      <c r="K4" s="899" t="s">
        <v>52</v>
      </c>
      <c r="L4" s="160"/>
      <c r="M4" s="899" t="str">
        <f ca="1">+OFFSET(Budget!$B$36,M1,0)</f>
        <v>Affordable Residential</v>
      </c>
      <c r="N4" s="899" t="str">
        <f ca="1">+OFFSET(Budget!$B$36,N1,0)</f>
        <v>Market Rate Residential</v>
      </c>
      <c r="O4" s="899" t="str">
        <f ca="1">+OFFSET(Budget!$B$36,O1,0)</f>
        <v>Retail</v>
      </c>
      <c r="P4" s="899" t="str">
        <f ca="1">+OFFSET(Budget!$B$36,P1,0)</f>
        <v>Hotel</v>
      </c>
      <c r="Q4" s="899" t="str">
        <f ca="1">+OFFSET(Budget!$B$36,Q1,0)</f>
        <v>Museum</v>
      </c>
      <c r="R4" s="899" t="str">
        <f ca="1">+OFFSET(Budget!$B$36,R1,0)</f>
        <v>Office</v>
      </c>
      <c r="S4" s="899" t="str">
        <f ca="1">+OFFSET(Budget!$B$36,S1,0)</f>
        <v>Industrial</v>
      </c>
      <c r="T4" s="899" t="str">
        <f ca="1">+OFFSET(Budget!$B$36,T1,0)</f>
        <v>Structural Parking</v>
      </c>
      <c r="U4" s="899" t="str">
        <f ca="1">+OFFSET(Budget!$B$36,U1,0)</f>
        <v>Surface Parking</v>
      </c>
      <c r="V4" s="899" t="s">
        <v>268</v>
      </c>
      <c r="W4" s="899" t="s">
        <v>376</v>
      </c>
      <c r="X4" s="160"/>
      <c r="Y4" s="899" t="str">
        <f ca="1">+OFFSET(Budget!$B$36,Y1,0)</f>
        <v>Affordable Residential</v>
      </c>
      <c r="Z4" s="899" t="str">
        <f ca="1">+OFFSET(Budget!$B$36,Z1,0)</f>
        <v>Market Rate Residential</v>
      </c>
      <c r="AA4" s="899" t="str">
        <f ca="1">+OFFSET(Budget!$B$36,AA1,0)</f>
        <v>Retail</v>
      </c>
      <c r="AB4" s="899" t="str">
        <f ca="1">+OFFSET(Budget!$B$36,AB1,0)</f>
        <v>Hotel</v>
      </c>
      <c r="AC4" s="899" t="s">
        <v>143</v>
      </c>
      <c r="AD4" s="899" t="str">
        <f ca="1">+OFFSET(Budget!$B$36,AD1,0)</f>
        <v>Office</v>
      </c>
      <c r="AE4" s="899" t="str">
        <f ca="1">+OFFSET(Budget!$B$36,AE1,0)</f>
        <v>Industrial</v>
      </c>
      <c r="AF4" s="899" t="str">
        <f ca="1">+OFFSET(Budget!$B$36,AF1,0)</f>
        <v>Structural Parking</v>
      </c>
      <c r="AG4" s="899" t="str">
        <f ca="1">+OFFSET(Budget!$B$36,AG1,0)</f>
        <v>Surface Parking</v>
      </c>
      <c r="AH4" s="604" t="s">
        <v>23</v>
      </c>
      <c r="AJ4" s="899" t="s">
        <v>377</v>
      </c>
      <c r="AK4" s="899" t="s">
        <v>31</v>
      </c>
      <c r="AL4" s="899" t="s">
        <v>378</v>
      </c>
      <c r="AM4" s="161"/>
      <c r="AN4" s="899" t="s">
        <v>42</v>
      </c>
      <c r="AO4" s="899" t="str">
        <f t="shared" ref="AO4:AU4" ca="1" si="8">+Y4</f>
        <v>Affordable Residential</v>
      </c>
      <c r="AP4" s="899" t="str">
        <f t="shared" ca="1" si="8"/>
        <v>Market Rate Residential</v>
      </c>
      <c r="AQ4" s="899" t="str">
        <f t="shared" ca="1" si="8"/>
        <v>Retail</v>
      </c>
      <c r="AR4" s="899" t="str">
        <f t="shared" ca="1" si="8"/>
        <v>Hotel</v>
      </c>
      <c r="AS4" s="899" t="str">
        <f t="shared" si="8"/>
        <v>Museum</v>
      </c>
      <c r="AT4" s="899" t="str">
        <f t="shared" ca="1" si="8"/>
        <v>Office</v>
      </c>
      <c r="AU4" s="899" t="str">
        <f t="shared" ca="1" si="8"/>
        <v>Industrial</v>
      </c>
      <c r="AV4" s="899" t="str">
        <f t="shared" ref="AV4:AW4" ca="1" si="9">+AF4</f>
        <v>Structural Parking</v>
      </c>
      <c r="AW4" s="899" t="str">
        <f t="shared" ca="1" si="9"/>
        <v>Surface Parking</v>
      </c>
      <c r="AZ4" s="899" t="s">
        <v>379</v>
      </c>
    </row>
    <row r="5" spans="1:53" s="99" customFormat="1" ht="31.5" customHeight="1">
      <c r="B5" s="158"/>
      <c r="C5" s="158"/>
      <c r="D5" s="160"/>
      <c r="E5" s="160"/>
      <c r="F5" s="160"/>
      <c r="G5" s="160"/>
      <c r="H5" s="160"/>
      <c r="I5" s="160"/>
      <c r="J5" s="160"/>
      <c r="K5" s="160"/>
      <c r="L5" s="160"/>
      <c r="M5" s="171"/>
      <c r="N5" s="171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613">
        <v>0.4</v>
      </c>
      <c r="Z5" s="613">
        <v>0.6</v>
      </c>
      <c r="AA5" s="160"/>
      <c r="AB5" s="160"/>
      <c r="AC5" s="160"/>
      <c r="AD5" s="160"/>
      <c r="AE5" s="160"/>
      <c r="AF5" s="160"/>
      <c r="AG5" s="160"/>
      <c r="AH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Z5" s="160"/>
    </row>
    <row r="6" spans="1:53" ht="16" customHeight="1">
      <c r="A6" s="227" t="str">
        <f>RIGHT(B6,2)</f>
        <v xml:space="preserve"> 1</v>
      </c>
      <c r="B6" s="554" t="s">
        <v>380</v>
      </c>
      <c r="C6" s="553" t="s">
        <v>21</v>
      </c>
      <c r="D6" s="553" t="s">
        <v>381</v>
      </c>
      <c r="E6" s="556">
        <f>SUM('Parcel x Block Info'!E2:E21)</f>
        <v>133439</v>
      </c>
      <c r="F6" s="556">
        <v>38148</v>
      </c>
      <c r="G6" s="556">
        <v>614383</v>
      </c>
      <c r="H6" s="556">
        <v>77900</v>
      </c>
      <c r="I6" s="167"/>
      <c r="J6" s="167"/>
      <c r="K6" s="556">
        <f>SUM(F6:H6)</f>
        <v>730431</v>
      </c>
      <c r="L6" s="167"/>
      <c r="M6" s="557">
        <f ca="1">+M$2*Y6*(1+Assumptions!$P$85)^Assumptions!$P$86</f>
        <v>49389761.861445598</v>
      </c>
      <c r="N6" s="557">
        <f ca="1">+N$2*Z6*(1+Assumptions!$P$85)^Assumptions!$P$86</f>
        <v>74084642.792168394</v>
      </c>
      <c r="O6" s="557">
        <f ca="1">+O$2*AA6*(1+Assumptions!$P$85)^Assumptions!$P$86</f>
        <v>4760600.3121599993</v>
      </c>
      <c r="P6" s="557">
        <f ca="1">+P$2*AB6*(1+Assumptions!$P$85)^Assumptions!$P$86</f>
        <v>0</v>
      </c>
      <c r="Q6" s="557">
        <f ca="1">+Q$2*AC6*(1+Assumptions!$P$85)^Assumptions!$P$86</f>
        <v>0</v>
      </c>
      <c r="R6" s="557">
        <f ca="1">+R$2*AD6*(1+Assumptions!$P$85)^Assumptions!$P$86</f>
        <v>0</v>
      </c>
      <c r="S6" s="557">
        <f ca="1">+S$2*AE6*(1+Assumptions!$P$85)^Assumptions!$P$86</f>
        <v>0</v>
      </c>
      <c r="T6" s="557">
        <f ca="1">+T$2*AF6*(1+Assumptions!$P$85)^Assumptions!$P$86</f>
        <v>4133405.1599999997</v>
      </c>
      <c r="U6" s="557">
        <f ca="1">+U$2*AG6*(1+Assumptions!$P$85)^Assumptions!$P$86</f>
        <v>0</v>
      </c>
      <c r="V6" s="557">
        <f ca="1">+SUM(M6:U6)/K6</f>
        <v>181.21959517842751</v>
      </c>
      <c r="W6" s="557">
        <f t="shared" ref="W6:W15" ca="1" si="10">+SUM(M6:S6)/SUM(F6:G6)</f>
        <v>196.51940668837801</v>
      </c>
      <c r="X6" s="865" t="s">
        <v>246</v>
      </c>
      <c r="Y6" s="556">
        <v>234878</v>
      </c>
      <c r="Z6" s="556">
        <v>352317</v>
      </c>
      <c r="AA6" s="556">
        <v>27188</v>
      </c>
      <c r="AB6" s="556">
        <v>0</v>
      </c>
      <c r="AC6" s="556">
        <v>0</v>
      </c>
      <c r="AD6" s="556">
        <v>0</v>
      </c>
      <c r="AE6" s="556">
        <v>0</v>
      </c>
      <c r="AF6" s="556">
        <v>77900</v>
      </c>
      <c r="AG6" s="556">
        <v>0</v>
      </c>
      <c r="AH6" s="916" t="s">
        <v>246</v>
      </c>
      <c r="AI6" s="99"/>
      <c r="AJ6" s="172">
        <v>0.83047752309879197</v>
      </c>
      <c r="AK6" s="169"/>
      <c r="AL6" s="172">
        <f t="shared" ref="AL6:AL15" si="11">+SUM(AO6:AU6)/SUM(Y6:AE6)</f>
        <v>0.83355406835149271</v>
      </c>
      <c r="AM6" s="169"/>
      <c r="AN6" s="558">
        <f>+SUM(AO6:AW6)</f>
        <v>590021.44917599508</v>
      </c>
      <c r="AO6" s="556">
        <f>+Y6*$AJ6</f>
        <v>195060.89967039807</v>
      </c>
      <c r="AP6" s="556">
        <f t="shared" ref="AP6:AP15" si="12">+Z6*$AJ6</f>
        <v>292591.34950559709</v>
      </c>
      <c r="AQ6" s="556">
        <f>+AA6*0.9</f>
        <v>24469.200000000001</v>
      </c>
      <c r="AR6" s="556">
        <f t="shared" ref="AR6:AR11" si="13">+AB6*0.75</f>
        <v>0</v>
      </c>
      <c r="AS6" s="556">
        <f t="shared" ref="AS6:AS15" si="14">+AC6</f>
        <v>0</v>
      </c>
      <c r="AT6" s="556">
        <f t="shared" ref="AT6:AT15" si="15">+AD6*0.9</f>
        <v>0</v>
      </c>
      <c r="AU6" s="556">
        <f>+AE6</f>
        <v>0</v>
      </c>
      <c r="AV6" s="556">
        <f>+AF6</f>
        <v>77900</v>
      </c>
      <c r="AW6" s="556">
        <f t="shared" ref="AW6:AW15" si="16">+AG6</f>
        <v>0</v>
      </c>
      <c r="AZ6" s="845">
        <f>'Parcel x Block Info'!M20</f>
        <v>35785349</v>
      </c>
      <c r="BA6" s="21">
        <v>1</v>
      </c>
    </row>
    <row r="7" spans="1:53" ht="16" customHeight="1">
      <c r="A7" s="227" t="str">
        <f t="shared" ref="A7:A9" si="17">RIGHT(B7,2)</f>
        <v xml:space="preserve"> 2</v>
      </c>
      <c r="B7" s="555" t="s">
        <v>382</v>
      </c>
      <c r="C7" s="549" t="s">
        <v>19</v>
      </c>
      <c r="D7" s="549" t="s">
        <v>381</v>
      </c>
      <c r="E7" s="550">
        <f>SUM('Parcel x Block Info'!E23:E31)</f>
        <v>140062</v>
      </c>
      <c r="F7" s="550">
        <v>54377</v>
      </c>
      <c r="G7" s="550">
        <v>154856</v>
      </c>
      <c r="H7" s="550">
        <v>55284</v>
      </c>
      <c r="I7" s="167"/>
      <c r="J7" s="167"/>
      <c r="K7" s="550">
        <f>SUM(F7:H7)</f>
        <v>264517</v>
      </c>
      <c r="L7" s="167"/>
      <c r="M7" s="551">
        <f ca="1">+M$2*Y7*(1+Assumptions!$P$85)^Assumptions!$P$86</f>
        <v>6358817.7636479996</v>
      </c>
      <c r="N7" s="551">
        <f ca="1">+N$2*Z7*(1+Assumptions!$P$85)^Assumptions!$P$86</f>
        <v>9538226.6454719994</v>
      </c>
      <c r="O7" s="551">
        <f ca="1">+O$2*AA7*(1+Assumptions!$P$85)^Assumptions!$P$86</f>
        <v>0</v>
      </c>
      <c r="P7" s="551">
        <f ca="1">+P$2*AB7*(1+Assumptions!$P$85)^Assumptions!$P$86</f>
        <v>12803872.472999999</v>
      </c>
      <c r="Q7" s="551">
        <f ca="1">+Q$2*AC7*(1+Assumptions!$P$85)^Assumptions!$P$86</f>
        <v>0</v>
      </c>
      <c r="R7" s="551">
        <f ca="1">+R$2*AD7*(1+Assumptions!$P$85)^Assumptions!$P$86</f>
        <v>0</v>
      </c>
      <c r="S7" s="551">
        <f ca="1">+S$2*AE7*(1+Assumptions!$P$85)^Assumptions!$P$86</f>
        <v>0</v>
      </c>
      <c r="T7" s="551">
        <f ca="1">+T$2*AF7*(1+Assumptions!$P$85)^Assumptions!$P$86</f>
        <v>2933391.1535999998</v>
      </c>
      <c r="U7" s="551">
        <f ca="1">+U$2*AG7*(1+Assumptions!$P$85)^Assumptions!$P$86</f>
        <v>3786485.6527199997</v>
      </c>
      <c r="V7" s="551">
        <f ca="1">+SUM(M7:U7)/K7</f>
        <v>133.907437663515</v>
      </c>
      <c r="W7" s="551">
        <f t="shared" ca="1" si="10"/>
        <v>137.17203730826398</v>
      </c>
      <c r="X7" s="865" t="s">
        <v>246</v>
      </c>
      <c r="Y7" s="550">
        <v>30240</v>
      </c>
      <c r="Z7" s="550">
        <v>45360</v>
      </c>
      <c r="AA7" s="550">
        <v>0</v>
      </c>
      <c r="AB7" s="550">
        <v>68945</v>
      </c>
      <c r="AC7" s="550">
        <v>0</v>
      </c>
      <c r="AD7" s="550">
        <v>0</v>
      </c>
      <c r="AE7" s="550">
        <v>0</v>
      </c>
      <c r="AF7" s="550">
        <f>17890+37394</f>
        <v>55284</v>
      </c>
      <c r="AG7" s="550">
        <v>356809</v>
      </c>
      <c r="AH7" s="917" t="s">
        <v>246</v>
      </c>
      <c r="AI7" s="99"/>
      <c r="AJ7" s="172">
        <v>0.85</v>
      </c>
      <c r="AK7" s="170"/>
      <c r="AL7" s="172">
        <f t="shared" si="11"/>
        <v>0.8023020512643122</v>
      </c>
      <c r="AM7" s="170"/>
      <c r="AN7" s="552">
        <f t="shared" ref="AN7:AN10" si="18">+SUM(AO7:AW7)</f>
        <v>528061.75</v>
      </c>
      <c r="AO7" s="550">
        <f t="shared" ref="AO7:AO15" si="19">+Y7*$AJ7</f>
        <v>25704</v>
      </c>
      <c r="AP7" s="550">
        <f t="shared" si="12"/>
        <v>38556</v>
      </c>
      <c r="AQ7" s="550">
        <f>+AA7*0.9</f>
        <v>0</v>
      </c>
      <c r="AR7" s="550">
        <f t="shared" si="13"/>
        <v>51708.75</v>
      </c>
      <c r="AS7" s="550">
        <f t="shared" si="14"/>
        <v>0</v>
      </c>
      <c r="AT7" s="550">
        <f t="shared" si="15"/>
        <v>0</v>
      </c>
      <c r="AU7" s="550">
        <v>0</v>
      </c>
      <c r="AV7" s="550">
        <f t="shared" ref="AV7:AV15" si="20">+AF7</f>
        <v>55284</v>
      </c>
      <c r="AW7" s="550">
        <f t="shared" si="16"/>
        <v>356809</v>
      </c>
      <c r="AZ7" s="846">
        <f>'Parcel x Block Info'!M21</f>
        <v>28558837</v>
      </c>
      <c r="BA7" s="21">
        <v>2</v>
      </c>
    </row>
    <row r="8" spans="1:53" ht="16" customHeight="1">
      <c r="A8" s="227" t="str">
        <f>RIGHT(B8,2)</f>
        <v xml:space="preserve"> 3</v>
      </c>
      <c r="B8" s="555" t="s">
        <v>383</v>
      </c>
      <c r="C8" s="549" t="s">
        <v>19</v>
      </c>
      <c r="D8" s="549" t="s">
        <v>381</v>
      </c>
      <c r="E8" s="550">
        <f>SUM('Parcel x Block Info'!E33:E54)</f>
        <v>178418</v>
      </c>
      <c r="F8" s="550">
        <v>0</v>
      </c>
      <c r="G8" s="550">
        <v>1259942</v>
      </c>
      <c r="H8" s="550">
        <v>152720</v>
      </c>
      <c r="I8" s="167"/>
      <c r="J8" s="167"/>
      <c r="K8" s="550">
        <f>SUM(F8:H8)</f>
        <v>1412662</v>
      </c>
      <c r="L8" s="167"/>
      <c r="M8" s="551">
        <f t="shared" ref="M8:U10" ca="1" si="21">+M$2*Y8</f>
        <v>27849189.900000002</v>
      </c>
      <c r="N8" s="551">
        <f t="shared" ca="1" si="21"/>
        <v>41773784.850000001</v>
      </c>
      <c r="O8" s="551">
        <f t="shared" ca="1" si="21"/>
        <v>20845770</v>
      </c>
      <c r="P8" s="551">
        <f t="shared" ca="1" si="21"/>
        <v>0</v>
      </c>
      <c r="Q8" s="551">
        <f t="shared" ca="1" si="21"/>
        <v>0</v>
      </c>
      <c r="R8" s="551">
        <f t="shared" ca="1" si="21"/>
        <v>51862500</v>
      </c>
      <c r="S8" s="551">
        <f t="shared" ca="1" si="21"/>
        <v>0</v>
      </c>
      <c r="T8" s="551">
        <f t="shared" ca="1" si="21"/>
        <v>7636000</v>
      </c>
      <c r="U8" s="551">
        <f t="shared" ca="1" si="21"/>
        <v>0</v>
      </c>
      <c r="V8" s="551">
        <f ca="1">+SUM(M8:U8)/K8</f>
        <v>106.15932526676586</v>
      </c>
      <c r="W8" s="551">
        <f t="shared" ca="1" si="10"/>
        <v>112.96650540262965</v>
      </c>
      <c r="X8" s="865" t="s">
        <v>246</v>
      </c>
      <c r="Y8" s="550">
        <v>140546</v>
      </c>
      <c r="Z8" s="550">
        <v>210819</v>
      </c>
      <c r="AA8" s="550">
        <v>126338</v>
      </c>
      <c r="AB8" s="550">
        <v>0</v>
      </c>
      <c r="AC8" s="550">
        <v>107898</v>
      </c>
      <c r="AD8" s="550">
        <v>312500</v>
      </c>
      <c r="AE8" s="550">
        <v>0</v>
      </c>
      <c r="AF8" s="550">
        <v>152720</v>
      </c>
      <c r="AG8" s="550">
        <v>0</v>
      </c>
      <c r="AH8" s="917" t="s">
        <v>246</v>
      </c>
      <c r="AI8" s="99"/>
      <c r="AJ8" s="99"/>
      <c r="AK8" s="99"/>
      <c r="AL8" s="172">
        <f t="shared" si="11"/>
        <v>0.54583883104461528</v>
      </c>
      <c r="AM8" s="99"/>
      <c r="AN8" s="552">
        <f>+SUM(AO8:AW8)</f>
        <v>642938.4</v>
      </c>
      <c r="AO8" s="550">
        <f t="shared" si="19"/>
        <v>0</v>
      </c>
      <c r="AP8" s="550">
        <f t="shared" si="12"/>
        <v>0</v>
      </c>
      <c r="AQ8" s="550">
        <f>+AA8*0.8</f>
        <v>101070.40000000001</v>
      </c>
      <c r="AR8" s="550">
        <f t="shared" si="13"/>
        <v>0</v>
      </c>
      <c r="AS8" s="550">
        <f t="shared" si="14"/>
        <v>107898</v>
      </c>
      <c r="AT8" s="550">
        <f t="shared" si="15"/>
        <v>281250</v>
      </c>
      <c r="AU8" s="550">
        <f>+AE8</f>
        <v>0</v>
      </c>
      <c r="AV8" s="550">
        <f>+AF8</f>
        <v>152720</v>
      </c>
      <c r="AW8" s="550">
        <f>+AG8</f>
        <v>0</v>
      </c>
      <c r="AZ8" s="846">
        <f>'Parcel x Block Info'!M22</f>
        <v>34945500</v>
      </c>
      <c r="BA8" s="21">
        <v>3</v>
      </c>
    </row>
    <row r="9" spans="1:53" ht="16" customHeight="1">
      <c r="A9" s="227" t="str">
        <f t="shared" si="17"/>
        <v xml:space="preserve"> 4</v>
      </c>
      <c r="B9" s="560" t="s">
        <v>384</v>
      </c>
      <c r="C9" s="561" t="s">
        <v>20</v>
      </c>
      <c r="D9" s="561" t="s">
        <v>381</v>
      </c>
      <c r="E9" s="562">
        <f>SUM('Parcel x Block Info'!E56:E67)</f>
        <v>82911</v>
      </c>
      <c r="F9" s="562">
        <v>108777</v>
      </c>
      <c r="G9" s="562">
        <v>842235</v>
      </c>
      <c r="H9" s="562">
        <v>105428</v>
      </c>
      <c r="I9" s="167"/>
      <c r="J9" s="167"/>
      <c r="K9" s="562">
        <f>SUM(F9:H9)</f>
        <v>1056440</v>
      </c>
      <c r="L9" s="167"/>
      <c r="M9" s="563">
        <f t="shared" ca="1" si="21"/>
        <v>32497590.75</v>
      </c>
      <c r="N9" s="563">
        <f t="shared" ca="1" si="21"/>
        <v>48746287.050000004</v>
      </c>
      <c r="O9" s="563">
        <f t="shared" ca="1" si="21"/>
        <v>19754295</v>
      </c>
      <c r="P9" s="563">
        <f t="shared" ca="1" si="21"/>
        <v>0</v>
      </c>
      <c r="Q9" s="563">
        <f t="shared" ca="1" si="21"/>
        <v>0</v>
      </c>
      <c r="R9" s="563">
        <f t="shared" ca="1" si="21"/>
        <v>51862500</v>
      </c>
      <c r="S9" s="563">
        <f t="shared" ca="1" si="21"/>
        <v>0</v>
      </c>
      <c r="T9" s="563">
        <f t="shared" ca="1" si="21"/>
        <v>5271400</v>
      </c>
      <c r="U9" s="563">
        <f t="shared" ca="1" si="21"/>
        <v>0</v>
      </c>
      <c r="V9" s="563">
        <f ca="1">+SUM(M9:U9)/K9</f>
        <v>149.68391276362124</v>
      </c>
      <c r="W9" s="563">
        <f t="shared" ca="1" si="10"/>
        <v>160.73474656471214</v>
      </c>
      <c r="X9" s="865" t="s">
        <v>246</v>
      </c>
      <c r="Y9" s="562">
        <v>164005</v>
      </c>
      <c r="Z9" s="562">
        <v>246007</v>
      </c>
      <c r="AA9" s="562">
        <v>119723</v>
      </c>
      <c r="AB9" s="562">
        <v>0</v>
      </c>
      <c r="AC9" s="562">
        <v>0</v>
      </c>
      <c r="AD9" s="562">
        <v>312500</v>
      </c>
      <c r="AE9" s="562">
        <v>0</v>
      </c>
      <c r="AF9" s="562">
        <f t="shared" ref="AF9:AF13" si="22">+H9</f>
        <v>105428</v>
      </c>
      <c r="AG9" s="562">
        <v>0</v>
      </c>
      <c r="AH9" s="919" t="s">
        <v>246</v>
      </c>
      <c r="AI9" s="99"/>
      <c r="AJ9" s="172">
        <v>0.85</v>
      </c>
      <c r="AK9" s="169"/>
      <c r="AL9" s="172">
        <f t="shared" si="11"/>
        <v>0.87565928749102084</v>
      </c>
      <c r="AM9" s="169"/>
      <c r="AN9" s="564">
        <f t="shared" si="18"/>
        <v>842938.89999999991</v>
      </c>
      <c r="AO9" s="562">
        <f t="shared" si="19"/>
        <v>139404.25</v>
      </c>
      <c r="AP9" s="562">
        <f t="shared" si="12"/>
        <v>209105.94999999998</v>
      </c>
      <c r="AQ9" s="562">
        <f t="shared" ref="AQ9:AQ15" si="23">+AA9*0.9</f>
        <v>107750.7</v>
      </c>
      <c r="AR9" s="562">
        <f t="shared" si="13"/>
        <v>0</v>
      </c>
      <c r="AS9" s="562">
        <f t="shared" si="14"/>
        <v>0</v>
      </c>
      <c r="AT9" s="562">
        <f t="shared" si="15"/>
        <v>281250</v>
      </c>
      <c r="AU9" s="562">
        <f t="shared" ref="AU9:AU15" si="24">+AE9</f>
        <v>0</v>
      </c>
      <c r="AV9" s="562">
        <f t="shared" si="20"/>
        <v>105428</v>
      </c>
      <c r="AW9" s="562">
        <f t="shared" si="16"/>
        <v>0</v>
      </c>
      <c r="AZ9" s="847">
        <f>'Parcel x Block Info'!M23</f>
        <v>10662755</v>
      </c>
      <c r="BA9" s="21">
        <v>4</v>
      </c>
    </row>
    <row r="10" spans="1:53" ht="16" customHeight="1">
      <c r="A10" s="227" t="str">
        <f>RIGHT(B10,1)</f>
        <v>A</v>
      </c>
      <c r="B10" s="555" t="s">
        <v>385</v>
      </c>
      <c r="C10" s="549" t="s">
        <v>19</v>
      </c>
      <c r="D10" s="549" t="s">
        <v>381</v>
      </c>
      <c r="E10" s="550">
        <v>0</v>
      </c>
      <c r="F10" s="550">
        <v>0</v>
      </c>
      <c r="G10" s="550">
        <v>37784</v>
      </c>
      <c r="H10" s="550">
        <v>0</v>
      </c>
      <c r="I10" s="167"/>
      <c r="J10" s="167"/>
      <c r="K10" s="550">
        <f>SUM(E10:H10)</f>
        <v>37784</v>
      </c>
      <c r="L10" s="167"/>
      <c r="M10" s="551">
        <f t="shared" ca="1" si="21"/>
        <v>0</v>
      </c>
      <c r="N10" s="551">
        <f t="shared" ca="1" si="21"/>
        <v>0</v>
      </c>
      <c r="O10" s="551">
        <f t="shared" ca="1" si="21"/>
        <v>0</v>
      </c>
      <c r="P10" s="551">
        <f t="shared" ca="1" si="21"/>
        <v>0</v>
      </c>
      <c r="Q10" s="551">
        <f t="shared" ca="1" si="21"/>
        <v>0</v>
      </c>
      <c r="R10" s="551">
        <f t="shared" ca="1" si="21"/>
        <v>0</v>
      </c>
      <c r="S10" s="551">
        <f t="shared" ca="1" si="21"/>
        <v>4156240</v>
      </c>
      <c r="T10" s="551">
        <f t="shared" ca="1" si="21"/>
        <v>0</v>
      </c>
      <c r="U10" s="551">
        <f t="shared" ca="1" si="21"/>
        <v>0</v>
      </c>
      <c r="V10" s="551">
        <f ca="1">+SUM(M10:U10)/K23</f>
        <v>0.83557208554268336</v>
      </c>
      <c r="W10" s="551">
        <f t="shared" ca="1" si="10"/>
        <v>110</v>
      </c>
      <c r="X10" s="865" t="s">
        <v>246</v>
      </c>
      <c r="Y10" s="550">
        <f t="shared" ref="Y10:Z10" si="25">+($K10-SUM($AA10:$AG10))*Y$5</f>
        <v>0</v>
      </c>
      <c r="Z10" s="550">
        <f t="shared" si="25"/>
        <v>0</v>
      </c>
      <c r="AA10" s="550">
        <v>0</v>
      </c>
      <c r="AB10" s="550">
        <v>0</v>
      </c>
      <c r="AC10" s="550">
        <v>0</v>
      </c>
      <c r="AD10" s="550">
        <v>0</v>
      </c>
      <c r="AE10" s="550">
        <f>K10</f>
        <v>37784</v>
      </c>
      <c r="AF10" s="550">
        <f t="shared" si="22"/>
        <v>0</v>
      </c>
      <c r="AG10" s="550">
        <v>0</v>
      </c>
      <c r="AH10" s="917" t="s">
        <v>246</v>
      </c>
      <c r="AI10" s="99"/>
      <c r="AJ10" s="172">
        <v>0.87151446357233397</v>
      </c>
      <c r="AK10" s="169"/>
      <c r="AL10" s="172">
        <f t="shared" si="11"/>
        <v>1</v>
      </c>
      <c r="AM10" s="169"/>
      <c r="AN10" s="552">
        <f t="shared" si="18"/>
        <v>37784</v>
      </c>
      <c r="AO10" s="550">
        <f t="shared" si="19"/>
        <v>0</v>
      </c>
      <c r="AP10" s="550">
        <f t="shared" si="12"/>
        <v>0</v>
      </c>
      <c r="AQ10" s="550">
        <f t="shared" si="23"/>
        <v>0</v>
      </c>
      <c r="AR10" s="550">
        <f t="shared" si="13"/>
        <v>0</v>
      </c>
      <c r="AS10" s="550">
        <f t="shared" si="14"/>
        <v>0</v>
      </c>
      <c r="AT10" s="550">
        <f t="shared" si="15"/>
        <v>0</v>
      </c>
      <c r="AU10" s="550">
        <f t="shared" si="24"/>
        <v>37784</v>
      </c>
      <c r="AV10" s="550">
        <f t="shared" si="20"/>
        <v>0</v>
      </c>
      <c r="AW10" s="550">
        <f t="shared" si="16"/>
        <v>0</v>
      </c>
      <c r="AZ10" s="846">
        <f>'Parcel x Block Info'!M24</f>
        <v>12030663</v>
      </c>
      <c r="BA10" s="21">
        <v>5</v>
      </c>
    </row>
    <row r="11" spans="1:53" ht="16" customHeight="1">
      <c r="A11" s="227" t="s">
        <v>385</v>
      </c>
      <c r="B11" s="560" t="s">
        <v>386</v>
      </c>
      <c r="C11" s="561" t="s">
        <v>20</v>
      </c>
      <c r="D11" s="561" t="s">
        <v>381</v>
      </c>
      <c r="E11" s="562">
        <f>SUM('Parcel x Block Info'!E69:E73)</f>
        <v>81670</v>
      </c>
      <c r="F11" s="562">
        <v>0</v>
      </c>
      <c r="G11" s="562">
        <v>166382</v>
      </c>
      <c r="H11" s="562">
        <v>0</v>
      </c>
      <c r="I11" s="167"/>
      <c r="J11" s="167"/>
      <c r="K11" s="562">
        <f t="shared" ref="K11:K18" si="26">SUM(F11:H11)</f>
        <v>166382</v>
      </c>
      <c r="L11" s="167"/>
      <c r="M11" s="563">
        <f ca="1">+M$2*Y11*(1+Assumptions!$O$85)^Assumptions!$O$86</f>
        <v>13451226.489000002</v>
      </c>
      <c r="N11" s="563">
        <f ca="1">+N$2*Z11*(1+Assumptions!$O$85)^Assumptions!$O$86</f>
        <v>20176738.677000001</v>
      </c>
      <c r="O11" s="563">
        <f ca="1">+O$2*AA11*(1+Assumptions!$O$85)^Assumptions!$O$86</f>
        <v>0</v>
      </c>
      <c r="P11" s="563">
        <f ca="1">+P$2*AB11*(1+Assumptions!$O$85)^Assumptions!$O$86</f>
        <v>0</v>
      </c>
      <c r="Q11" s="563">
        <f ca="1">+Q$2*AC11*(1+Assumptions!$O$85)^Assumptions!$O$86</f>
        <v>0</v>
      </c>
      <c r="R11" s="563">
        <f ca="1">+R$2*AD11*(1+Assumptions!$O$85)^Assumptions!$O$86</f>
        <v>0</v>
      </c>
      <c r="S11" s="563">
        <f ca="1">+S$2*AE11*(1+Assumptions!$O$85)^Assumptions!$O$86</f>
        <v>0</v>
      </c>
      <c r="T11" s="563">
        <f ca="1">+T$2*AF11*(1+Assumptions!$O$85)^Assumptions!$O$86</f>
        <v>0</v>
      </c>
      <c r="U11" s="563">
        <f ca="1">+U$2*AG11*(1+Assumptions!$O$85)^Assumptions!$O$86</f>
        <v>0</v>
      </c>
      <c r="V11" s="563">
        <f t="shared" ref="V11:V16" ca="1" si="27">+SUM(M11:U11)/K11</f>
        <v>202.113</v>
      </c>
      <c r="W11" s="563">
        <f t="shared" ca="1" si="10"/>
        <v>202.113</v>
      </c>
      <c r="X11" s="865" t="s">
        <v>246</v>
      </c>
      <c r="Y11" s="562">
        <v>66553</v>
      </c>
      <c r="Z11" s="562">
        <v>99829</v>
      </c>
      <c r="AA11" s="562">
        <v>0</v>
      </c>
      <c r="AB11" s="562">
        <v>0</v>
      </c>
      <c r="AC11" s="562">
        <v>0</v>
      </c>
      <c r="AD11" s="562">
        <v>0</v>
      </c>
      <c r="AE11" s="562">
        <v>0</v>
      </c>
      <c r="AF11" s="562">
        <f t="shared" si="22"/>
        <v>0</v>
      </c>
      <c r="AG11" s="562">
        <v>0</v>
      </c>
      <c r="AH11" s="919" t="s">
        <v>246</v>
      </c>
      <c r="AI11" s="99"/>
      <c r="AJ11" s="172">
        <v>0.83991535696946196</v>
      </c>
      <c r="AK11" s="169"/>
      <c r="AL11" s="172">
        <f t="shared" si="11"/>
        <v>0.83991535696946207</v>
      </c>
      <c r="AM11" s="99"/>
      <c r="AN11" s="564">
        <f t="shared" ref="AN11:AN23" si="28">+SUM(AO11:AW11)</f>
        <v>139746.79692329303</v>
      </c>
      <c r="AO11" s="562">
        <f t="shared" si="19"/>
        <v>55898.8867523886</v>
      </c>
      <c r="AP11" s="562">
        <f t="shared" si="12"/>
        <v>83847.910170904419</v>
      </c>
      <c r="AQ11" s="562">
        <f t="shared" si="23"/>
        <v>0</v>
      </c>
      <c r="AR11" s="562">
        <f t="shared" si="13"/>
        <v>0</v>
      </c>
      <c r="AS11" s="562">
        <f t="shared" si="14"/>
        <v>0</v>
      </c>
      <c r="AT11" s="562">
        <f t="shared" si="15"/>
        <v>0</v>
      </c>
      <c r="AU11" s="562">
        <f t="shared" si="24"/>
        <v>0</v>
      </c>
      <c r="AV11" s="562">
        <f t="shared" si="20"/>
        <v>0</v>
      </c>
      <c r="AW11" s="562">
        <f t="shared" si="16"/>
        <v>0</v>
      </c>
      <c r="AZ11" s="815">
        <f>'Parcel x Block Info'!M8</f>
        <v>0</v>
      </c>
      <c r="BA11" s="922" t="s">
        <v>387</v>
      </c>
    </row>
    <row r="12" spans="1:53" ht="16" customHeight="1">
      <c r="A12" s="227" t="str">
        <f t="shared" ref="A12:A22" si="29">RIGHT(B12,1)</f>
        <v>6</v>
      </c>
      <c r="B12" s="554" t="s">
        <v>388</v>
      </c>
      <c r="C12" s="553" t="s">
        <v>21</v>
      </c>
      <c r="D12" s="553" t="s">
        <v>381</v>
      </c>
      <c r="E12" s="556">
        <f>SUM('Parcel x Block Info'!E75:E86)</f>
        <v>96786.4</v>
      </c>
      <c r="F12" s="556">
        <v>18696</v>
      </c>
      <c r="G12" s="556">
        <v>304910</v>
      </c>
      <c r="H12" s="556">
        <v>37388</v>
      </c>
      <c r="I12" s="167"/>
      <c r="J12" s="167"/>
      <c r="K12" s="556">
        <f t="shared" si="26"/>
        <v>360994</v>
      </c>
      <c r="L12" s="167"/>
      <c r="M12" s="557">
        <f ca="1">+M$2*Y12*(1+Assumptions!$O$85)^Assumptions!$O$86</f>
        <v>23772328.947000001</v>
      </c>
      <c r="N12" s="557">
        <f ca="1">+N$2*Z12*(1+Assumptions!$O$85)^Assumptions!$O$86</f>
        <v>35608268.340000004</v>
      </c>
      <c r="O12" s="557">
        <f ca="1">+O$2*AA12*(1+Assumptions!$O$85)^Assumptions!$O$86</f>
        <v>1869981.3</v>
      </c>
      <c r="P12" s="557">
        <f ca="1">+P$2*AB12*(1+Assumptions!$O$85)^Assumptions!$O$86</f>
        <v>0</v>
      </c>
      <c r="Q12" s="557">
        <f ca="1">+Q$2*AC12*(1+Assumptions!$O$85)^Assumptions!$O$86</f>
        <v>0</v>
      </c>
      <c r="R12" s="557">
        <f ca="1">+R$2*AD12*(1+Assumptions!$O$85)^Assumptions!$O$86</f>
        <v>0</v>
      </c>
      <c r="S12" s="557">
        <f ca="1">+S$2*AE12*(1+Assumptions!$O$85)^Assumptions!$O$86</f>
        <v>0</v>
      </c>
      <c r="T12" s="557">
        <f ca="1">+T$2*AF12*(1+Assumptions!$O$85)^Assumptions!$O$86</f>
        <v>1906788</v>
      </c>
      <c r="U12" s="557">
        <f ca="1">+U$2*AG12*(1+Assumptions!$O$85)^Assumptions!$O$86</f>
        <v>0</v>
      </c>
      <c r="V12" s="557">
        <f t="shared" ca="1" si="27"/>
        <v>174.95406180435131</v>
      </c>
      <c r="W12" s="557">
        <f t="shared" ca="1" si="10"/>
        <v>189.27516358472957</v>
      </c>
      <c r="X12" s="865" t="s">
        <v>246</v>
      </c>
      <c r="Y12" s="556">
        <v>117619</v>
      </c>
      <c r="Z12" s="556">
        <v>176180</v>
      </c>
      <c r="AA12" s="556">
        <v>11111</v>
      </c>
      <c r="AB12" s="556">
        <v>0</v>
      </c>
      <c r="AC12" s="556">
        <v>0</v>
      </c>
      <c r="AD12" s="556">
        <v>0</v>
      </c>
      <c r="AE12" s="556">
        <v>0</v>
      </c>
      <c r="AF12" s="556">
        <v>37388</v>
      </c>
      <c r="AG12" s="556">
        <v>0</v>
      </c>
      <c r="AH12" s="918" t="s">
        <v>246</v>
      </c>
      <c r="AI12" s="99"/>
      <c r="AJ12" s="172"/>
      <c r="AK12" s="172">
        <v>0.81245776040612305</v>
      </c>
      <c r="AL12" s="172">
        <f t="shared" si="11"/>
        <v>3.2796234954576758E-2</v>
      </c>
      <c r="AM12" s="99"/>
      <c r="AN12" s="558">
        <f t="shared" si="28"/>
        <v>47387.9</v>
      </c>
      <c r="AO12" s="556">
        <f t="shared" si="19"/>
        <v>0</v>
      </c>
      <c r="AP12" s="556">
        <f t="shared" si="12"/>
        <v>0</v>
      </c>
      <c r="AQ12" s="556">
        <f t="shared" si="23"/>
        <v>9999.9</v>
      </c>
      <c r="AR12" s="556">
        <f>+AB12*AK12</f>
        <v>0</v>
      </c>
      <c r="AS12" s="556">
        <f t="shared" si="14"/>
        <v>0</v>
      </c>
      <c r="AT12" s="556">
        <f t="shared" si="15"/>
        <v>0</v>
      </c>
      <c r="AU12" s="556">
        <f t="shared" si="24"/>
        <v>0</v>
      </c>
      <c r="AV12" s="556">
        <f t="shared" si="20"/>
        <v>37388</v>
      </c>
      <c r="AW12" s="556">
        <f t="shared" si="16"/>
        <v>0</v>
      </c>
      <c r="AZ12" s="845">
        <f>'Parcel x Block Info'!M26</f>
        <v>12003126</v>
      </c>
      <c r="BA12" s="21">
        <v>6</v>
      </c>
    </row>
    <row r="13" spans="1:53" ht="16" customHeight="1">
      <c r="A13" s="227" t="str">
        <f t="shared" si="29"/>
        <v>7</v>
      </c>
      <c r="B13" s="554" t="s">
        <v>389</v>
      </c>
      <c r="C13" s="553" t="s">
        <v>21</v>
      </c>
      <c r="D13" s="553" t="s">
        <v>381</v>
      </c>
      <c r="E13" s="556">
        <f>SUM('Parcel x Block Info'!E88:E90)</f>
        <v>24642</v>
      </c>
      <c r="F13" s="556">
        <v>0</v>
      </c>
      <c r="G13" s="556">
        <v>281633</v>
      </c>
      <c r="H13" s="556">
        <v>48568</v>
      </c>
      <c r="I13" s="167"/>
      <c r="J13" s="167"/>
      <c r="K13" s="556">
        <f t="shared" si="26"/>
        <v>330201</v>
      </c>
      <c r="L13" s="167"/>
      <c r="M13" s="557">
        <f ca="1">+M$2*Y13*(1+Assumptions!$O$85)^Assumptions!$O$86</f>
        <v>21484207.673999999</v>
      </c>
      <c r="N13" s="557">
        <f ca="1">+N$2*Z13*(1+Assumptions!$O$85)^Assumptions!$O$86</f>
        <v>32226109.398000002</v>
      </c>
      <c r="O13" s="557">
        <f ca="1">+O$2*AA13*(1+Assumptions!$O$85)^Assumptions!$O$86</f>
        <v>2674118.7000000002</v>
      </c>
      <c r="P13" s="557">
        <f ca="1">+P$2*AB13*(1+Assumptions!$O$85)^Assumptions!$O$86</f>
        <v>0</v>
      </c>
      <c r="Q13" s="557">
        <f ca="1">+Q$2*AC13*(1+Assumptions!$O$85)^Assumptions!$O$86</f>
        <v>0</v>
      </c>
      <c r="R13" s="557">
        <f ca="1">+R$2*AD13*(1+Assumptions!$O$85)^Assumptions!$O$86</f>
        <v>0</v>
      </c>
      <c r="S13" s="557">
        <f ca="1">+S$2*AE13*(1+Assumptions!$O$85)^Assumptions!$O$86</f>
        <v>0</v>
      </c>
      <c r="T13" s="557">
        <f ca="1">+T$2*AF13*(1+Assumptions!$O$85)^Assumptions!$O$86</f>
        <v>2476968</v>
      </c>
      <c r="U13" s="557">
        <f ca="1">+U$2*AG13*(1+Assumptions!$O$85)^Assumptions!$O$86</f>
        <v>0</v>
      </c>
      <c r="V13" s="557">
        <f t="shared" ca="1" si="27"/>
        <v>178.2593140905085</v>
      </c>
      <c r="W13" s="557">
        <f ca="1">+SUM(M13:S13)/SUM(F13:G13)</f>
        <v>200.20535864760166</v>
      </c>
      <c r="X13" s="865" t="s">
        <v>246</v>
      </c>
      <c r="Y13" s="556">
        <v>106298</v>
      </c>
      <c r="Z13" s="556">
        <v>159446</v>
      </c>
      <c r="AA13" s="556">
        <v>15889</v>
      </c>
      <c r="AB13" s="556">
        <v>0</v>
      </c>
      <c r="AC13" s="556">
        <v>0</v>
      </c>
      <c r="AD13" s="556">
        <v>0</v>
      </c>
      <c r="AE13" s="556">
        <v>0</v>
      </c>
      <c r="AF13" s="556">
        <f t="shared" si="22"/>
        <v>48568</v>
      </c>
      <c r="AG13" s="556">
        <v>0</v>
      </c>
      <c r="AH13" s="918" t="s">
        <v>246</v>
      </c>
      <c r="AI13" s="99"/>
      <c r="AJ13" s="172">
        <v>0.85</v>
      </c>
      <c r="AK13" s="99"/>
      <c r="AL13" s="172">
        <f t="shared" si="11"/>
        <v>0.85282086971342153</v>
      </c>
      <c r="AM13" s="99"/>
      <c r="AN13" s="564">
        <f t="shared" si="28"/>
        <v>288750.5</v>
      </c>
      <c r="AO13" s="562">
        <f t="shared" si="19"/>
        <v>90353.3</v>
      </c>
      <c r="AP13" s="562">
        <f t="shared" si="12"/>
        <v>135529.1</v>
      </c>
      <c r="AQ13" s="562">
        <f t="shared" si="23"/>
        <v>14300.1</v>
      </c>
      <c r="AR13" s="562">
        <f t="shared" ref="AR13:AR18" si="30">+AB13*0.75</f>
        <v>0</v>
      </c>
      <c r="AS13" s="562">
        <f t="shared" si="14"/>
        <v>0</v>
      </c>
      <c r="AT13" s="562">
        <f t="shared" si="15"/>
        <v>0</v>
      </c>
      <c r="AU13" s="562">
        <f t="shared" si="24"/>
        <v>0</v>
      </c>
      <c r="AV13" s="562">
        <f t="shared" si="20"/>
        <v>48568</v>
      </c>
      <c r="AW13" s="562">
        <f t="shared" si="16"/>
        <v>0</v>
      </c>
      <c r="AZ13" s="847">
        <f>'Parcel x Block Info'!M27</f>
        <v>6778518</v>
      </c>
      <c r="BA13" s="21">
        <v>7</v>
      </c>
    </row>
    <row r="14" spans="1:53" ht="16" customHeight="1">
      <c r="A14" s="227" t="str">
        <f t="shared" si="29"/>
        <v>8</v>
      </c>
      <c r="B14" s="555" t="s">
        <v>390</v>
      </c>
      <c r="C14" s="868" t="s">
        <v>19</v>
      </c>
      <c r="D14" s="868" t="s">
        <v>381</v>
      </c>
      <c r="E14" s="550">
        <f>SUM('Parcel x Block Info'!E92:E97)</f>
        <v>72711</v>
      </c>
      <c r="F14" s="550">
        <v>0</v>
      </c>
      <c r="G14" s="550">
        <v>179512</v>
      </c>
      <c r="H14" s="550">
        <v>94832</v>
      </c>
      <c r="I14" s="167"/>
      <c r="J14" s="167"/>
      <c r="K14" s="550">
        <f t="shared" si="26"/>
        <v>274344</v>
      </c>
      <c r="L14" s="167"/>
      <c r="M14" s="551">
        <f t="shared" ref="M14:U14" ca="1" si="31">+M$2*Y14</f>
        <v>12510596.550000001</v>
      </c>
      <c r="N14" s="551">
        <f t="shared" ca="1" si="31"/>
        <v>18765795.75</v>
      </c>
      <c r="O14" s="551">
        <f t="shared" ca="1" si="31"/>
        <v>3575550</v>
      </c>
      <c r="P14" s="551">
        <f t="shared" ca="1" si="31"/>
        <v>0</v>
      </c>
      <c r="Q14" s="551">
        <f t="shared" ca="1" si="31"/>
        <v>0</v>
      </c>
      <c r="R14" s="551">
        <f t="shared" ca="1" si="31"/>
        <v>0</v>
      </c>
      <c r="S14" s="551">
        <f t="shared" ca="1" si="31"/>
        <v>0</v>
      </c>
      <c r="T14" s="551">
        <f t="shared" ca="1" si="31"/>
        <v>4741600</v>
      </c>
      <c r="U14" s="551">
        <f t="shared" ca="1" si="31"/>
        <v>0</v>
      </c>
      <c r="V14" s="551">
        <f t="shared" ca="1" si="27"/>
        <v>144.32078813460473</v>
      </c>
      <c r="W14" s="551">
        <f t="shared" ca="1" si="10"/>
        <v>194.14825916930343</v>
      </c>
      <c r="X14" s="865" t="s">
        <v>246</v>
      </c>
      <c r="Y14" s="550">
        <v>63137</v>
      </c>
      <c r="Z14" s="550">
        <v>94705</v>
      </c>
      <c r="AA14" s="550">
        <v>21670</v>
      </c>
      <c r="AB14" s="550">
        <v>0</v>
      </c>
      <c r="AC14" s="550">
        <v>0</v>
      </c>
      <c r="AD14" s="550">
        <v>0</v>
      </c>
      <c r="AE14" s="550">
        <v>0</v>
      </c>
      <c r="AF14" s="550">
        <f>+H14</f>
        <v>94832</v>
      </c>
      <c r="AG14" s="550">
        <v>0</v>
      </c>
      <c r="AH14" s="917" t="s">
        <v>246</v>
      </c>
      <c r="AI14" s="99"/>
      <c r="AJ14" s="99"/>
      <c r="AK14" s="99"/>
      <c r="AL14" s="172">
        <f t="shared" si="11"/>
        <v>0.10864454743972547</v>
      </c>
      <c r="AM14" s="99"/>
      <c r="AN14" s="552">
        <f t="shared" si="28"/>
        <v>114335</v>
      </c>
      <c r="AO14" s="550">
        <f t="shared" si="19"/>
        <v>0</v>
      </c>
      <c r="AP14" s="550">
        <f t="shared" si="12"/>
        <v>0</v>
      </c>
      <c r="AQ14" s="550">
        <f t="shared" si="23"/>
        <v>19503</v>
      </c>
      <c r="AR14" s="550">
        <f t="shared" si="30"/>
        <v>0</v>
      </c>
      <c r="AS14" s="550">
        <f t="shared" si="14"/>
        <v>0</v>
      </c>
      <c r="AT14" s="550">
        <f t="shared" si="15"/>
        <v>0</v>
      </c>
      <c r="AU14" s="550">
        <f t="shared" si="24"/>
        <v>0</v>
      </c>
      <c r="AV14" s="550">
        <f t="shared" si="20"/>
        <v>94832</v>
      </c>
      <c r="AW14" s="550">
        <f t="shared" si="16"/>
        <v>0</v>
      </c>
      <c r="AZ14" s="846">
        <f>'Parcel x Block Info'!M28</f>
        <v>16493865</v>
      </c>
      <c r="BA14" s="21">
        <v>8</v>
      </c>
    </row>
    <row r="15" spans="1:53" ht="16" customHeight="1">
      <c r="A15" s="227" t="str">
        <f t="shared" si="29"/>
        <v>A</v>
      </c>
      <c r="B15" s="559" t="s">
        <v>391</v>
      </c>
      <c r="C15" s="553" t="s">
        <v>21</v>
      </c>
      <c r="D15" s="553" t="s">
        <v>381</v>
      </c>
      <c r="E15" s="556">
        <v>75224</v>
      </c>
      <c r="F15" s="556">
        <v>0</v>
      </c>
      <c r="G15" s="556">
        <v>229384</v>
      </c>
      <c r="H15" s="556">
        <v>34188</v>
      </c>
      <c r="I15" s="167"/>
      <c r="J15" s="167"/>
      <c r="K15" s="556">
        <f t="shared" si="26"/>
        <v>263572</v>
      </c>
      <c r="L15" s="167"/>
      <c r="M15" s="557">
        <f t="shared" ref="M15:N18" ca="1" si="32">+M$2*Y15</f>
        <v>18181055.100000001</v>
      </c>
      <c r="N15" s="557">
        <f t="shared" ca="1" si="32"/>
        <v>27271384.5</v>
      </c>
      <c r="O15" s="557">
        <f t="shared" ref="O15:U15" ca="1" si="33">+O$2*AA15</f>
        <v>1880340</v>
      </c>
      <c r="P15" s="557">
        <f t="shared" ca="1" si="33"/>
        <v>0</v>
      </c>
      <c r="Q15" s="557">
        <f t="shared" ca="1" si="33"/>
        <v>0</v>
      </c>
      <c r="R15" s="557">
        <f t="shared" ca="1" si="33"/>
        <v>0</v>
      </c>
      <c r="S15" s="557">
        <f t="shared" ca="1" si="33"/>
        <v>0</v>
      </c>
      <c r="T15" s="557">
        <f t="shared" ca="1" si="33"/>
        <v>1709400</v>
      </c>
      <c r="U15" s="557">
        <f t="shared" ca="1" si="33"/>
        <v>0</v>
      </c>
      <c r="V15" s="557">
        <f t="shared" ca="1" si="27"/>
        <v>186.06748668295572</v>
      </c>
      <c r="W15" s="557">
        <f t="shared" ca="1" si="10"/>
        <v>206.34734593520037</v>
      </c>
      <c r="X15" s="865" t="s">
        <v>246</v>
      </c>
      <c r="Y15" s="556">
        <v>91754</v>
      </c>
      <c r="Z15" s="556">
        <v>137630</v>
      </c>
      <c r="AA15" s="556">
        <v>11396</v>
      </c>
      <c r="AB15" s="556">
        <v>0</v>
      </c>
      <c r="AC15" s="556">
        <v>0</v>
      </c>
      <c r="AD15" s="556">
        <v>0</v>
      </c>
      <c r="AE15" s="556">
        <v>0</v>
      </c>
      <c r="AF15" s="556">
        <v>34188</v>
      </c>
      <c r="AG15" s="556">
        <v>0</v>
      </c>
      <c r="AH15" s="918" t="s">
        <v>246</v>
      </c>
      <c r="AI15" s="99"/>
      <c r="AJ15" s="99"/>
      <c r="AK15" s="99"/>
      <c r="AL15" s="172">
        <f t="shared" si="11"/>
        <v>4.2596561176177425E-2</v>
      </c>
      <c r="AM15" s="99"/>
      <c r="AN15" s="558">
        <f t="shared" si="28"/>
        <v>44444.4</v>
      </c>
      <c r="AO15" s="556">
        <f t="shared" si="19"/>
        <v>0</v>
      </c>
      <c r="AP15" s="556">
        <f t="shared" si="12"/>
        <v>0</v>
      </c>
      <c r="AQ15" s="556">
        <f t="shared" si="23"/>
        <v>10256.4</v>
      </c>
      <c r="AR15" s="556">
        <f t="shared" si="30"/>
        <v>0</v>
      </c>
      <c r="AS15" s="556">
        <f t="shared" si="14"/>
        <v>0</v>
      </c>
      <c r="AT15" s="556">
        <f t="shared" si="15"/>
        <v>0</v>
      </c>
      <c r="AU15" s="556">
        <f t="shared" si="24"/>
        <v>0</v>
      </c>
      <c r="AV15" s="556">
        <f t="shared" si="20"/>
        <v>34188</v>
      </c>
      <c r="AW15" s="556">
        <f t="shared" si="16"/>
        <v>0</v>
      </c>
      <c r="AZ15" s="845">
        <f>'Parcel x Block Info'!M29</f>
        <v>9448520</v>
      </c>
      <c r="BA15" s="922" t="s">
        <v>767</v>
      </c>
    </row>
    <row r="16" spans="1:53" ht="16" customHeight="1">
      <c r="A16" s="227" t="str">
        <f t="shared" si="29"/>
        <v>9</v>
      </c>
      <c r="B16" s="866" t="s">
        <v>392</v>
      </c>
      <c r="C16" s="553" t="s">
        <v>21</v>
      </c>
      <c r="D16" s="553" t="s">
        <v>381</v>
      </c>
      <c r="E16" s="556">
        <v>1000</v>
      </c>
      <c r="F16" s="556">
        <v>500</v>
      </c>
      <c r="G16" s="556">
        <v>500</v>
      </c>
      <c r="H16" s="556">
        <v>0</v>
      </c>
      <c r="I16" s="76"/>
      <c r="J16" s="76"/>
      <c r="K16" s="556">
        <v>500</v>
      </c>
      <c r="L16" s="76"/>
      <c r="M16" s="557">
        <f t="shared" ca="1" si="32"/>
        <v>0</v>
      </c>
      <c r="N16" s="557">
        <f t="shared" ca="1" si="32"/>
        <v>0</v>
      </c>
      <c r="O16" s="557">
        <f t="shared" ref="O16:U16" ca="1" si="34">+O$2*AA16</f>
        <v>82500</v>
      </c>
      <c r="P16" s="557">
        <f t="shared" ca="1" si="34"/>
        <v>0</v>
      </c>
      <c r="Q16" s="557">
        <f t="shared" ca="1" si="34"/>
        <v>0</v>
      </c>
      <c r="R16" s="557">
        <f t="shared" ca="1" si="34"/>
        <v>0</v>
      </c>
      <c r="S16" s="557">
        <f t="shared" ca="1" si="34"/>
        <v>0</v>
      </c>
      <c r="T16" s="557">
        <f t="shared" ca="1" si="34"/>
        <v>0</v>
      </c>
      <c r="U16" s="557">
        <f t="shared" ca="1" si="34"/>
        <v>0</v>
      </c>
      <c r="V16" s="557">
        <f t="shared" ca="1" si="27"/>
        <v>165</v>
      </c>
      <c r="W16" s="557">
        <f ca="1">+SUM(M16:S16)/SUM(F16:G16)</f>
        <v>82.5</v>
      </c>
      <c r="X16" s="867" t="s">
        <v>246</v>
      </c>
      <c r="Y16" s="556">
        <v>0</v>
      </c>
      <c r="Z16" s="556">
        <v>0</v>
      </c>
      <c r="AA16" s="556">
        <v>500</v>
      </c>
      <c r="AB16" s="556">
        <v>0</v>
      </c>
      <c r="AC16" s="556">
        <v>0</v>
      </c>
      <c r="AD16" s="556">
        <v>0</v>
      </c>
      <c r="AE16" s="556">
        <v>0</v>
      </c>
      <c r="AF16" s="556">
        <f>+H16</f>
        <v>0</v>
      </c>
      <c r="AG16" s="556">
        <v>0</v>
      </c>
      <c r="AH16" s="918" t="s">
        <v>246</v>
      </c>
      <c r="AI16" s="99"/>
      <c r="AJ16" s="99"/>
      <c r="AK16" s="99"/>
      <c r="AL16" s="172">
        <f>+SUM(AO16:AU16)/SUM(Y16:AE16)</f>
        <v>0.9</v>
      </c>
      <c r="AM16" s="99"/>
      <c r="AN16" s="558">
        <f>+SUM(AO16:AW16)</f>
        <v>450</v>
      </c>
      <c r="AO16" s="556">
        <f t="shared" ref="AO16:AP18" si="35">+Y16*$AJ16</f>
        <v>0</v>
      </c>
      <c r="AP16" s="556">
        <f t="shared" si="35"/>
        <v>0</v>
      </c>
      <c r="AQ16" s="556">
        <f>+AA16*0.9</f>
        <v>450</v>
      </c>
      <c r="AR16" s="556">
        <f t="shared" si="30"/>
        <v>0</v>
      </c>
      <c r="AS16" s="556">
        <f>+AC16</f>
        <v>0</v>
      </c>
      <c r="AT16" s="556">
        <f>+AD16*0.9</f>
        <v>0</v>
      </c>
      <c r="AU16" s="556">
        <f t="shared" ref="AU16:AW18" si="36">+AE16</f>
        <v>0</v>
      </c>
      <c r="AV16" s="556">
        <f t="shared" si="36"/>
        <v>0</v>
      </c>
      <c r="AW16" s="556">
        <f t="shared" si="36"/>
        <v>0</v>
      </c>
      <c r="AZ16" s="845">
        <f>'Parcel x Block Info'!M30</f>
        <v>0</v>
      </c>
      <c r="BA16" s="21">
        <v>9</v>
      </c>
    </row>
    <row r="17" spans="1:53" ht="16" customHeight="1">
      <c r="A17" s="227" t="str">
        <f t="shared" si="29"/>
        <v>)</v>
      </c>
      <c r="B17" s="915" t="s">
        <v>393</v>
      </c>
      <c r="C17" s="549" t="s">
        <v>19</v>
      </c>
      <c r="D17" s="549" t="s">
        <v>381</v>
      </c>
      <c r="E17" s="550">
        <v>0</v>
      </c>
      <c r="F17" s="550">
        <v>0</v>
      </c>
      <c r="G17" s="550">
        <v>0</v>
      </c>
      <c r="H17" s="550">
        <f>76298</f>
        <v>76298</v>
      </c>
      <c r="I17" s="76"/>
      <c r="J17" s="76"/>
      <c r="K17" s="550">
        <f t="shared" si="26"/>
        <v>76298</v>
      </c>
      <c r="L17" s="76"/>
      <c r="M17" s="551">
        <f t="shared" ca="1" si="32"/>
        <v>0</v>
      </c>
      <c r="N17" s="551">
        <f t="shared" ca="1" si="32"/>
        <v>0</v>
      </c>
      <c r="O17" s="551">
        <f t="shared" ref="O17:O18" ca="1" si="37">+O$2*AA17</f>
        <v>82500</v>
      </c>
      <c r="P17" s="551">
        <f t="shared" ref="P17:P18" ca="1" si="38">+P$2*AB17</f>
        <v>0</v>
      </c>
      <c r="Q17" s="551">
        <f t="shared" ref="Q17:Q18" ca="1" si="39">+Q$2*AC17</f>
        <v>0</v>
      </c>
      <c r="R17" s="551">
        <f t="shared" ref="R17:R18" ca="1" si="40">+R$2*AD17</f>
        <v>0</v>
      </c>
      <c r="S17" s="551">
        <f t="shared" ref="S17:S18" ca="1" si="41">+S$2*AE17</f>
        <v>0</v>
      </c>
      <c r="T17" s="551">
        <f t="shared" ref="T17:T18" ca="1" si="42">+T$2*AF17</f>
        <v>3814900</v>
      </c>
      <c r="U17" s="551">
        <f ca="1">+U$2*AG18</f>
        <v>0</v>
      </c>
      <c r="V17" s="551">
        <f ca="1">+SUM(M17:U17)/K17</f>
        <v>51.081286534378357</v>
      </c>
      <c r="W17" s="551">
        <v>0</v>
      </c>
      <c r="X17" s="867" t="s">
        <v>246</v>
      </c>
      <c r="Y17" s="550">
        <v>0</v>
      </c>
      <c r="Z17" s="550">
        <v>0</v>
      </c>
      <c r="AA17" s="550">
        <v>500</v>
      </c>
      <c r="AB17" s="550">
        <v>0</v>
      </c>
      <c r="AC17" s="550">
        <v>0</v>
      </c>
      <c r="AD17" s="550">
        <v>0</v>
      </c>
      <c r="AE17" s="550">
        <v>0</v>
      </c>
      <c r="AF17" s="550">
        <f>+H17</f>
        <v>76298</v>
      </c>
      <c r="AG17" s="550">
        <v>356809</v>
      </c>
      <c r="AH17" s="917" t="s">
        <v>246</v>
      </c>
      <c r="AI17" s="99"/>
      <c r="AJ17" s="99"/>
      <c r="AK17" s="99"/>
      <c r="AL17" s="172">
        <f>+SUM(AO17:AU17)/SUM(Y17:AE17)</f>
        <v>0.9</v>
      </c>
      <c r="AM17" s="99"/>
      <c r="AN17" s="558">
        <f>+SUM(AO17:AW17)</f>
        <v>76748</v>
      </c>
      <c r="AO17" s="556">
        <f t="shared" si="35"/>
        <v>0</v>
      </c>
      <c r="AP17" s="556">
        <f t="shared" si="35"/>
        <v>0</v>
      </c>
      <c r="AQ17" s="556">
        <f>+AA17*0.9</f>
        <v>450</v>
      </c>
      <c r="AR17" s="556">
        <f t="shared" si="30"/>
        <v>0</v>
      </c>
      <c r="AS17" s="556">
        <f>+AC17</f>
        <v>0</v>
      </c>
      <c r="AT17" s="556">
        <f>+AD17*0.9</f>
        <v>0</v>
      </c>
      <c r="AU17" s="556">
        <f t="shared" si="36"/>
        <v>0</v>
      </c>
      <c r="AV17" s="556">
        <f t="shared" si="36"/>
        <v>76298</v>
      </c>
      <c r="AW17" s="921">
        <v>0</v>
      </c>
      <c r="AZ17" s="845">
        <v>0</v>
      </c>
      <c r="BA17" s="21">
        <v>9</v>
      </c>
    </row>
    <row r="18" spans="1:53" ht="16" customHeight="1">
      <c r="A18" s="227" t="str">
        <f t="shared" si="29"/>
        <v>p</v>
      </c>
      <c r="B18" s="915" t="s">
        <v>394</v>
      </c>
      <c r="C18" s="549" t="s">
        <v>19</v>
      </c>
      <c r="D18" s="549" t="s">
        <v>381</v>
      </c>
      <c r="E18" s="550">
        <v>0</v>
      </c>
      <c r="F18" s="550">
        <v>0</v>
      </c>
      <c r="G18" s="550">
        <v>0</v>
      </c>
      <c r="H18" s="550">
        <v>0</v>
      </c>
      <c r="I18" s="76"/>
      <c r="J18" s="76"/>
      <c r="K18" s="550">
        <f t="shared" si="26"/>
        <v>0</v>
      </c>
      <c r="L18" s="76"/>
      <c r="M18" s="551">
        <f t="shared" ca="1" si="32"/>
        <v>0</v>
      </c>
      <c r="N18" s="551">
        <f t="shared" ca="1" si="32"/>
        <v>0</v>
      </c>
      <c r="O18" s="551">
        <f t="shared" ca="1" si="37"/>
        <v>82500</v>
      </c>
      <c r="P18" s="551">
        <f t="shared" ca="1" si="38"/>
        <v>0</v>
      </c>
      <c r="Q18" s="551">
        <f t="shared" ca="1" si="39"/>
        <v>0</v>
      </c>
      <c r="R18" s="551">
        <f t="shared" ca="1" si="40"/>
        <v>0</v>
      </c>
      <c r="S18" s="551">
        <f t="shared" ca="1" si="41"/>
        <v>0</v>
      </c>
      <c r="T18" s="551">
        <f t="shared" ca="1" si="42"/>
        <v>0</v>
      </c>
      <c r="U18" s="551">
        <v>0</v>
      </c>
      <c r="V18" s="551" t="e">
        <f ca="1">+SUM(M18:U18)/K18</f>
        <v>#DIV/0!</v>
      </c>
      <c r="W18" s="551">
        <v>0</v>
      </c>
      <c r="X18" s="867" t="s">
        <v>246</v>
      </c>
      <c r="Y18" s="550">
        <v>0</v>
      </c>
      <c r="Z18" s="550">
        <v>0</v>
      </c>
      <c r="AA18" s="550">
        <v>500</v>
      </c>
      <c r="AB18" s="550">
        <v>0</v>
      </c>
      <c r="AC18" s="550">
        <v>0</v>
      </c>
      <c r="AD18" s="550">
        <v>0</v>
      </c>
      <c r="AE18" s="550">
        <v>0</v>
      </c>
      <c r="AF18" s="550">
        <f>+H18</f>
        <v>0</v>
      </c>
      <c r="AG18" s="550">
        <v>0</v>
      </c>
      <c r="AH18" s="917" t="s">
        <v>246</v>
      </c>
      <c r="AI18" s="99"/>
      <c r="AJ18" s="99"/>
      <c r="AK18" s="99"/>
      <c r="AL18" s="172">
        <f>+SUM(AO18:AU18)/SUM(Y18:AE18)</f>
        <v>0.9</v>
      </c>
      <c r="AM18" s="99"/>
      <c r="AN18" s="558">
        <f>+SUM(AO18:AW18)</f>
        <v>450</v>
      </c>
      <c r="AO18" s="556">
        <f t="shared" si="35"/>
        <v>0</v>
      </c>
      <c r="AP18" s="556">
        <f t="shared" si="35"/>
        <v>0</v>
      </c>
      <c r="AQ18" s="556">
        <f>+AA18*0.9</f>
        <v>450</v>
      </c>
      <c r="AR18" s="556">
        <f t="shared" si="30"/>
        <v>0</v>
      </c>
      <c r="AS18" s="556">
        <f>+AC18</f>
        <v>0</v>
      </c>
      <c r="AT18" s="556">
        <f>+AD18*0.9</f>
        <v>0</v>
      </c>
      <c r="AU18" s="556">
        <f t="shared" si="36"/>
        <v>0</v>
      </c>
      <c r="AV18" s="556">
        <f t="shared" si="36"/>
        <v>0</v>
      </c>
      <c r="AW18" s="556">
        <f>+AG18</f>
        <v>0</v>
      </c>
      <c r="AZ18" s="845">
        <f>'Parcel x Block Info'!M32</f>
        <v>0</v>
      </c>
      <c r="BA18" s="21">
        <v>9</v>
      </c>
    </row>
    <row r="19" spans="1:53" ht="16" customHeight="1">
      <c r="A19" s="227" t="str">
        <f t="shared" si="29"/>
        <v xml:space="preserve"> </v>
      </c>
      <c r="B19" s="734" t="s">
        <v>246</v>
      </c>
      <c r="C19" s="816" t="s">
        <v>246</v>
      </c>
      <c r="D19" s="816" t="s">
        <v>395</v>
      </c>
      <c r="E19" s="817" t="s">
        <v>246</v>
      </c>
      <c r="F19" s="817" t="s">
        <v>246</v>
      </c>
      <c r="G19" s="817" t="s">
        <v>246</v>
      </c>
      <c r="H19" s="817" t="s">
        <v>246</v>
      </c>
      <c r="I19" s="818"/>
      <c r="J19" s="818"/>
      <c r="K19" s="612" t="s">
        <v>246</v>
      </c>
      <c r="L19" s="818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8"/>
      <c r="Y19" s="612"/>
      <c r="Z19" s="612"/>
      <c r="AA19" s="817"/>
      <c r="AB19" s="817"/>
      <c r="AC19" s="817"/>
      <c r="AD19" s="817"/>
      <c r="AE19" s="817"/>
      <c r="AF19" s="817"/>
      <c r="AG19" s="817"/>
      <c r="AH19" s="820"/>
      <c r="AI19" s="538"/>
      <c r="AJ19" s="821">
        <v>0.89419900720151801</v>
      </c>
      <c r="AK19" s="538"/>
      <c r="AL19" s="821">
        <v>0</v>
      </c>
      <c r="AM19" s="538"/>
      <c r="AN19" s="813"/>
      <c r="AO19" s="612"/>
      <c r="AP19" s="612"/>
      <c r="AQ19" s="612"/>
      <c r="AR19" s="612"/>
      <c r="AS19" s="612"/>
      <c r="AT19" s="612"/>
      <c r="AU19" s="612"/>
      <c r="AV19" s="612"/>
      <c r="AW19" s="612"/>
      <c r="AZ19" s="886" t="s">
        <v>246</v>
      </c>
      <c r="BA19" s="21" t="s">
        <v>246</v>
      </c>
    </row>
    <row r="20" spans="1:53" ht="16" customHeight="1">
      <c r="A20" s="227" t="str">
        <f t="shared" si="29"/>
        <v xml:space="preserve"> </v>
      </c>
      <c r="B20" s="734" t="s">
        <v>246</v>
      </c>
      <c r="C20" s="816" t="s">
        <v>246</v>
      </c>
      <c r="D20" s="816" t="s">
        <v>395</v>
      </c>
      <c r="E20" s="817" t="s">
        <v>246</v>
      </c>
      <c r="F20" s="817" t="s">
        <v>246</v>
      </c>
      <c r="G20" s="817" t="s">
        <v>246</v>
      </c>
      <c r="H20" s="817" t="s">
        <v>246</v>
      </c>
      <c r="I20" s="818"/>
      <c r="J20" s="818"/>
      <c r="K20" s="612" t="s">
        <v>246</v>
      </c>
      <c r="L20" s="818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8"/>
      <c r="Y20" s="612"/>
      <c r="Z20" s="612"/>
      <c r="AA20" s="817"/>
      <c r="AB20" s="817"/>
      <c r="AC20" s="817"/>
      <c r="AD20" s="817"/>
      <c r="AE20" s="817"/>
      <c r="AF20" s="817"/>
      <c r="AG20" s="817"/>
      <c r="AH20" s="820"/>
      <c r="AI20" s="538"/>
      <c r="AJ20" s="821">
        <v>0.87500492549997499</v>
      </c>
      <c r="AK20" s="538"/>
      <c r="AL20" s="821">
        <v>0</v>
      </c>
      <c r="AM20" s="538"/>
      <c r="AN20" s="813"/>
      <c r="AO20" s="612"/>
      <c r="AP20" s="612"/>
      <c r="AQ20" s="612"/>
      <c r="AR20" s="612"/>
      <c r="AS20" s="612"/>
      <c r="AT20" s="612"/>
      <c r="AU20" s="612"/>
      <c r="AV20" s="612"/>
      <c r="AW20" s="612"/>
      <c r="AZ20" s="612"/>
    </row>
    <row r="21" spans="1:53" ht="16" customHeight="1">
      <c r="A21" s="227" t="str">
        <f t="shared" si="29"/>
        <v xml:space="preserve"> </v>
      </c>
      <c r="B21" s="734" t="s">
        <v>246</v>
      </c>
      <c r="C21" s="816" t="s">
        <v>246</v>
      </c>
      <c r="D21" s="816" t="s">
        <v>395</v>
      </c>
      <c r="E21" s="817" t="s">
        <v>246</v>
      </c>
      <c r="F21" s="817" t="s">
        <v>246</v>
      </c>
      <c r="G21" s="817" t="s">
        <v>246</v>
      </c>
      <c r="H21" s="817" t="s">
        <v>246</v>
      </c>
      <c r="I21" s="818"/>
      <c r="J21" s="818"/>
      <c r="K21" s="612" t="s">
        <v>246</v>
      </c>
      <c r="L21" s="818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8"/>
      <c r="Y21" s="612"/>
      <c r="Z21" s="612"/>
      <c r="AA21" s="817"/>
      <c r="AB21" s="817"/>
      <c r="AC21" s="817"/>
      <c r="AD21" s="817"/>
      <c r="AE21" s="817"/>
      <c r="AF21" s="817"/>
      <c r="AG21" s="817"/>
      <c r="AH21" s="820"/>
      <c r="AI21" s="538"/>
      <c r="AJ21" s="821">
        <v>0.874335761773956</v>
      </c>
      <c r="AK21" s="822"/>
      <c r="AL21" s="821">
        <v>0</v>
      </c>
      <c r="AM21" s="538"/>
      <c r="AN21" s="813"/>
      <c r="AO21" s="612"/>
      <c r="AP21" s="612"/>
      <c r="AQ21" s="612"/>
      <c r="AR21" s="612"/>
      <c r="AS21" s="612"/>
      <c r="AT21" s="612"/>
      <c r="AU21" s="612"/>
      <c r="AV21" s="612"/>
      <c r="AW21" s="612"/>
      <c r="AZ21" s="612"/>
    </row>
    <row r="22" spans="1:53" ht="16" customHeight="1">
      <c r="A22" s="227" t="str">
        <f t="shared" si="29"/>
        <v xml:space="preserve"> </v>
      </c>
      <c r="B22" s="734" t="s">
        <v>246</v>
      </c>
      <c r="C22" s="816" t="s">
        <v>246</v>
      </c>
      <c r="D22" s="816" t="s">
        <v>395</v>
      </c>
      <c r="E22" s="817" t="s">
        <v>246</v>
      </c>
      <c r="F22" s="817" t="s">
        <v>246</v>
      </c>
      <c r="G22" s="817" t="s">
        <v>246</v>
      </c>
      <c r="H22" s="817" t="s">
        <v>246</v>
      </c>
      <c r="I22" s="818"/>
      <c r="J22" s="818"/>
      <c r="K22" s="612" t="s">
        <v>246</v>
      </c>
      <c r="L22" s="818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8"/>
      <c r="Y22" s="612"/>
      <c r="Z22" s="612"/>
      <c r="AA22" s="817"/>
      <c r="AB22" s="817"/>
      <c r="AC22" s="817"/>
      <c r="AD22" s="817"/>
      <c r="AE22" s="817"/>
      <c r="AF22" s="817"/>
      <c r="AG22" s="817"/>
      <c r="AH22" s="820"/>
      <c r="AI22" s="538"/>
      <c r="AJ22" s="538"/>
      <c r="AK22" s="822"/>
      <c r="AL22" s="821">
        <v>0</v>
      </c>
      <c r="AM22" s="538"/>
      <c r="AN22" s="813"/>
      <c r="AO22" s="612"/>
      <c r="AP22" s="612"/>
      <c r="AQ22" s="612"/>
      <c r="AR22" s="612"/>
      <c r="AS22" s="612"/>
      <c r="AT22" s="612"/>
      <c r="AU22" s="814"/>
      <c r="AV22" s="612"/>
      <c r="AW22" s="612"/>
      <c r="AZ22" s="612"/>
    </row>
    <row r="23" spans="1:53" ht="16" customHeight="1">
      <c r="B23" s="533" t="s">
        <v>210</v>
      </c>
      <c r="C23" s="534"/>
      <c r="D23" s="534"/>
      <c r="E23" s="535">
        <f>+SUM(E6:E22)</f>
        <v>886863.4</v>
      </c>
      <c r="F23" s="535">
        <f>+SUM(F6:F22)</f>
        <v>220498</v>
      </c>
      <c r="G23" s="535">
        <f>+SUM(G6:G22)</f>
        <v>4071521</v>
      </c>
      <c r="H23" s="535">
        <f>+SUM(H6:H22)</f>
        <v>682606</v>
      </c>
      <c r="I23" s="168"/>
      <c r="J23" s="168"/>
      <c r="K23" s="535">
        <f>+SUM(K6:K22)</f>
        <v>4974125</v>
      </c>
      <c r="L23" s="168"/>
      <c r="M23" s="537">
        <f t="shared" ref="M23:U23" ca="1" si="43">+SUM(M6:M22)</f>
        <v>205494775.03509361</v>
      </c>
      <c r="N23" s="537">
        <f t="shared" ca="1" si="43"/>
        <v>308191238.00264037</v>
      </c>
      <c r="O23" s="537">
        <f t="shared" ca="1" si="43"/>
        <v>55608155.31216</v>
      </c>
      <c r="P23" s="537">
        <f t="shared" ca="1" si="43"/>
        <v>12803872.472999999</v>
      </c>
      <c r="Q23" s="537">
        <f t="shared" ca="1" si="43"/>
        <v>0</v>
      </c>
      <c r="R23" s="537">
        <f t="shared" ca="1" si="43"/>
        <v>103725000</v>
      </c>
      <c r="S23" s="537">
        <f t="shared" ca="1" si="43"/>
        <v>4156240</v>
      </c>
      <c r="T23" s="537">
        <f t="shared" ca="1" si="43"/>
        <v>34623852.313600004</v>
      </c>
      <c r="U23" s="537">
        <f t="shared" ca="1" si="43"/>
        <v>3786485.6527199997</v>
      </c>
      <c r="V23" s="537"/>
      <c r="W23" s="537"/>
      <c r="X23" s="168"/>
      <c r="Y23" s="535">
        <f>+SUM(Y6:Y22)</f>
        <v>1015030</v>
      </c>
      <c r="Z23" s="535">
        <f>+SUM(Z6:Z22)</f>
        <v>1522293</v>
      </c>
      <c r="AA23" s="535">
        <f t="shared" ref="AA23:AG23" si="44">+SUM(AA6:AA22)</f>
        <v>334815</v>
      </c>
      <c r="AB23" s="535">
        <f t="shared" si="44"/>
        <v>68945</v>
      </c>
      <c r="AC23" s="535">
        <f t="shared" si="44"/>
        <v>107898</v>
      </c>
      <c r="AD23" s="535">
        <f t="shared" si="44"/>
        <v>625000</v>
      </c>
      <c r="AE23" s="535">
        <f t="shared" si="44"/>
        <v>37784</v>
      </c>
      <c r="AF23" s="535">
        <f>+SUM(AF6:AF22)</f>
        <v>682606</v>
      </c>
      <c r="AG23" s="535">
        <f t="shared" si="44"/>
        <v>713618</v>
      </c>
      <c r="AH23" s="920" t="s">
        <v>246</v>
      </c>
      <c r="AI23" s="99" t="s">
        <v>246</v>
      </c>
      <c r="AJ23" s="99"/>
      <c r="AK23" s="99"/>
      <c r="AL23" s="99"/>
      <c r="AM23" s="99"/>
      <c r="AN23" s="535">
        <f t="shared" si="28"/>
        <v>3354057.0960992882</v>
      </c>
      <c r="AO23" s="535">
        <f t="shared" ref="AO23:AW23" si="45">+SUM(AO6:AO22)</f>
        <v>506421.3364227867</v>
      </c>
      <c r="AP23" s="535">
        <f t="shared" si="45"/>
        <v>759630.30967650155</v>
      </c>
      <c r="AQ23" s="535">
        <f t="shared" si="45"/>
        <v>288699.7</v>
      </c>
      <c r="AR23" s="535">
        <f t="shared" si="45"/>
        <v>51708.75</v>
      </c>
      <c r="AS23" s="535">
        <f t="shared" si="45"/>
        <v>107898</v>
      </c>
      <c r="AT23" s="535">
        <f t="shared" si="45"/>
        <v>562500</v>
      </c>
      <c r="AU23" s="535">
        <f t="shared" si="45"/>
        <v>37784</v>
      </c>
      <c r="AV23" s="535">
        <f t="shared" si="45"/>
        <v>682606</v>
      </c>
      <c r="AW23" s="535">
        <f t="shared" si="45"/>
        <v>356809</v>
      </c>
      <c r="AZ23" s="535">
        <f>+SUM(AZ6:AZ22)</f>
        <v>166707133</v>
      </c>
    </row>
    <row r="24" spans="1:53" ht="16" customHeight="1">
      <c r="B24" s="533" t="s">
        <v>15</v>
      </c>
      <c r="C24" s="536" t="s">
        <v>19</v>
      </c>
      <c r="D24" s="536"/>
      <c r="E24" s="535">
        <f t="shared" ref="E24:H26" si="46">+SUMIF($C$6:$C$22,$C24,E$6:E$22)</f>
        <v>391191</v>
      </c>
      <c r="F24" s="535">
        <f t="shared" si="46"/>
        <v>54377</v>
      </c>
      <c r="G24" s="535">
        <f t="shared" si="46"/>
        <v>1632094</v>
      </c>
      <c r="H24" s="535">
        <f t="shared" si="46"/>
        <v>379134</v>
      </c>
      <c r="I24" s="168"/>
      <c r="J24" s="168"/>
      <c r="K24" s="535">
        <f>+SUMIF($C$6:$C$22,$C24,K$6:K$22)</f>
        <v>2065605</v>
      </c>
      <c r="L24" s="168"/>
      <c r="M24" s="537">
        <f t="shared" ref="M24:U26" ca="1" si="47">+SUMIF($C$6:$C$22,$C24,M$6:M$22)</f>
        <v>46718604.213648006</v>
      </c>
      <c r="N24" s="537">
        <f t="shared" ca="1" si="47"/>
        <v>70077807.245471999</v>
      </c>
      <c r="O24" s="537">
        <f t="shared" ca="1" si="47"/>
        <v>24586320</v>
      </c>
      <c r="P24" s="537">
        <f t="shared" ca="1" si="47"/>
        <v>12803872.472999999</v>
      </c>
      <c r="Q24" s="537">
        <f t="shared" ca="1" si="47"/>
        <v>0</v>
      </c>
      <c r="R24" s="537">
        <f t="shared" ca="1" si="47"/>
        <v>51862500</v>
      </c>
      <c r="S24" s="537">
        <f t="shared" ca="1" si="47"/>
        <v>4156240</v>
      </c>
      <c r="T24" s="537">
        <f t="shared" ca="1" si="47"/>
        <v>19125891.1536</v>
      </c>
      <c r="U24" s="537">
        <f t="shared" ca="1" si="47"/>
        <v>3786485.6527199997</v>
      </c>
      <c r="V24" s="537"/>
      <c r="W24" s="537"/>
      <c r="X24" s="168"/>
      <c r="Y24" s="535">
        <f t="shared" ref="Y24:AG26" si="48">+SUMIF($C$6:$C$22,$C24,Y$6:Y$22)</f>
        <v>233923</v>
      </c>
      <c r="Z24" s="535">
        <f>+SUMIF($C$6:$C$22,$C24,Z$6:Z$22)</f>
        <v>350884</v>
      </c>
      <c r="AA24" s="535">
        <f t="shared" si="48"/>
        <v>149008</v>
      </c>
      <c r="AB24" s="535">
        <f t="shared" si="48"/>
        <v>68945</v>
      </c>
      <c r="AC24" s="535">
        <f t="shared" si="48"/>
        <v>107898</v>
      </c>
      <c r="AD24" s="535">
        <f t="shared" si="48"/>
        <v>312500</v>
      </c>
      <c r="AE24" s="535">
        <f t="shared" si="48"/>
        <v>37784</v>
      </c>
      <c r="AF24" s="535">
        <f t="shared" si="48"/>
        <v>379134</v>
      </c>
      <c r="AG24" s="535">
        <f t="shared" si="48"/>
        <v>713618</v>
      </c>
      <c r="AH24" s="920" t="s">
        <v>246</v>
      </c>
      <c r="AN24" s="535">
        <f t="shared" ref="AN24:AW26" si="49">+SUMIF($C$6:$C$22,$C24,AN$6:AN$22)</f>
        <v>1400317.15</v>
      </c>
      <c r="AO24" s="535">
        <f t="shared" si="49"/>
        <v>25704</v>
      </c>
      <c r="AP24" s="535">
        <f>+SUMIF($C$6:$C$22,$C24,AP$6:AP$22)</f>
        <v>38556</v>
      </c>
      <c r="AQ24" s="535">
        <f t="shared" si="49"/>
        <v>121473.40000000001</v>
      </c>
      <c r="AR24" s="535">
        <f t="shared" si="49"/>
        <v>51708.75</v>
      </c>
      <c r="AS24" s="535">
        <f t="shared" si="49"/>
        <v>107898</v>
      </c>
      <c r="AT24" s="535">
        <f t="shared" si="49"/>
        <v>281250</v>
      </c>
      <c r="AU24" s="535">
        <f t="shared" si="49"/>
        <v>37784</v>
      </c>
      <c r="AV24" s="535">
        <f t="shared" si="49"/>
        <v>379134</v>
      </c>
      <c r="AW24" s="535">
        <f t="shared" si="49"/>
        <v>356809</v>
      </c>
      <c r="AZ24" s="535">
        <f>AZ7+AZ8+AZ14</f>
        <v>79998202</v>
      </c>
    </row>
    <row r="25" spans="1:53" ht="16" customHeight="1">
      <c r="B25" s="533" t="s">
        <v>15</v>
      </c>
      <c r="C25" s="536" t="s">
        <v>20</v>
      </c>
      <c r="D25" s="536"/>
      <c r="E25" s="535">
        <f t="shared" si="46"/>
        <v>164581</v>
      </c>
      <c r="F25" s="535">
        <f>+SUMIF($C$6:$C$22,$C25,F$6:F$22)</f>
        <v>108777</v>
      </c>
      <c r="G25" s="535">
        <f t="shared" si="46"/>
        <v>1008617</v>
      </c>
      <c r="H25" s="535">
        <f t="shared" si="46"/>
        <v>105428</v>
      </c>
      <c r="I25" s="168"/>
      <c r="J25" s="168"/>
      <c r="K25" s="535">
        <f>+SUMIF($C$6:$C$22,$C25,K$6:K$22)</f>
        <v>1222822</v>
      </c>
      <c r="L25" s="168"/>
      <c r="M25" s="537">
        <f t="shared" ca="1" si="47"/>
        <v>45948817.239</v>
      </c>
      <c r="N25" s="537">
        <f t="shared" ca="1" si="47"/>
        <v>68923025.726999998</v>
      </c>
      <c r="O25" s="537">
        <f t="shared" ca="1" si="47"/>
        <v>19754295</v>
      </c>
      <c r="P25" s="537">
        <f t="shared" ca="1" si="47"/>
        <v>0</v>
      </c>
      <c r="Q25" s="537">
        <f t="shared" ca="1" si="47"/>
        <v>0</v>
      </c>
      <c r="R25" s="537">
        <f t="shared" ca="1" si="47"/>
        <v>51862500</v>
      </c>
      <c r="S25" s="537">
        <f ca="1">+SUMIF($C$6:$C$22,$C25,S$6:S$22)</f>
        <v>0</v>
      </c>
      <c r="T25" s="537">
        <f t="shared" ca="1" si="47"/>
        <v>5271400</v>
      </c>
      <c r="U25" s="537">
        <f t="shared" ca="1" si="47"/>
        <v>0</v>
      </c>
      <c r="V25" s="537"/>
      <c r="W25" s="537"/>
      <c r="X25" s="168"/>
      <c r="Y25" s="535">
        <f t="shared" si="48"/>
        <v>230558</v>
      </c>
      <c r="Z25" s="535">
        <f>+SUMIF($C$6:$C$22,$C25,Z$6:Z$22)</f>
        <v>345836</v>
      </c>
      <c r="AA25" s="535">
        <f t="shared" si="48"/>
        <v>119723</v>
      </c>
      <c r="AB25" s="535">
        <f t="shared" si="48"/>
        <v>0</v>
      </c>
      <c r="AC25" s="535">
        <f t="shared" si="48"/>
        <v>0</v>
      </c>
      <c r="AD25" s="535">
        <f t="shared" si="48"/>
        <v>312500</v>
      </c>
      <c r="AE25" s="535">
        <f t="shared" si="48"/>
        <v>0</v>
      </c>
      <c r="AF25" s="535">
        <f t="shared" si="48"/>
        <v>105428</v>
      </c>
      <c r="AG25" s="535">
        <f t="shared" si="48"/>
        <v>0</v>
      </c>
      <c r="AH25" s="920" t="s">
        <v>246</v>
      </c>
      <c r="AN25" s="535">
        <f t="shared" si="49"/>
        <v>982685.69692329294</v>
      </c>
      <c r="AO25" s="535">
        <f t="shared" si="49"/>
        <v>195303.13675238861</v>
      </c>
      <c r="AP25" s="535">
        <f t="shared" si="49"/>
        <v>292953.86017090443</v>
      </c>
      <c r="AQ25" s="535">
        <f t="shared" si="49"/>
        <v>107750.7</v>
      </c>
      <c r="AR25" s="535">
        <f t="shared" si="49"/>
        <v>0</v>
      </c>
      <c r="AS25" s="535">
        <f t="shared" si="49"/>
        <v>0</v>
      </c>
      <c r="AT25" s="535">
        <f t="shared" si="49"/>
        <v>281250</v>
      </c>
      <c r="AU25" s="535">
        <f t="shared" si="49"/>
        <v>0</v>
      </c>
      <c r="AV25" s="535">
        <f t="shared" si="49"/>
        <v>105428</v>
      </c>
      <c r="AW25" s="535">
        <f t="shared" si="49"/>
        <v>0</v>
      </c>
      <c r="AZ25" s="535">
        <f>AZ6+AZ9+AZ10+AZ12+AZ13+AZ15</f>
        <v>86708931</v>
      </c>
    </row>
    <row r="26" spans="1:53" ht="16" customHeight="1">
      <c r="B26" s="533" t="s">
        <v>15</v>
      </c>
      <c r="C26" s="536" t="s">
        <v>21</v>
      </c>
      <c r="D26" s="536"/>
      <c r="E26" s="535">
        <f t="shared" si="46"/>
        <v>331091.40000000002</v>
      </c>
      <c r="F26" s="535">
        <f t="shared" si="46"/>
        <v>57344</v>
      </c>
      <c r="G26" s="535">
        <f t="shared" si="46"/>
        <v>1430810</v>
      </c>
      <c r="H26" s="535">
        <f t="shared" si="46"/>
        <v>198044</v>
      </c>
      <c r="I26" s="168"/>
      <c r="J26" s="168"/>
      <c r="K26" s="535">
        <f>+SUMIF($C$6:$C$22,$C26,K$6:K$22)</f>
        <v>1685698</v>
      </c>
      <c r="L26" s="168"/>
      <c r="M26" s="537">
        <f t="shared" ca="1" si="47"/>
        <v>112827353.58244559</v>
      </c>
      <c r="N26" s="537">
        <f t="shared" ca="1" si="47"/>
        <v>169190405.03016841</v>
      </c>
      <c r="O26" s="537">
        <f t="shared" ca="1" si="47"/>
        <v>11267540.31216</v>
      </c>
      <c r="P26" s="537">
        <f t="shared" ca="1" si="47"/>
        <v>0</v>
      </c>
      <c r="Q26" s="537">
        <f t="shared" ca="1" si="47"/>
        <v>0</v>
      </c>
      <c r="R26" s="537">
        <f t="shared" ca="1" si="47"/>
        <v>0</v>
      </c>
      <c r="S26" s="537">
        <f t="shared" ca="1" si="47"/>
        <v>0</v>
      </c>
      <c r="T26" s="537">
        <f t="shared" ca="1" si="47"/>
        <v>10226561.16</v>
      </c>
      <c r="U26" s="537">
        <f t="shared" ca="1" si="47"/>
        <v>0</v>
      </c>
      <c r="V26" s="537"/>
      <c r="W26" s="537"/>
      <c r="X26" s="168"/>
      <c r="Y26" s="535">
        <f>+SUMIF($C$6:$C$22,$C26,Y$6:Y$22)</f>
        <v>550549</v>
      </c>
      <c r="Z26" s="535">
        <f>+SUMIF($C$6:$C$22,$C26,Z$6:Z$22)</f>
        <v>825573</v>
      </c>
      <c r="AA26" s="535">
        <f t="shared" si="48"/>
        <v>66084</v>
      </c>
      <c r="AB26" s="535">
        <f t="shared" si="48"/>
        <v>0</v>
      </c>
      <c r="AC26" s="535">
        <f t="shared" si="48"/>
        <v>0</v>
      </c>
      <c r="AD26" s="535">
        <f t="shared" si="48"/>
        <v>0</v>
      </c>
      <c r="AE26" s="535">
        <f t="shared" si="48"/>
        <v>0</v>
      </c>
      <c r="AF26" s="535">
        <f t="shared" si="48"/>
        <v>198044</v>
      </c>
      <c r="AG26" s="535">
        <f t="shared" si="48"/>
        <v>0</v>
      </c>
      <c r="AH26" s="920" t="s">
        <v>246</v>
      </c>
      <c r="AN26" s="535">
        <f t="shared" si="49"/>
        <v>971054.24917599512</v>
      </c>
      <c r="AO26" s="535">
        <f t="shared" si="49"/>
        <v>285414.19967039808</v>
      </c>
      <c r="AP26" s="535">
        <f t="shared" si="49"/>
        <v>428120.44950559712</v>
      </c>
      <c r="AQ26" s="535">
        <f t="shared" si="49"/>
        <v>59475.6</v>
      </c>
      <c r="AR26" s="535">
        <f t="shared" si="49"/>
        <v>0</v>
      </c>
      <c r="AS26" s="535">
        <f t="shared" si="49"/>
        <v>0</v>
      </c>
      <c r="AT26" s="535">
        <f t="shared" si="49"/>
        <v>0</v>
      </c>
      <c r="AU26" s="535">
        <f t="shared" si="49"/>
        <v>0</v>
      </c>
      <c r="AV26" s="535">
        <f t="shared" si="49"/>
        <v>198044</v>
      </c>
      <c r="AW26" s="535">
        <f t="shared" si="49"/>
        <v>0</v>
      </c>
      <c r="AZ26" s="535">
        <v>0</v>
      </c>
    </row>
    <row r="27" spans="1:53" ht="16" customHeight="1">
      <c r="K27" s="612"/>
      <c r="AH27" s="21" t="s">
        <v>246</v>
      </c>
    </row>
    <row r="28" spans="1:53" ht="16" customHeight="1">
      <c r="B28" s="609" t="s">
        <v>3</v>
      </c>
      <c r="C28" s="123"/>
      <c r="M28" s="157" t="s">
        <v>246</v>
      </c>
      <c r="AM28" s="157"/>
      <c r="AO28" s="175" t="s">
        <v>396</v>
      </c>
      <c r="AQ28" s="175" t="s">
        <v>397</v>
      </c>
      <c r="AS28" s="175" t="s">
        <v>398</v>
      </c>
      <c r="AU28" s="175" t="s">
        <v>399</v>
      </c>
      <c r="AW28" s="175" t="s">
        <v>400</v>
      </c>
    </row>
    <row r="29" spans="1:53" ht="16" customHeight="1">
      <c r="B29" s="610" t="s">
        <v>4</v>
      </c>
      <c r="C29" s="614" t="s">
        <v>401</v>
      </c>
      <c r="Y29" s="609" t="s">
        <v>3</v>
      </c>
      <c r="AL29" s="899" t="s">
        <v>402</v>
      </c>
      <c r="AM29" s="176" t="s">
        <v>23</v>
      </c>
      <c r="AO29" s="22">
        <f>+Assumptions!E62</f>
        <v>516</v>
      </c>
      <c r="AQ29" s="22">
        <f>+Assumptions!E66</f>
        <v>720</v>
      </c>
      <c r="AS29" s="22">
        <f>+Assumptions!E70</f>
        <v>1053</v>
      </c>
      <c r="AU29" s="22">
        <f>+Assumptions!E74</f>
        <v>1535</v>
      </c>
      <c r="AW29" s="22">
        <f>+Assumptions!E78</f>
        <v>0</v>
      </c>
      <c r="AX29" s="399"/>
    </row>
    <row r="30" spans="1:53" ht="16" customHeight="1">
      <c r="B30" s="608" t="s">
        <v>5</v>
      </c>
      <c r="Y30" s="610" t="s">
        <v>4</v>
      </c>
      <c r="AL30" s="21" t="s">
        <v>3</v>
      </c>
      <c r="AM30" s="177">
        <f>+SUM(AN30,AP30,AR30,AT30,AV30)-1</f>
        <v>0</v>
      </c>
      <c r="AN30" s="49">
        <v>0.4</v>
      </c>
      <c r="AO30" s="22">
        <f>AN30*$AP24/AO$29</f>
        <v>29.888372093023257</v>
      </c>
      <c r="AP30" s="49">
        <v>0.25</v>
      </c>
      <c r="AQ30" s="22">
        <f>AP30*$AP24/AQ$29</f>
        <v>13.387499999999999</v>
      </c>
      <c r="AR30" s="49">
        <v>0.25</v>
      </c>
      <c r="AS30" s="22">
        <f>AR30*$AP24/AS$29</f>
        <v>9.1538461538461533</v>
      </c>
      <c r="AT30" s="49">
        <v>0.1</v>
      </c>
      <c r="AU30" s="22">
        <f>AT30*$AP24/AU$29</f>
        <v>2.5117915309446257</v>
      </c>
      <c r="AV30" s="49">
        <v>0</v>
      </c>
      <c r="AW30" s="22">
        <v>0</v>
      </c>
      <c r="AX30" s="22">
        <f>+(AW30*$AW$29+AU30*$AU$29+AS30*$AS$29+AQ30*$AQ$29+AO30*$AO$29)</f>
        <v>38556</v>
      </c>
    </row>
    <row r="31" spans="1:53" ht="16" customHeight="1">
      <c r="Y31" s="608" t="s">
        <v>5</v>
      </c>
      <c r="AL31" s="21" t="s">
        <v>4</v>
      </c>
      <c r="AM31" s="177">
        <f>+SUM(AN31,AP31,AR31,AT31,AV31)-1</f>
        <v>0</v>
      </c>
      <c r="AN31" s="49">
        <f>AN30</f>
        <v>0.4</v>
      </c>
      <c r="AO31" s="22">
        <f t="shared" ref="AO31:AQ31" si="50">AN31*$AP25/AO$29</f>
        <v>227.09601563636002</v>
      </c>
      <c r="AP31" s="49">
        <f>AP30</f>
        <v>0.25</v>
      </c>
      <c r="AQ31" s="22">
        <f t="shared" si="50"/>
        <v>101.7200903371196</v>
      </c>
      <c r="AR31" s="49">
        <f>AR30</f>
        <v>0.25</v>
      </c>
      <c r="AS31" s="22">
        <f t="shared" ref="AS31" si="51">AR31*$AP25/AS$29</f>
        <v>69.552198521107414</v>
      </c>
      <c r="AT31" s="49">
        <v>0.1</v>
      </c>
      <c r="AU31" s="22">
        <f t="shared" ref="AU31" si="52">AT31*$AP25/AU$29</f>
        <v>19.084942030677816</v>
      </c>
      <c r="AV31" s="49">
        <v>0</v>
      </c>
      <c r="AW31" s="22">
        <f>0</f>
        <v>0</v>
      </c>
      <c r="AX31" s="22">
        <f>+(AW31*$AW$29+AU31*$AU$29+AS31*$AS$29+AQ31*$AQ$29+AO31*$AO$29)</f>
        <v>292953.86017090443</v>
      </c>
    </row>
    <row r="32" spans="1:53" ht="16" customHeight="1">
      <c r="B32" s="617" t="s">
        <v>403</v>
      </c>
      <c r="F32" s="223" t="s">
        <v>404</v>
      </c>
      <c r="G32" s="223" t="s">
        <v>405</v>
      </c>
      <c r="AM32" s="177"/>
      <c r="AN32" s="49"/>
      <c r="AO32" s="22"/>
      <c r="AP32" s="49"/>
      <c r="AQ32" s="22"/>
      <c r="AR32" s="49"/>
      <c r="AS32" s="22"/>
      <c r="AT32" s="49"/>
      <c r="AU32" s="22"/>
      <c r="AV32" s="49"/>
      <c r="AW32" s="22"/>
      <c r="AX32" s="22"/>
    </row>
    <row r="33" spans="2:50" ht="16" customHeight="1">
      <c r="B33" s="21" t="s">
        <v>143</v>
      </c>
      <c r="F33" s="167">
        <f>AC24</f>
        <v>107898</v>
      </c>
      <c r="G33" s="159">
        <f>+'Public Benefits'!F6</f>
        <v>0</v>
      </c>
      <c r="AL33" s="21" t="s">
        <v>5</v>
      </c>
      <c r="AM33" s="177">
        <f>+SUM(AN33,AP33,AR33,AT33,AV33)-1</f>
        <v>0</v>
      </c>
      <c r="AN33" s="49">
        <f>AN31</f>
        <v>0.4</v>
      </c>
      <c r="AO33" s="22">
        <f>AN33*$AP26/AO$29</f>
        <v>331.87631744619932</v>
      </c>
      <c r="AP33" s="49">
        <f>AP31</f>
        <v>0.25</v>
      </c>
      <c r="AQ33" s="22">
        <f>AP33*$AP26/AQ$29</f>
        <v>148.65293385611011</v>
      </c>
      <c r="AR33" s="49">
        <f>AR31</f>
        <v>0.25</v>
      </c>
      <c r="AS33" s="22">
        <f t="shared" ref="AS33" si="53">AR33*$AP26/AS$29</f>
        <v>101.64303169648555</v>
      </c>
      <c r="AT33" s="49">
        <v>0.1</v>
      </c>
      <c r="AU33" s="22">
        <f t="shared" ref="AU33" si="54">AT33*$AP26/AU$29</f>
        <v>27.890583029680595</v>
      </c>
      <c r="AV33" s="49">
        <v>0</v>
      </c>
      <c r="AW33" s="22">
        <f>AW29</f>
        <v>0</v>
      </c>
      <c r="AX33" s="22">
        <f t="shared" ref="AX33" si="55">+(AW33*$AW$29+AU33*$AU$29+AS33*$AS$29+AQ33*$AQ$29+AO33*$AO$29)</f>
        <v>428120.44950559712</v>
      </c>
    </row>
    <row r="34" spans="2:50" ht="16" customHeight="1">
      <c r="B34" s="21" t="s">
        <v>406</v>
      </c>
      <c r="F34" s="615">
        <v>37394</v>
      </c>
      <c r="G34" s="16">
        <f>+'Public Benefits'!F5</f>
        <v>0</v>
      </c>
      <c r="AL34" s="538" t="s">
        <v>3</v>
      </c>
      <c r="AM34" s="177">
        <f>+SUM(AN34,AP34,AR34,AT34,AV34)-1</f>
        <v>0</v>
      </c>
      <c r="AN34" s="49">
        <f>+AN30</f>
        <v>0.4</v>
      </c>
      <c r="AO34" s="22">
        <f>+AN34*$AO24/AO$29</f>
        <v>19.925581395348839</v>
      </c>
      <c r="AP34" s="49">
        <f>+AP30</f>
        <v>0.25</v>
      </c>
      <c r="AQ34" s="22">
        <f>+AP34*$AO24/AQ$29</f>
        <v>8.9250000000000007</v>
      </c>
      <c r="AR34" s="49">
        <f>+AR30</f>
        <v>0.25</v>
      </c>
      <c r="AS34" s="22">
        <f>+AR34*$AO24/AS$29</f>
        <v>6.1025641025641022</v>
      </c>
      <c r="AT34" s="49">
        <f>+AT30</f>
        <v>0.1</v>
      </c>
      <c r="AU34" s="22">
        <f>+AT34*$AO24/AU$29</f>
        <v>1.674527687296417</v>
      </c>
      <c r="AV34" s="49">
        <f>+AV30</f>
        <v>0</v>
      </c>
      <c r="AW34" s="22">
        <f>AW29</f>
        <v>0</v>
      </c>
      <c r="AX34" s="22">
        <f>+(AW34*$AW$29+AU34*$AU$29+AS34*$AS$29+AQ34*$AQ$29+AO34*$AO$29)</f>
        <v>25704</v>
      </c>
    </row>
    <row r="35" spans="2:50" ht="16" customHeight="1">
      <c r="B35" s="21" t="s">
        <v>407</v>
      </c>
      <c r="F35" s="615">
        <v>28607</v>
      </c>
      <c r="G35" s="16"/>
      <c r="AL35" s="538"/>
      <c r="AM35" s="177"/>
      <c r="AN35" s="49"/>
      <c r="AO35" s="22"/>
      <c r="AP35" s="49"/>
      <c r="AQ35" s="22"/>
      <c r="AR35" s="49"/>
      <c r="AS35" s="22"/>
      <c r="AT35" s="49"/>
      <c r="AU35" s="22"/>
      <c r="AV35" s="49"/>
      <c r="AW35" s="22"/>
      <c r="AX35" s="22"/>
    </row>
    <row r="36" spans="2:50" ht="16" customHeight="1">
      <c r="B36" s="21" t="s">
        <v>373</v>
      </c>
      <c r="F36" s="167">
        <v>222898</v>
      </c>
      <c r="G36" s="16">
        <f>+'Public Benefits'!F4</f>
        <v>8249407.5330174891</v>
      </c>
      <c r="H36" s="21"/>
      <c r="AL36" s="21" t="s">
        <v>4</v>
      </c>
      <c r="AM36" s="177">
        <f>+SUM(AN36,AP36,AR36,AT36,AV36)-1</f>
        <v>0</v>
      </c>
      <c r="AN36" s="49">
        <f>+AN31</f>
        <v>0.4</v>
      </c>
      <c r="AO36" s="22">
        <f>+AN36*$AO25/AO$29</f>
        <v>151.39778042820825</v>
      </c>
      <c r="AP36" s="49">
        <f>+AP31</f>
        <v>0.25</v>
      </c>
      <c r="AQ36" s="22">
        <f>+AP36*$AO25/AQ$29</f>
        <v>67.813589150134931</v>
      </c>
      <c r="AR36" s="49">
        <f>+AR31</f>
        <v>0.25</v>
      </c>
      <c r="AS36" s="22">
        <f>+AR36*$AO25/AS$29</f>
        <v>46.368266085562347</v>
      </c>
      <c r="AT36" s="49">
        <f>+AT31</f>
        <v>0.1</v>
      </c>
      <c r="AU36" s="22">
        <f>+AT36*$AO25/AU$29</f>
        <v>12.723331384520433</v>
      </c>
      <c r="AV36" s="49">
        <f>+AV31</f>
        <v>0</v>
      </c>
      <c r="AW36" s="22">
        <f>AW29</f>
        <v>0</v>
      </c>
      <c r="AX36" s="22">
        <f t="shared" ref="AX36:AX37" si="56">+(AW36*$AW$29+AU36*$AU$29+AS36*$AS$29+AQ36*$AQ$29+AO36*$AO$29)</f>
        <v>195303.13675238861</v>
      </c>
    </row>
    <row r="37" spans="2:50" ht="16" customHeight="1">
      <c r="B37" s="21" t="s">
        <v>408</v>
      </c>
      <c r="F37" s="167">
        <f>+Y23</f>
        <v>1015030</v>
      </c>
      <c r="G37" s="159">
        <f>+'Public Benefits'!F9</f>
        <v>29887385.88387429</v>
      </c>
      <c r="AL37" s="21" t="s">
        <v>5</v>
      </c>
      <c r="AM37" s="177">
        <f>+SUM(AN37,AP37,AR37,AT37,AV37)-1</f>
        <v>0</v>
      </c>
      <c r="AN37" s="49">
        <f>+AN33</f>
        <v>0.4</v>
      </c>
      <c r="AO37" s="22">
        <f>+AN37*$AO26/AO$29</f>
        <v>221.25131757395201</v>
      </c>
      <c r="AP37" s="49">
        <f>+AP33</f>
        <v>0.25</v>
      </c>
      <c r="AQ37" s="22">
        <f>+AP37*$AO26/AQ$29</f>
        <v>99.102152663332674</v>
      </c>
      <c r="AR37" s="49">
        <f>+AR33</f>
        <v>0.25</v>
      </c>
      <c r="AS37" s="22">
        <f>+AR37*$AO26/AS$29</f>
        <v>67.762155667236016</v>
      </c>
      <c r="AT37" s="49">
        <f>+AT33</f>
        <v>0.1</v>
      </c>
      <c r="AU37" s="22">
        <f>+AT37*$AO26/AU$29</f>
        <v>18.593758936182287</v>
      </c>
      <c r="AV37" s="49">
        <f>+AV33</f>
        <v>0</v>
      </c>
      <c r="AW37" s="22">
        <f>AW29</f>
        <v>0</v>
      </c>
      <c r="AX37" s="22">
        <f t="shared" si="56"/>
        <v>285414.19967039808</v>
      </c>
    </row>
    <row r="38" spans="2:50" ht="16" customHeight="1">
      <c r="AL38" s="178" t="s">
        <v>210</v>
      </c>
      <c r="AM38" s="178"/>
      <c r="AN38" s="178"/>
      <c r="AO38" s="178">
        <f>+SUM(AO34:AO37)</f>
        <v>392.5746793975091</v>
      </c>
      <c r="AP38" s="178"/>
      <c r="AQ38" s="178">
        <f>+SUM(AQ34:AQ37)</f>
        <v>175.84074181346762</v>
      </c>
      <c r="AR38" s="178"/>
      <c r="AS38" s="178">
        <f>+SUM(AS34:AS37)</f>
        <v>120.23298585536247</v>
      </c>
      <c r="AT38" s="178"/>
      <c r="AU38" s="178">
        <f>+SUM(AU34:AU37)</f>
        <v>32.991618007999136</v>
      </c>
      <c r="AV38" s="178"/>
      <c r="AW38" s="178">
        <f>+SUM(AW34:AW37)</f>
        <v>0</v>
      </c>
      <c r="AX38" s="178">
        <f>+SUM(AX34:AX37)</f>
        <v>506421.3364227867</v>
      </c>
    </row>
    <row r="39" spans="2:50" ht="16" customHeight="1">
      <c r="AO39" s="22"/>
      <c r="AQ39" s="22"/>
      <c r="AS39" s="22"/>
      <c r="AU39" s="22"/>
      <c r="AW39" s="22"/>
    </row>
    <row r="40" spans="2:50" ht="16" customHeight="1">
      <c r="AM40" s="157"/>
      <c r="AO40" s="175" t="s">
        <v>99</v>
      </c>
      <c r="AQ40" s="22"/>
      <c r="AS40" s="22"/>
      <c r="AU40" s="22"/>
      <c r="AW40" s="22"/>
    </row>
    <row r="41" spans="2:50" ht="16" customHeight="1">
      <c r="AL41" s="899" t="s">
        <v>31</v>
      </c>
      <c r="AM41" s="176"/>
      <c r="AO41" s="14">
        <f>+Assumptions!E94</f>
        <v>400</v>
      </c>
      <c r="AQ41" s="22"/>
      <c r="AS41" s="22"/>
      <c r="AU41" s="22"/>
      <c r="AW41" s="22"/>
    </row>
    <row r="42" spans="2:50" ht="16" customHeight="1">
      <c r="AL42" s="538" t="s">
        <v>3</v>
      </c>
      <c r="AM42" s="177"/>
      <c r="AN42" s="24"/>
      <c r="AO42" s="22">
        <f>$AR24/AO$41</f>
        <v>129.27187499999999</v>
      </c>
    </row>
    <row r="43" spans="2:50" ht="16" customHeight="1">
      <c r="AL43" s="21" t="s">
        <v>4</v>
      </c>
      <c r="AM43" s="177"/>
      <c r="AN43" s="24"/>
      <c r="AO43" s="22">
        <f>$AR25/AO$41</f>
        <v>0</v>
      </c>
    </row>
    <row r="44" spans="2:50" ht="16" customHeight="1">
      <c r="AL44" s="21" t="s">
        <v>5</v>
      </c>
      <c r="AM44" s="177"/>
      <c r="AN44" s="24"/>
      <c r="AO44" s="22">
        <f>$AR26/AO$41</f>
        <v>0</v>
      </c>
    </row>
    <row r="45" spans="2:50" ht="16" customHeight="1">
      <c r="AL45" s="178" t="s">
        <v>210</v>
      </c>
      <c r="AM45" s="178"/>
      <c r="AN45" s="178"/>
      <c r="AO45" s="178">
        <f>+SUM(AO42:AO44)</f>
        <v>129.27187499999999</v>
      </c>
    </row>
    <row r="47" spans="2:50" ht="16" customHeight="1">
      <c r="AM47" s="157"/>
      <c r="AO47" s="175" t="s">
        <v>409</v>
      </c>
      <c r="AQ47" s="175" t="s">
        <v>410</v>
      </c>
    </row>
    <row r="48" spans="2:50" ht="16" customHeight="1">
      <c r="AL48" s="899" t="s">
        <v>104</v>
      </c>
      <c r="AM48" s="176"/>
      <c r="AO48" s="14">
        <f>+Assumptions!$F$178</f>
        <v>250</v>
      </c>
      <c r="AQ48" s="14">
        <f>+Assumptions!$F$178</f>
        <v>250</v>
      </c>
    </row>
    <row r="49" spans="38:43" ht="16" customHeight="1">
      <c r="AL49" s="21" t="s">
        <v>3</v>
      </c>
      <c r="AM49" s="177"/>
      <c r="AN49" s="24"/>
      <c r="AO49" s="22">
        <f>+AV24/$AO$48</f>
        <v>1516.5360000000001</v>
      </c>
      <c r="AQ49" s="22">
        <f>+AW24/$AO$48</f>
        <v>1427.2360000000001</v>
      </c>
    </row>
    <row r="50" spans="38:43" ht="16" customHeight="1">
      <c r="AL50" s="21" t="s">
        <v>4</v>
      </c>
      <c r="AM50" s="177"/>
      <c r="AN50" s="24"/>
      <c r="AO50" s="22">
        <f>+AV25/$AO$48</f>
        <v>421.71199999999999</v>
      </c>
      <c r="AQ50" s="22">
        <f t="shared" ref="AQ50:AQ51" si="57">+AW25/$AO$48</f>
        <v>0</v>
      </c>
    </row>
    <row r="51" spans="38:43" ht="16" customHeight="1">
      <c r="AL51" s="21" t="s">
        <v>5</v>
      </c>
      <c r="AM51" s="177"/>
      <c r="AN51" s="24"/>
      <c r="AO51" s="22">
        <f>+AV26/$AO$48</f>
        <v>792.17600000000004</v>
      </c>
      <c r="AQ51" s="22">
        <f t="shared" si="57"/>
        <v>0</v>
      </c>
    </row>
    <row r="52" spans="38:43" ht="16" customHeight="1">
      <c r="AL52" s="178" t="s">
        <v>210</v>
      </c>
      <c r="AM52" s="178"/>
      <c r="AN52" s="178"/>
      <c r="AO52" s="178">
        <f>+SUM(AO49:AO51)</f>
        <v>2730.424</v>
      </c>
      <c r="AQ52" s="178">
        <f>+SUM(AQ49:AQ51)</f>
        <v>1427.2360000000001</v>
      </c>
    </row>
    <row r="57" spans="38:43" ht="16" customHeight="1">
      <c r="AO57" s="21" t="s">
        <v>246</v>
      </c>
    </row>
  </sheetData>
  <mergeCells count="7">
    <mergeCell ref="F1:F3"/>
    <mergeCell ref="G1:G3"/>
    <mergeCell ref="Y3:AG3"/>
    <mergeCell ref="AO3:AW3"/>
    <mergeCell ref="AJ3:AL3"/>
    <mergeCell ref="M3:U3"/>
    <mergeCell ref="V3:W3"/>
  </mergeCells>
  <pageMargins left="0.7" right="0.7" top="0.75" bottom="0.75" header="0.3" footer="0.3"/>
  <ignoredErrors>
    <ignoredError sqref="K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4711-912F-40AB-A89C-3511E96E6F92}">
  <sheetPr>
    <tabColor theme="8"/>
  </sheetPr>
  <dimension ref="A1:R102"/>
  <sheetViews>
    <sheetView topLeftCell="F17" zoomScale="85" zoomScaleNormal="85" workbookViewId="0">
      <selection activeCell="M31" sqref="M31"/>
    </sheetView>
  </sheetViews>
  <sheetFormatPr defaultColWidth="8.81640625" defaultRowHeight="12.5"/>
  <cols>
    <col min="2" max="2" width="15.7265625" customWidth="1"/>
    <col min="3" max="3" width="14.1796875" customWidth="1"/>
    <col min="4" max="4" width="14.453125" customWidth="1"/>
    <col min="5" max="5" width="13.453125" style="408" customWidth="1"/>
    <col min="6" max="6" width="31.453125" style="408" customWidth="1"/>
    <col min="7" max="7" width="21.1796875" style="408" customWidth="1"/>
    <col min="8" max="8" width="20.81640625" style="417" bestFit="1" customWidth="1"/>
    <col min="9" max="9" width="26" style="408" customWidth="1"/>
    <col min="10" max="10" width="16.453125" customWidth="1"/>
    <col min="11" max="11" width="7.7265625" customWidth="1"/>
    <col min="12" max="12" width="8.1796875" style="407" customWidth="1"/>
    <col min="13" max="13" width="23.26953125" customWidth="1"/>
    <col min="15" max="15" width="18.26953125" customWidth="1"/>
    <col min="16" max="16" width="14" customWidth="1"/>
  </cols>
  <sheetData>
    <row r="1" spans="1:18" ht="44.25" customHeight="1" thickBot="1">
      <c r="A1" s="401" t="s">
        <v>411</v>
      </c>
      <c r="B1" s="400" t="s">
        <v>412</v>
      </c>
      <c r="C1" s="419" t="s">
        <v>413</v>
      </c>
      <c r="D1" s="400" t="s">
        <v>414</v>
      </c>
      <c r="E1" s="424" t="s">
        <v>415</v>
      </c>
      <c r="F1" s="409" t="s">
        <v>416</v>
      </c>
      <c r="G1" s="409" t="s">
        <v>417</v>
      </c>
      <c r="H1" s="418" t="s">
        <v>418</v>
      </c>
      <c r="I1" s="409" t="s">
        <v>419</v>
      </c>
      <c r="J1" s="400" t="s">
        <v>420</v>
      </c>
      <c r="L1" s="950" t="s">
        <v>421</v>
      </c>
      <c r="M1" s="951"/>
      <c r="N1" s="431"/>
      <c r="O1" s="629" t="s">
        <v>422</v>
      </c>
      <c r="P1" s="630">
        <v>0.21346399999999999</v>
      </c>
      <c r="R1" s="1" t="s">
        <v>15</v>
      </c>
    </row>
    <row r="2" spans="1:18" ht="15" thickBot="1">
      <c r="A2" s="400">
        <v>1</v>
      </c>
      <c r="B2" s="402" t="s">
        <v>423</v>
      </c>
      <c r="C2" s="402">
        <v>1</v>
      </c>
      <c r="D2" s="402" t="s">
        <v>424</v>
      </c>
      <c r="E2" s="425">
        <v>3250</v>
      </c>
      <c r="F2" s="411">
        <v>1056250</v>
      </c>
      <c r="G2" s="410">
        <v>0</v>
      </c>
      <c r="H2" s="414">
        <v>0</v>
      </c>
      <c r="I2" s="411">
        <v>1056250</v>
      </c>
      <c r="J2" s="402" t="s">
        <v>425</v>
      </c>
      <c r="L2" s="568" t="s">
        <v>426</v>
      </c>
      <c r="M2" s="569" t="s">
        <v>427</v>
      </c>
    </row>
    <row r="3" spans="1:18" ht="15" thickBot="1">
      <c r="A3" s="400">
        <v>1</v>
      </c>
      <c r="B3" s="402" t="s">
        <v>423</v>
      </c>
      <c r="C3" s="402">
        <v>2</v>
      </c>
      <c r="D3" s="402" t="s">
        <v>424</v>
      </c>
      <c r="E3" s="425">
        <v>3450</v>
      </c>
      <c r="F3" s="410">
        <v>1035000</v>
      </c>
      <c r="G3" s="410">
        <v>0</v>
      </c>
      <c r="H3" s="414">
        <v>0</v>
      </c>
      <c r="I3" s="410">
        <v>1035000</v>
      </c>
      <c r="J3" s="402" t="s">
        <v>425</v>
      </c>
      <c r="L3" s="570">
        <v>1</v>
      </c>
      <c r="M3" s="571">
        <f>F22</f>
        <v>23813612</v>
      </c>
      <c r="P3" s="631">
        <f>M3*P1</f>
        <v>5083348.8719679993</v>
      </c>
      <c r="R3" s="1" t="s">
        <v>21</v>
      </c>
    </row>
    <row r="4" spans="1:18" ht="15" thickBot="1">
      <c r="A4" s="400">
        <v>1</v>
      </c>
      <c r="B4" s="402" t="s">
        <v>423</v>
      </c>
      <c r="C4" s="402">
        <v>3</v>
      </c>
      <c r="D4" s="402" t="s">
        <v>424</v>
      </c>
      <c r="E4" s="425">
        <v>6900</v>
      </c>
      <c r="F4" s="410">
        <v>2070000</v>
      </c>
      <c r="G4" s="410">
        <v>0</v>
      </c>
      <c r="H4" s="415">
        <v>0</v>
      </c>
      <c r="I4" s="411">
        <v>2070000</v>
      </c>
      <c r="J4" s="402" t="s">
        <v>425</v>
      </c>
      <c r="L4" s="570">
        <v>2</v>
      </c>
      <c r="M4" s="571">
        <f>F32</f>
        <v>7804500</v>
      </c>
      <c r="O4" s="631"/>
      <c r="P4" s="631">
        <f>M4*$P$1</f>
        <v>1665979.7879999999</v>
      </c>
      <c r="R4" s="1" t="s">
        <v>19</v>
      </c>
    </row>
    <row r="5" spans="1:18" ht="15" thickBot="1">
      <c r="A5" s="400">
        <v>1</v>
      </c>
      <c r="B5" s="402" t="s">
        <v>423</v>
      </c>
      <c r="C5" s="402">
        <v>11</v>
      </c>
      <c r="D5" s="402" t="s">
        <v>424</v>
      </c>
      <c r="E5" s="577">
        <v>7106</v>
      </c>
      <c r="F5" s="579">
        <v>2309450</v>
      </c>
      <c r="G5" s="579">
        <v>0</v>
      </c>
      <c r="H5" s="414">
        <v>0</v>
      </c>
      <c r="I5" s="579">
        <v>2309450</v>
      </c>
      <c r="J5" s="402" t="s">
        <v>425</v>
      </c>
      <c r="L5" s="570">
        <v>3</v>
      </c>
      <c r="M5" s="571">
        <f>F55</f>
        <v>4258500</v>
      </c>
      <c r="O5" s="631"/>
      <c r="P5" s="631">
        <f t="shared" ref="P5:P11" si="0">M5*$P$1</f>
        <v>909036.4439999999</v>
      </c>
      <c r="R5" s="1" t="s">
        <v>19</v>
      </c>
    </row>
    <row r="6" spans="1:18" ht="15" thickBot="1">
      <c r="A6" s="400">
        <v>1</v>
      </c>
      <c r="B6" s="402" t="s">
        <v>423</v>
      </c>
      <c r="C6" s="402">
        <v>12</v>
      </c>
      <c r="D6" s="402" t="s">
        <v>424</v>
      </c>
      <c r="E6" s="425">
        <v>5250</v>
      </c>
      <c r="F6" s="411">
        <v>1706250</v>
      </c>
      <c r="G6" s="410">
        <v>347336</v>
      </c>
      <c r="H6" s="576">
        <v>34141</v>
      </c>
      <c r="I6" s="411">
        <v>2087727</v>
      </c>
      <c r="J6" s="402" t="s">
        <v>425</v>
      </c>
      <c r="L6" s="570">
        <v>4</v>
      </c>
      <c r="M6" s="595">
        <f>F68</f>
        <v>7473750</v>
      </c>
      <c r="O6" s="631"/>
      <c r="P6" s="631">
        <f t="shared" si="0"/>
        <v>1595376.5699999998</v>
      </c>
      <c r="R6" s="1" t="s">
        <v>20</v>
      </c>
    </row>
    <row r="7" spans="1:18" ht="15" thickBot="1">
      <c r="A7" s="400">
        <v>1</v>
      </c>
      <c r="B7" s="402" t="s">
        <v>423</v>
      </c>
      <c r="C7" s="402">
        <v>13</v>
      </c>
      <c r="D7" s="402" t="s">
        <v>424</v>
      </c>
      <c r="E7" s="577">
        <v>5250</v>
      </c>
      <c r="F7" s="411">
        <v>1575000</v>
      </c>
      <c r="G7" s="579">
        <v>0</v>
      </c>
      <c r="H7" s="414">
        <v>6810</v>
      </c>
      <c r="I7" s="411">
        <v>1581810</v>
      </c>
      <c r="J7" s="402" t="s">
        <v>425</v>
      </c>
      <c r="L7" s="570">
        <v>5</v>
      </c>
      <c r="M7" s="595">
        <v>0</v>
      </c>
      <c r="O7" s="631"/>
      <c r="P7" s="631">
        <f t="shared" si="0"/>
        <v>0</v>
      </c>
      <c r="R7" s="1" t="s">
        <v>20</v>
      </c>
    </row>
    <row r="8" spans="1:18" ht="15" thickBot="1">
      <c r="A8" s="400">
        <v>1</v>
      </c>
      <c r="B8" s="402" t="s">
        <v>423</v>
      </c>
      <c r="C8" s="402">
        <v>14</v>
      </c>
      <c r="D8" s="402" t="s">
        <v>424</v>
      </c>
      <c r="E8" s="427">
        <v>825</v>
      </c>
      <c r="F8" s="411">
        <v>92812</v>
      </c>
      <c r="G8" s="411">
        <v>0</v>
      </c>
      <c r="H8" s="414">
        <v>0</v>
      </c>
      <c r="I8" s="411">
        <v>92812</v>
      </c>
      <c r="J8" s="402" t="s">
        <v>428</v>
      </c>
      <c r="L8" s="572" t="s">
        <v>387</v>
      </c>
      <c r="M8" s="571">
        <v>0</v>
      </c>
      <c r="O8" s="631"/>
      <c r="P8" s="631">
        <f t="shared" si="0"/>
        <v>0</v>
      </c>
      <c r="R8" s="1" t="s">
        <v>19</v>
      </c>
    </row>
    <row r="9" spans="1:18" ht="15" thickBot="1">
      <c r="A9" s="400">
        <v>1</v>
      </c>
      <c r="B9" s="402" t="s">
        <v>423</v>
      </c>
      <c r="C9" s="402">
        <v>15</v>
      </c>
      <c r="D9" s="402" t="s">
        <v>424</v>
      </c>
      <c r="E9" s="426">
        <v>1750</v>
      </c>
      <c r="F9" s="410">
        <v>196875</v>
      </c>
      <c r="G9" s="410">
        <v>13227</v>
      </c>
      <c r="H9" s="414">
        <v>560</v>
      </c>
      <c r="I9" s="411">
        <v>210662</v>
      </c>
      <c r="J9" s="402" t="s">
        <v>428</v>
      </c>
      <c r="L9" s="570">
        <v>6</v>
      </c>
      <c r="M9" s="571">
        <f>F87</f>
        <v>11440000</v>
      </c>
      <c r="O9" s="631"/>
      <c r="P9" s="631">
        <f t="shared" si="0"/>
        <v>2442028.1599999997</v>
      </c>
      <c r="R9" s="1" t="s">
        <v>21</v>
      </c>
    </row>
    <row r="10" spans="1:18" ht="15" thickBot="1">
      <c r="A10" s="400">
        <v>1</v>
      </c>
      <c r="B10" s="402" t="s">
        <v>423</v>
      </c>
      <c r="C10" s="402">
        <v>16</v>
      </c>
      <c r="D10" s="402" t="s">
        <v>424</v>
      </c>
      <c r="E10" s="425">
        <v>7000</v>
      </c>
      <c r="F10" s="411">
        <v>1050000</v>
      </c>
      <c r="G10" s="579">
        <v>50986</v>
      </c>
      <c r="H10" s="576">
        <v>32354</v>
      </c>
      <c r="I10" s="579">
        <v>1133340</v>
      </c>
      <c r="J10" s="402" t="s">
        <v>428</v>
      </c>
      <c r="L10" s="570">
        <v>7</v>
      </c>
      <c r="M10" s="571">
        <f>F91</f>
        <v>6288615</v>
      </c>
      <c r="N10" s="567"/>
      <c r="O10" s="631"/>
      <c r="P10" s="631">
        <f t="shared" si="0"/>
        <v>1342392.91236</v>
      </c>
      <c r="Q10" s="567"/>
      <c r="R10" s="1" t="s">
        <v>20</v>
      </c>
    </row>
    <row r="11" spans="1:18" ht="15" thickBot="1">
      <c r="A11" s="400">
        <v>1</v>
      </c>
      <c r="B11" s="402" t="s">
        <v>423</v>
      </c>
      <c r="C11" s="402">
        <v>17</v>
      </c>
      <c r="D11" s="402" t="s">
        <v>424</v>
      </c>
      <c r="E11" s="429">
        <v>5250</v>
      </c>
      <c r="F11" s="406">
        <v>787500</v>
      </c>
      <c r="G11" s="580">
        <v>27972</v>
      </c>
      <c r="H11" s="414">
        <v>1844</v>
      </c>
      <c r="I11" s="406">
        <v>817316</v>
      </c>
      <c r="J11" s="402" t="s">
        <v>428</v>
      </c>
      <c r="K11" s="566"/>
      <c r="L11" s="570">
        <v>8</v>
      </c>
      <c r="M11" s="571">
        <f>F98</f>
        <v>6922825</v>
      </c>
      <c r="N11" s="566"/>
      <c r="O11" s="631"/>
      <c r="P11" s="631">
        <f t="shared" si="0"/>
        <v>1477773.9157999998</v>
      </c>
      <c r="Q11" s="566"/>
      <c r="R11" s="1" t="s">
        <v>19</v>
      </c>
    </row>
    <row r="12" spans="1:18" ht="15" customHeight="1" thickBot="1">
      <c r="A12" s="400">
        <v>1</v>
      </c>
      <c r="B12" s="402" t="s">
        <v>423</v>
      </c>
      <c r="C12" s="402">
        <v>26</v>
      </c>
      <c r="D12" s="402" t="s">
        <v>424</v>
      </c>
      <c r="E12" s="578">
        <v>24808</v>
      </c>
      <c r="F12" s="410">
        <v>8062600</v>
      </c>
      <c r="G12" s="410">
        <v>524760</v>
      </c>
      <c r="H12" s="413">
        <v>504763</v>
      </c>
      <c r="I12" s="404">
        <v>9092123</v>
      </c>
      <c r="J12" s="403" t="s">
        <v>425</v>
      </c>
      <c r="K12" s="567"/>
      <c r="L12" s="573">
        <v>9</v>
      </c>
      <c r="M12" s="606">
        <v>0</v>
      </c>
      <c r="N12" s="567"/>
      <c r="O12" s="631"/>
      <c r="P12" s="668">
        <v>0</v>
      </c>
      <c r="Q12" s="567"/>
      <c r="R12" s="1" t="s">
        <v>21</v>
      </c>
    </row>
    <row r="13" spans="1:18" ht="15" customHeight="1" thickBot="1">
      <c r="A13" s="400">
        <v>1</v>
      </c>
      <c r="B13" s="402" t="s">
        <v>423</v>
      </c>
      <c r="C13" s="402">
        <v>27</v>
      </c>
      <c r="D13" s="402" t="s">
        <v>424</v>
      </c>
      <c r="E13" s="425">
        <v>3500</v>
      </c>
      <c r="F13" s="410">
        <v>1050000</v>
      </c>
      <c r="G13" s="410">
        <v>0</v>
      </c>
      <c r="H13" s="415">
        <v>0</v>
      </c>
      <c r="I13" s="411">
        <v>1050000</v>
      </c>
      <c r="J13" s="403" t="s">
        <v>425</v>
      </c>
      <c r="M13" s="438"/>
      <c r="O13" s="631"/>
      <c r="P13" s="631">
        <f>SUM(P3:P12)</f>
        <v>14515936.662127998</v>
      </c>
    </row>
    <row r="14" spans="1:18" ht="15" customHeight="1" thickBot="1">
      <c r="A14" s="400">
        <v>1</v>
      </c>
      <c r="B14" s="402" t="s">
        <v>423</v>
      </c>
      <c r="C14" s="402">
        <v>28</v>
      </c>
      <c r="D14" s="402" t="s">
        <v>424</v>
      </c>
      <c r="E14" s="578">
        <v>3500</v>
      </c>
      <c r="F14" s="580">
        <v>525000</v>
      </c>
      <c r="G14" s="411">
        <v>0</v>
      </c>
      <c r="H14" s="414">
        <v>0</v>
      </c>
      <c r="I14" s="404">
        <v>525000</v>
      </c>
      <c r="J14" s="403" t="s">
        <v>428</v>
      </c>
      <c r="L14" s="588" t="s">
        <v>210</v>
      </c>
      <c r="M14" s="607">
        <f>SUM(M3:M12)</f>
        <v>68001802</v>
      </c>
      <c r="O14" s="631"/>
    </row>
    <row r="15" spans="1:18" ht="15" customHeight="1" thickBot="1">
      <c r="A15" s="400">
        <v>1</v>
      </c>
      <c r="B15" s="402" t="s">
        <v>423</v>
      </c>
      <c r="C15" s="402">
        <v>30</v>
      </c>
      <c r="D15" s="402" t="s">
        <v>424</v>
      </c>
      <c r="E15" s="425">
        <v>1750</v>
      </c>
      <c r="F15" s="579">
        <v>196875</v>
      </c>
      <c r="G15" s="410">
        <v>0</v>
      </c>
      <c r="H15" s="414">
        <v>560</v>
      </c>
      <c r="I15" s="580">
        <v>197435</v>
      </c>
      <c r="J15" s="403" t="s">
        <v>428</v>
      </c>
      <c r="O15" s="667" t="s">
        <v>429</v>
      </c>
      <c r="P15" s="631">
        <f>(SUM(P4+P5+P8+P11))</f>
        <v>4052790.1477999995</v>
      </c>
    </row>
    <row r="16" spans="1:18" ht="15" customHeight="1" thickBot="1">
      <c r="A16" s="400">
        <v>1</v>
      </c>
      <c r="B16" s="402" t="s">
        <v>423</v>
      </c>
      <c r="C16" s="402">
        <v>38</v>
      </c>
      <c r="D16" s="402" t="s">
        <v>424</v>
      </c>
      <c r="E16" s="426">
        <v>14000</v>
      </c>
      <c r="F16" s="579">
        <v>2100000</v>
      </c>
      <c r="G16" s="404">
        <v>115294</v>
      </c>
      <c r="H16" s="414">
        <v>28665</v>
      </c>
      <c r="I16" s="579">
        <v>2243959</v>
      </c>
      <c r="J16" s="403" t="s">
        <v>428</v>
      </c>
      <c r="O16" s="631"/>
      <c r="P16" s="631">
        <f>SUM(P6+P7+P10)</f>
        <v>2937769.4823599998</v>
      </c>
    </row>
    <row r="17" spans="1:16" ht="15" customHeight="1" thickBot="1">
      <c r="A17" s="400">
        <v>1</v>
      </c>
      <c r="B17" s="402" t="s">
        <v>423</v>
      </c>
      <c r="C17" s="402">
        <v>4</v>
      </c>
      <c r="D17" s="402" t="s">
        <v>430</v>
      </c>
      <c r="E17" s="425">
        <v>6900</v>
      </c>
      <c r="F17" s="411">
        <v>2070000</v>
      </c>
      <c r="G17" s="411">
        <v>116411</v>
      </c>
      <c r="H17" s="414">
        <v>2202</v>
      </c>
      <c r="I17" s="410">
        <v>2188613</v>
      </c>
      <c r="J17" s="402" t="s">
        <v>425</v>
      </c>
      <c r="M17" s="811" t="s">
        <v>431</v>
      </c>
      <c r="O17" s="631"/>
      <c r="P17" s="668">
        <f>SUM(P3+P9+P12)</f>
        <v>7525377.0319679994</v>
      </c>
    </row>
    <row r="18" spans="1:16" ht="15" customHeight="1" thickBot="1">
      <c r="A18" s="400">
        <v>1</v>
      </c>
      <c r="B18" s="402" t="s">
        <v>423</v>
      </c>
      <c r="C18" s="402">
        <v>5</v>
      </c>
      <c r="D18" s="402" t="s">
        <v>430</v>
      </c>
      <c r="E18" s="577">
        <v>13800</v>
      </c>
      <c r="F18" s="411">
        <v>4140000</v>
      </c>
      <c r="G18" s="410">
        <v>0</v>
      </c>
      <c r="H18" s="414">
        <v>2975</v>
      </c>
      <c r="I18" s="411">
        <v>4142975</v>
      </c>
      <c r="J18" s="403" t="s">
        <v>425</v>
      </c>
      <c r="M18" s="811" t="s">
        <v>432</v>
      </c>
      <c r="O18" s="666" t="s">
        <v>433</v>
      </c>
      <c r="P18" s="631">
        <f>SUM(P15:P17)</f>
        <v>14515936.662127998</v>
      </c>
    </row>
    <row r="19" spans="1:16" ht="15" customHeight="1" thickBot="1">
      <c r="A19" s="400">
        <v>1</v>
      </c>
      <c r="B19" s="402" t="s">
        <v>423</v>
      </c>
      <c r="C19" s="402">
        <v>6</v>
      </c>
      <c r="D19" s="402" t="s">
        <v>430</v>
      </c>
      <c r="E19" s="426">
        <v>6900</v>
      </c>
      <c r="F19" s="583">
        <v>2070000</v>
      </c>
      <c r="G19" s="412">
        <v>0</v>
      </c>
      <c r="H19" s="416">
        <v>0</v>
      </c>
      <c r="I19" s="583">
        <v>2070000</v>
      </c>
      <c r="J19" t="s">
        <v>425</v>
      </c>
      <c r="L19" s="840" t="s">
        <v>426</v>
      </c>
      <c r="M19" s="841" t="s">
        <v>427</v>
      </c>
      <c r="O19" s="631"/>
    </row>
    <row r="20" spans="1:16" ht="15" customHeight="1" thickBot="1">
      <c r="A20" s="400">
        <v>1</v>
      </c>
      <c r="B20" s="402" t="s">
        <v>423</v>
      </c>
      <c r="C20" s="402">
        <v>31</v>
      </c>
      <c r="D20" s="402" t="s">
        <v>430</v>
      </c>
      <c r="E20" s="428">
        <v>5250</v>
      </c>
      <c r="F20" s="406">
        <v>787500</v>
      </c>
      <c r="G20" s="404">
        <v>42971</v>
      </c>
      <c r="H20" s="414">
        <v>406</v>
      </c>
      <c r="I20" s="406">
        <v>830877</v>
      </c>
      <c r="J20" s="403" t="s">
        <v>428</v>
      </c>
      <c r="L20" s="570">
        <v>1</v>
      </c>
      <c r="M20" s="842">
        <f>I22</f>
        <v>35785349</v>
      </c>
      <c r="O20" s="631"/>
    </row>
    <row r="21" spans="1:16" ht="15" customHeight="1">
      <c r="A21" s="400">
        <v>1</v>
      </c>
      <c r="B21" s="402" t="s">
        <v>423</v>
      </c>
      <c r="C21" s="402">
        <v>39</v>
      </c>
      <c r="D21" s="402" t="s">
        <v>430</v>
      </c>
      <c r="E21" s="584">
        <v>7000</v>
      </c>
      <c r="F21" s="585">
        <v>1050000</v>
      </c>
      <c r="G21" s="410">
        <v>0</v>
      </c>
      <c r="H21" s="414">
        <v>0</v>
      </c>
      <c r="I21" s="585">
        <v>1050000</v>
      </c>
      <c r="J21" s="403" t="s">
        <v>428</v>
      </c>
      <c r="L21" s="570">
        <v>2</v>
      </c>
      <c r="M21" s="842">
        <f>I32</f>
        <v>28558837</v>
      </c>
      <c r="O21" s="631"/>
    </row>
    <row r="22" spans="1:16" s="811" customFormat="1" ht="15" customHeight="1">
      <c r="A22" s="806" t="s">
        <v>434</v>
      </c>
      <c r="B22" s="807"/>
      <c r="C22" s="807"/>
      <c r="D22" s="807"/>
      <c r="E22" s="808">
        <f>SUM(E2:E21)</f>
        <v>133439</v>
      </c>
      <c r="F22" s="805">
        <f>SUM(F2:F16)</f>
        <v>23813612</v>
      </c>
      <c r="G22" s="805"/>
      <c r="H22" s="809"/>
      <c r="I22" s="805">
        <f>SUM(I2:I21)</f>
        <v>35785349</v>
      </c>
      <c r="J22" s="810"/>
      <c r="L22" s="570">
        <v>3</v>
      </c>
      <c r="M22" s="842">
        <f>I55</f>
        <v>34945500</v>
      </c>
    </row>
    <row r="23" spans="1:16" ht="15" thickBot="1">
      <c r="A23" s="400">
        <v>2</v>
      </c>
      <c r="B23" s="402" t="s">
        <v>423</v>
      </c>
      <c r="C23" s="402">
        <v>29</v>
      </c>
      <c r="D23" s="402" t="s">
        <v>424</v>
      </c>
      <c r="E23" s="428">
        <v>3500</v>
      </c>
      <c r="F23" s="404">
        <v>393750</v>
      </c>
      <c r="G23" s="410">
        <v>77211</v>
      </c>
      <c r="H23" s="414">
        <v>0</v>
      </c>
      <c r="I23" s="410">
        <v>470961</v>
      </c>
      <c r="J23" s="403" t="s">
        <v>428</v>
      </c>
      <c r="L23" s="570">
        <v>4</v>
      </c>
      <c r="M23" s="842">
        <f>I68</f>
        <v>10662755</v>
      </c>
    </row>
    <row r="24" spans="1:16" ht="15" thickBot="1">
      <c r="A24" s="400">
        <v>2</v>
      </c>
      <c r="B24" s="402" t="s">
        <v>423</v>
      </c>
      <c r="C24" s="402">
        <v>43</v>
      </c>
      <c r="D24" s="402" t="s">
        <v>424</v>
      </c>
      <c r="E24" s="426">
        <v>28000</v>
      </c>
      <c r="F24" s="411">
        <v>4200000</v>
      </c>
      <c r="G24" s="411">
        <v>74970</v>
      </c>
      <c r="H24" s="414">
        <v>12400</v>
      </c>
      <c r="I24" s="410">
        <v>4287370</v>
      </c>
      <c r="J24" s="402" t="s">
        <v>428</v>
      </c>
      <c r="L24" s="570">
        <v>5</v>
      </c>
      <c r="M24" s="842">
        <f>I74</f>
        <v>12030663</v>
      </c>
    </row>
    <row r="25" spans="1:16" ht="15" customHeight="1">
      <c r="A25" s="400">
        <v>2</v>
      </c>
      <c r="B25" s="402" t="s">
        <v>423</v>
      </c>
      <c r="C25" s="402">
        <v>48</v>
      </c>
      <c r="D25" s="402" t="s">
        <v>424</v>
      </c>
      <c r="E25" s="426">
        <v>7135</v>
      </c>
      <c r="F25" s="410">
        <v>2140500</v>
      </c>
      <c r="G25" s="410">
        <v>0</v>
      </c>
      <c r="H25" s="414">
        <v>0</v>
      </c>
      <c r="I25" s="410">
        <v>2140500</v>
      </c>
      <c r="J25" s="402" t="s">
        <v>425</v>
      </c>
      <c r="L25" s="572" t="s">
        <v>387</v>
      </c>
      <c r="M25" s="842">
        <v>0</v>
      </c>
    </row>
    <row r="26" spans="1:16" ht="15" customHeight="1">
      <c r="A26" s="400">
        <v>2</v>
      </c>
      <c r="B26" s="402" t="s">
        <v>423</v>
      </c>
      <c r="C26" s="402">
        <v>49</v>
      </c>
      <c r="D26" s="402" t="s">
        <v>424</v>
      </c>
      <c r="E26" s="426">
        <v>7135</v>
      </c>
      <c r="F26" s="410">
        <v>1070250</v>
      </c>
      <c r="G26" s="410">
        <v>49395</v>
      </c>
      <c r="H26" s="414">
        <v>19155</v>
      </c>
      <c r="I26" s="410">
        <v>1138800</v>
      </c>
      <c r="J26" s="402" t="s">
        <v>428</v>
      </c>
      <c r="L26" s="570">
        <v>6</v>
      </c>
      <c r="M26" s="842">
        <f>I87</f>
        <v>12003126</v>
      </c>
    </row>
    <row r="27" spans="1:16" ht="15" customHeight="1">
      <c r="A27" s="400">
        <v>2</v>
      </c>
      <c r="B27" s="402" t="s">
        <v>423</v>
      </c>
      <c r="C27" s="402">
        <v>32</v>
      </c>
      <c r="D27" s="402" t="s">
        <v>430</v>
      </c>
      <c r="E27" s="426">
        <v>1750</v>
      </c>
      <c r="F27" s="580">
        <v>262500</v>
      </c>
      <c r="G27" s="579">
        <v>0</v>
      </c>
      <c r="H27" s="414">
        <v>0</v>
      </c>
      <c r="I27" s="404">
        <v>262500</v>
      </c>
      <c r="J27" s="403" t="s">
        <v>428</v>
      </c>
      <c r="L27" s="570">
        <v>7</v>
      </c>
      <c r="M27" s="842">
        <f>I91</f>
        <v>6778518</v>
      </c>
    </row>
    <row r="28" spans="1:16" ht="15" customHeight="1">
      <c r="A28" s="400">
        <v>2</v>
      </c>
      <c r="B28" s="402" t="s">
        <v>423</v>
      </c>
      <c r="C28" s="402">
        <v>42</v>
      </c>
      <c r="D28" s="402" t="s">
        <v>430</v>
      </c>
      <c r="E28" s="426">
        <v>15293</v>
      </c>
      <c r="F28" s="410">
        <v>4970225</v>
      </c>
      <c r="G28" s="410">
        <v>602568</v>
      </c>
      <c r="H28" s="414">
        <v>85347</v>
      </c>
      <c r="I28" s="410">
        <v>5658140</v>
      </c>
      <c r="J28" s="402" t="s">
        <v>425</v>
      </c>
      <c r="L28" s="570">
        <v>8</v>
      </c>
      <c r="M28" s="842">
        <f>SUM(I93:I97)</f>
        <v>16493865</v>
      </c>
    </row>
    <row r="29" spans="1:16" ht="15" customHeight="1" thickBot="1">
      <c r="A29" s="400">
        <v>2</v>
      </c>
      <c r="B29" s="402" t="s">
        <v>423</v>
      </c>
      <c r="C29" s="402">
        <v>45</v>
      </c>
      <c r="D29" s="402" t="s">
        <v>430</v>
      </c>
      <c r="E29" s="426">
        <v>51644</v>
      </c>
      <c r="F29" s="410">
        <v>7746600</v>
      </c>
      <c r="G29" s="410">
        <v>1017681</v>
      </c>
      <c r="H29" s="414">
        <v>344660</v>
      </c>
      <c r="I29" s="410">
        <v>9108941</v>
      </c>
      <c r="J29" s="402" t="s">
        <v>428</v>
      </c>
      <c r="L29" s="573" t="s">
        <v>767</v>
      </c>
      <c r="M29" s="843">
        <f>I92</f>
        <v>9448520</v>
      </c>
    </row>
    <row r="30" spans="1:16" ht="15" customHeight="1">
      <c r="A30" s="400">
        <v>2</v>
      </c>
      <c r="B30" s="402" t="s">
        <v>423</v>
      </c>
      <c r="C30" s="402">
        <v>46</v>
      </c>
      <c r="D30" s="402" t="s">
        <v>430</v>
      </c>
      <c r="E30" s="426">
        <v>18455</v>
      </c>
      <c r="F30" s="410">
        <v>5997875</v>
      </c>
      <c r="G30" s="410">
        <v>191399</v>
      </c>
      <c r="H30" s="414">
        <v>25682</v>
      </c>
      <c r="I30" s="410">
        <v>6214956</v>
      </c>
      <c r="J30" s="402" t="s">
        <v>425</v>
      </c>
    </row>
    <row r="31" spans="1:16" ht="15" customHeight="1" thickBot="1">
      <c r="A31" s="400">
        <v>2</v>
      </c>
      <c r="B31" s="402" t="s">
        <v>423</v>
      </c>
      <c r="C31" s="402">
        <v>47</v>
      </c>
      <c r="D31" s="402" t="s">
        <v>430</v>
      </c>
      <c r="E31" s="426">
        <v>7150</v>
      </c>
      <c r="F31" s="410">
        <v>2145000</v>
      </c>
      <c r="G31" s="410">
        <v>1890000</v>
      </c>
      <c r="H31" s="414">
        <v>0</v>
      </c>
      <c r="I31" s="410">
        <v>4035000</v>
      </c>
      <c r="J31" s="402" t="s">
        <v>425</v>
      </c>
      <c r="L31" s="588" t="s">
        <v>210</v>
      </c>
      <c r="M31" s="844">
        <f>SUM(M20:M29)</f>
        <v>166707133</v>
      </c>
    </row>
    <row r="32" spans="1:16" s="811" customFormat="1" ht="15" customHeight="1">
      <c r="A32" s="806" t="s">
        <v>435</v>
      </c>
      <c r="B32" s="807"/>
      <c r="C32" s="807"/>
      <c r="D32" s="807"/>
      <c r="E32" s="808">
        <f>SUM(E23:E31)</f>
        <v>140062</v>
      </c>
      <c r="F32" s="805">
        <f>SUM(F23:F26)</f>
        <v>7804500</v>
      </c>
      <c r="G32" s="805"/>
      <c r="H32" s="809"/>
      <c r="I32" s="805">
        <f>SUM(I25:I31)</f>
        <v>28558837</v>
      </c>
      <c r="J32" s="810"/>
      <c r="L32" s="812"/>
    </row>
    <row r="33" spans="1:17" ht="15" customHeight="1">
      <c r="A33" s="400">
        <v>3</v>
      </c>
      <c r="B33" s="402" t="s">
        <v>423</v>
      </c>
      <c r="C33" s="402">
        <v>44</v>
      </c>
      <c r="D33" s="402" t="s">
        <v>424</v>
      </c>
      <c r="E33" s="426">
        <v>6985</v>
      </c>
      <c r="F33" s="410">
        <v>1047750</v>
      </c>
      <c r="G33" s="410">
        <v>153478</v>
      </c>
      <c r="H33" s="414">
        <v>44065</v>
      </c>
      <c r="I33" s="410">
        <v>1245293</v>
      </c>
      <c r="J33" s="402" t="s">
        <v>428</v>
      </c>
      <c r="L33" s="423"/>
      <c r="M33" s="423"/>
    </row>
    <row r="34" spans="1:17" ht="15" customHeight="1">
      <c r="A34" s="400">
        <v>3</v>
      </c>
      <c r="B34" s="402" t="s">
        <v>423</v>
      </c>
      <c r="C34" s="402">
        <v>50</v>
      </c>
      <c r="D34" s="402" t="s">
        <v>424</v>
      </c>
      <c r="E34" s="426">
        <v>7135</v>
      </c>
      <c r="F34" s="410">
        <v>1070250</v>
      </c>
      <c r="G34" s="410">
        <v>127454</v>
      </c>
      <c r="H34" s="414">
        <v>47095</v>
      </c>
      <c r="I34" s="410">
        <v>1244799</v>
      </c>
      <c r="J34" s="402" t="s">
        <v>428</v>
      </c>
      <c r="L34" s="407" t="s">
        <v>3</v>
      </c>
      <c r="M34" s="438">
        <f>M21+M28+M22</f>
        <v>79998202</v>
      </c>
    </row>
    <row r="35" spans="1:17" ht="14.5">
      <c r="A35" s="400">
        <v>3</v>
      </c>
      <c r="B35" s="402" t="s">
        <v>423</v>
      </c>
      <c r="C35" s="402">
        <v>51</v>
      </c>
      <c r="D35" s="402" t="s">
        <v>424</v>
      </c>
      <c r="E35" s="426">
        <v>14270</v>
      </c>
      <c r="F35" s="410">
        <v>2140500</v>
      </c>
      <c r="G35" s="410">
        <v>0</v>
      </c>
      <c r="H35" s="414">
        <v>0</v>
      </c>
      <c r="I35" s="410">
        <v>2140500</v>
      </c>
      <c r="J35" s="402" t="s">
        <v>428</v>
      </c>
      <c r="L35" s="407" t="s">
        <v>4</v>
      </c>
      <c r="M35" s="438">
        <f>M23+M24+M26+M27+M29+M20</f>
        <v>86708931</v>
      </c>
    </row>
    <row r="36" spans="1:17" s="407" customFormat="1" ht="19" customHeight="1">
      <c r="A36" s="589">
        <v>3</v>
      </c>
      <c r="B36" s="590" t="s">
        <v>423</v>
      </c>
      <c r="C36" s="590">
        <v>7</v>
      </c>
      <c r="D36" s="590" t="s">
        <v>430</v>
      </c>
      <c r="E36" s="591">
        <v>13800</v>
      </c>
      <c r="F36" s="592">
        <v>4140000</v>
      </c>
      <c r="G36" s="592">
        <v>197950</v>
      </c>
      <c r="H36" s="593">
        <v>9903</v>
      </c>
      <c r="I36" s="592">
        <v>4347853</v>
      </c>
      <c r="J36" s="594" t="s">
        <v>425</v>
      </c>
      <c r="K36" s="432"/>
      <c r="M36" s="438"/>
      <c r="N36" s="575"/>
      <c r="O36" s="575"/>
      <c r="P36" s="432"/>
      <c r="Q36" s="432"/>
    </row>
    <row r="37" spans="1:17" ht="15" customHeight="1">
      <c r="A37" s="400">
        <v>3</v>
      </c>
      <c r="B37" s="402" t="s">
        <v>423</v>
      </c>
      <c r="C37" s="402">
        <v>8</v>
      </c>
      <c r="D37" s="402" t="s">
        <v>430</v>
      </c>
      <c r="E37" s="426">
        <v>6900</v>
      </c>
      <c r="F37" s="410">
        <v>2070000</v>
      </c>
      <c r="G37" s="410">
        <v>117464</v>
      </c>
      <c r="H37" s="414">
        <v>18982</v>
      </c>
      <c r="I37" s="580">
        <v>2206446</v>
      </c>
      <c r="J37" s="403" t="s">
        <v>425</v>
      </c>
      <c r="L37" s="565"/>
      <c r="M37" s="565"/>
      <c r="N37" s="567"/>
      <c r="O37" s="567"/>
    </row>
    <row r="38" spans="1:17" ht="15" customHeight="1">
      <c r="A38" s="400">
        <v>3</v>
      </c>
      <c r="B38" s="402" t="s">
        <v>423</v>
      </c>
      <c r="C38" s="402">
        <v>9</v>
      </c>
      <c r="D38" s="402" t="s">
        <v>430</v>
      </c>
      <c r="E38" s="577">
        <v>6900</v>
      </c>
      <c r="F38" s="579">
        <v>2070000</v>
      </c>
      <c r="G38" s="410">
        <v>0</v>
      </c>
      <c r="H38" s="414">
        <v>0</v>
      </c>
      <c r="I38" s="410">
        <v>2070000</v>
      </c>
      <c r="J38" s="402" t="s">
        <v>425</v>
      </c>
      <c r="L38" s="574"/>
      <c r="M38" s="567"/>
      <c r="N38" s="567"/>
      <c r="O38" s="567"/>
    </row>
    <row r="39" spans="1:17" ht="15" customHeight="1">
      <c r="A39" s="400">
        <v>3</v>
      </c>
      <c r="B39" s="402" t="s">
        <v>423</v>
      </c>
      <c r="C39" s="402">
        <v>10</v>
      </c>
      <c r="D39" s="402" t="s">
        <v>430</v>
      </c>
      <c r="E39" s="577">
        <v>24288</v>
      </c>
      <c r="F39" s="580">
        <v>6557760</v>
      </c>
      <c r="G39" s="410">
        <v>0</v>
      </c>
      <c r="H39" s="414">
        <v>0</v>
      </c>
      <c r="I39" s="580">
        <v>6557760</v>
      </c>
      <c r="J39" s="402" t="s">
        <v>425</v>
      </c>
      <c r="L39" s="575"/>
      <c r="M39" s="436"/>
      <c r="N39" s="567"/>
      <c r="O39" s="567"/>
    </row>
    <row r="40" spans="1:17" ht="15" customHeight="1">
      <c r="A40" s="400">
        <v>3</v>
      </c>
      <c r="B40" s="402" t="s">
        <v>423</v>
      </c>
      <c r="C40" s="402">
        <v>18</v>
      </c>
      <c r="D40" s="402" t="s">
        <v>430</v>
      </c>
      <c r="E40" s="428">
        <v>1750</v>
      </c>
      <c r="F40" s="404">
        <v>262500</v>
      </c>
      <c r="G40" s="410">
        <v>0</v>
      </c>
      <c r="H40" s="414">
        <v>0</v>
      </c>
      <c r="I40" s="404">
        <v>262500</v>
      </c>
      <c r="J40" s="402" t="s">
        <v>428</v>
      </c>
      <c r="L40" s="574"/>
      <c r="M40" s="567"/>
      <c r="N40" s="567"/>
      <c r="O40" s="567"/>
    </row>
    <row r="41" spans="1:17" ht="15" customHeight="1">
      <c r="A41" s="400">
        <v>3</v>
      </c>
      <c r="B41" s="402" t="s">
        <v>423</v>
      </c>
      <c r="C41" s="402">
        <v>19</v>
      </c>
      <c r="D41" s="402" t="s">
        <v>430</v>
      </c>
      <c r="E41" s="426">
        <v>1750</v>
      </c>
      <c r="F41" s="579">
        <v>262500</v>
      </c>
      <c r="G41" s="410">
        <v>0</v>
      </c>
      <c r="H41" s="414">
        <v>0</v>
      </c>
      <c r="I41" s="579">
        <v>262500</v>
      </c>
      <c r="J41" s="402" t="s">
        <v>428</v>
      </c>
      <c r="L41" s="574"/>
      <c r="M41" s="567"/>
      <c r="N41" s="567"/>
      <c r="O41" s="567"/>
    </row>
    <row r="42" spans="1:17" ht="15" customHeight="1">
      <c r="A42" s="400">
        <v>3</v>
      </c>
      <c r="B42" s="402" t="s">
        <v>423</v>
      </c>
      <c r="C42" s="402">
        <v>20</v>
      </c>
      <c r="D42" s="402" t="s">
        <v>430</v>
      </c>
      <c r="E42" s="578">
        <v>3500</v>
      </c>
      <c r="F42" s="579">
        <v>525000</v>
      </c>
      <c r="G42" s="410">
        <v>0</v>
      </c>
      <c r="H42" s="414">
        <v>0</v>
      </c>
      <c r="I42" s="579">
        <v>525000</v>
      </c>
      <c r="J42" s="402" t="s">
        <v>428</v>
      </c>
      <c r="L42" s="574"/>
      <c r="M42" s="567"/>
      <c r="N42" s="567"/>
      <c r="O42" s="567"/>
    </row>
    <row r="43" spans="1:17" ht="15" customHeight="1">
      <c r="A43" s="400">
        <v>3</v>
      </c>
      <c r="B43" s="402" t="s">
        <v>423</v>
      </c>
      <c r="C43" s="402">
        <v>21</v>
      </c>
      <c r="D43" s="402" t="s">
        <v>430</v>
      </c>
      <c r="E43" s="426">
        <v>3500</v>
      </c>
      <c r="F43" s="404">
        <v>525000</v>
      </c>
      <c r="G43" s="410">
        <v>0</v>
      </c>
      <c r="H43" s="414">
        <v>0</v>
      </c>
      <c r="I43" s="404">
        <v>525000</v>
      </c>
      <c r="J43" s="402" t="s">
        <v>428</v>
      </c>
    </row>
    <row r="44" spans="1:17" ht="15" customHeight="1">
      <c r="A44" s="400">
        <v>3</v>
      </c>
      <c r="B44" s="402" t="s">
        <v>423</v>
      </c>
      <c r="C44" s="402">
        <v>22</v>
      </c>
      <c r="D44" s="402" t="s">
        <v>430</v>
      </c>
      <c r="E44" s="426">
        <v>1750</v>
      </c>
      <c r="F44" s="404">
        <v>262500</v>
      </c>
      <c r="G44" s="410">
        <v>0</v>
      </c>
      <c r="H44" s="414">
        <v>0</v>
      </c>
      <c r="I44" s="404">
        <v>262500</v>
      </c>
      <c r="J44" s="402" t="s">
        <v>428</v>
      </c>
    </row>
    <row r="45" spans="1:17" ht="15" customHeight="1">
      <c r="A45" s="400">
        <v>3</v>
      </c>
      <c r="B45" s="402" t="s">
        <v>423</v>
      </c>
      <c r="C45" s="402">
        <v>23</v>
      </c>
      <c r="D45" s="402" t="s">
        <v>430</v>
      </c>
      <c r="E45" s="426">
        <v>1750</v>
      </c>
      <c r="F45" s="404">
        <v>262500</v>
      </c>
      <c r="G45" s="410">
        <v>0</v>
      </c>
      <c r="H45" s="414">
        <v>0</v>
      </c>
      <c r="I45" s="404">
        <v>262500</v>
      </c>
      <c r="J45" s="402" t="s">
        <v>428</v>
      </c>
    </row>
    <row r="46" spans="1:17" ht="16" customHeight="1">
      <c r="A46" s="400">
        <v>3</v>
      </c>
      <c r="B46" s="402" t="s">
        <v>423</v>
      </c>
      <c r="C46" s="402">
        <v>24</v>
      </c>
      <c r="D46" s="402" t="s">
        <v>430</v>
      </c>
      <c r="E46" s="428">
        <v>3500</v>
      </c>
      <c r="F46" s="404">
        <v>525000</v>
      </c>
      <c r="G46" s="410">
        <v>0</v>
      </c>
      <c r="H46" s="414">
        <v>0</v>
      </c>
      <c r="I46" s="404">
        <v>525000</v>
      </c>
      <c r="J46" s="402" t="s">
        <v>428</v>
      </c>
    </row>
    <row r="47" spans="1:17" ht="15" customHeight="1">
      <c r="A47" s="400">
        <v>3</v>
      </c>
      <c r="B47" s="402" t="s">
        <v>423</v>
      </c>
      <c r="C47" s="402">
        <v>25</v>
      </c>
      <c r="D47" s="402" t="s">
        <v>430</v>
      </c>
      <c r="E47" s="428">
        <v>7070</v>
      </c>
      <c r="F47" s="404">
        <v>1060500</v>
      </c>
      <c r="G47" s="404">
        <v>126876</v>
      </c>
      <c r="H47" s="413">
        <v>52861</v>
      </c>
      <c r="I47" s="410">
        <v>1240237</v>
      </c>
      <c r="J47" s="402" t="s">
        <v>428</v>
      </c>
    </row>
    <row r="48" spans="1:17" ht="15" customHeight="1">
      <c r="A48" s="400">
        <v>3</v>
      </c>
      <c r="B48" s="402" t="s">
        <v>423</v>
      </c>
      <c r="C48" s="402">
        <v>33</v>
      </c>
      <c r="D48" s="402" t="s">
        <v>430</v>
      </c>
      <c r="E48" s="428">
        <v>1750</v>
      </c>
      <c r="F48" s="404">
        <v>262500</v>
      </c>
      <c r="G48" s="410">
        <v>0</v>
      </c>
      <c r="H48" s="414">
        <v>1582</v>
      </c>
      <c r="I48" s="404">
        <v>264082</v>
      </c>
      <c r="J48" s="403" t="s">
        <v>428</v>
      </c>
    </row>
    <row r="49" spans="1:17" ht="15" customHeight="1">
      <c r="A49" s="400">
        <v>3</v>
      </c>
      <c r="B49" s="402" t="s">
        <v>423</v>
      </c>
      <c r="C49" s="402">
        <v>34</v>
      </c>
      <c r="D49" s="402" t="s">
        <v>430</v>
      </c>
      <c r="E49" s="426">
        <v>3500</v>
      </c>
      <c r="F49" s="410">
        <v>525000</v>
      </c>
      <c r="G49" s="410">
        <v>0</v>
      </c>
      <c r="H49" s="414">
        <v>1884</v>
      </c>
      <c r="I49" s="410">
        <v>526884</v>
      </c>
      <c r="J49" s="403" t="s">
        <v>428</v>
      </c>
    </row>
    <row r="50" spans="1:17" ht="15" customHeight="1">
      <c r="A50" s="400">
        <v>3</v>
      </c>
      <c r="B50" s="402" t="s">
        <v>423</v>
      </c>
      <c r="C50" s="402">
        <v>35</v>
      </c>
      <c r="D50" s="402" t="s">
        <v>430</v>
      </c>
      <c r="E50" s="428">
        <v>3500</v>
      </c>
      <c r="F50" s="410">
        <v>525000</v>
      </c>
      <c r="G50" s="410">
        <v>0</v>
      </c>
      <c r="H50" s="413">
        <v>4606</v>
      </c>
      <c r="I50" s="404">
        <v>529606</v>
      </c>
      <c r="J50" s="403" t="s">
        <v>428</v>
      </c>
    </row>
    <row r="51" spans="1:17" ht="15" customHeight="1">
      <c r="A51" s="400">
        <v>3</v>
      </c>
      <c r="B51" s="402" t="s">
        <v>423</v>
      </c>
      <c r="C51" s="402">
        <v>36</v>
      </c>
      <c r="D51" s="402" t="s">
        <v>430</v>
      </c>
      <c r="E51" s="428">
        <v>3500</v>
      </c>
      <c r="F51" s="410">
        <v>525000</v>
      </c>
      <c r="G51" s="410">
        <v>0</v>
      </c>
      <c r="H51" s="414">
        <v>2888</v>
      </c>
      <c r="I51" s="410">
        <v>527888</v>
      </c>
      <c r="J51" s="403" t="s">
        <v>428</v>
      </c>
      <c r="K51" s="423"/>
      <c r="N51" s="423"/>
      <c r="O51" s="423"/>
      <c r="P51" s="423"/>
      <c r="Q51" s="423"/>
    </row>
    <row r="52" spans="1:17" ht="15" customHeight="1">
      <c r="A52" s="400">
        <v>3</v>
      </c>
      <c r="B52" s="402" t="s">
        <v>423</v>
      </c>
      <c r="C52" s="402">
        <v>37</v>
      </c>
      <c r="D52" s="402" t="s">
        <v>430</v>
      </c>
      <c r="E52" s="428">
        <v>10570</v>
      </c>
      <c r="F52" s="404">
        <v>1585500</v>
      </c>
      <c r="G52" s="410">
        <v>166126</v>
      </c>
      <c r="H52" s="414">
        <v>14145</v>
      </c>
      <c r="I52" s="404">
        <v>1765771</v>
      </c>
      <c r="J52" s="403" t="s">
        <v>428</v>
      </c>
    </row>
    <row r="53" spans="1:17" ht="15" customHeight="1">
      <c r="A53" s="400">
        <v>3</v>
      </c>
      <c r="B53" s="402" t="s">
        <v>423</v>
      </c>
      <c r="C53" s="402">
        <v>40</v>
      </c>
      <c r="D53" s="402" t="s">
        <v>430</v>
      </c>
      <c r="E53" s="426">
        <v>35000</v>
      </c>
      <c r="F53" s="410">
        <v>4987500</v>
      </c>
      <c r="G53" s="410">
        <v>250459</v>
      </c>
      <c r="H53" s="414">
        <v>62291</v>
      </c>
      <c r="I53" s="410">
        <v>5300250</v>
      </c>
      <c r="J53" s="403" t="s">
        <v>428</v>
      </c>
    </row>
    <row r="54" spans="1:17" ht="15" customHeight="1">
      <c r="A54" s="400">
        <v>3</v>
      </c>
      <c r="B54" s="402" t="s">
        <v>423</v>
      </c>
      <c r="C54" s="402">
        <v>41</v>
      </c>
      <c r="D54" s="402" t="s">
        <v>430</v>
      </c>
      <c r="E54" s="428">
        <v>15750</v>
      </c>
      <c r="F54" s="404">
        <v>2126250</v>
      </c>
      <c r="G54" s="404">
        <v>190967</v>
      </c>
      <c r="H54" s="414">
        <v>35914</v>
      </c>
      <c r="I54" s="410">
        <v>2353131</v>
      </c>
      <c r="J54" s="403" t="s">
        <v>428</v>
      </c>
      <c r="L54" s="432"/>
      <c r="M54" s="423"/>
    </row>
    <row r="55" spans="1:17" s="811" customFormat="1" ht="15" customHeight="1">
      <c r="A55" s="806" t="s">
        <v>436</v>
      </c>
      <c r="B55" s="807"/>
      <c r="C55" s="807"/>
      <c r="D55" s="807"/>
      <c r="E55" s="808">
        <f>SUM(E33:E54)</f>
        <v>178418</v>
      </c>
      <c r="F55" s="805">
        <f>SUM(F33:F35)</f>
        <v>4258500</v>
      </c>
      <c r="G55" s="805"/>
      <c r="H55" s="809"/>
      <c r="I55" s="805">
        <f>SUM(I33:I54)</f>
        <v>34945500</v>
      </c>
      <c r="J55" s="810"/>
      <c r="L55" s="812"/>
    </row>
    <row r="56" spans="1:17" ht="14.5">
      <c r="A56" s="400">
        <v>4</v>
      </c>
      <c r="B56" s="402" t="s">
        <v>437</v>
      </c>
      <c r="C56" s="402">
        <v>3</v>
      </c>
      <c r="D56" s="402" t="s">
        <v>424</v>
      </c>
      <c r="E56" s="577">
        <v>10500</v>
      </c>
      <c r="F56" s="580">
        <v>2362500</v>
      </c>
      <c r="G56" s="580">
        <v>500</v>
      </c>
      <c r="H56" s="576">
        <v>0</v>
      </c>
      <c r="I56" s="579">
        <v>2363000</v>
      </c>
      <c r="J56" s="403" t="s">
        <v>438</v>
      </c>
    </row>
    <row r="57" spans="1:17" ht="16" customHeight="1">
      <c r="A57" s="400">
        <v>4</v>
      </c>
      <c r="B57" s="402" t="s">
        <v>437</v>
      </c>
      <c r="C57" s="402">
        <v>8</v>
      </c>
      <c r="D57" s="402" t="s">
        <v>424</v>
      </c>
      <c r="E57" s="426">
        <v>1875</v>
      </c>
      <c r="F57" s="579">
        <v>243750</v>
      </c>
      <c r="G57" s="410">
        <v>0</v>
      </c>
      <c r="H57" s="414">
        <v>0</v>
      </c>
      <c r="I57" s="410">
        <v>243750</v>
      </c>
      <c r="J57" s="403" t="s">
        <v>425</v>
      </c>
    </row>
    <row r="58" spans="1:17" ht="15" thickBot="1">
      <c r="A58" s="400">
        <v>4</v>
      </c>
      <c r="B58" s="402" t="s">
        <v>437</v>
      </c>
      <c r="C58" s="402">
        <v>9</v>
      </c>
      <c r="D58" s="402" t="s">
        <v>424</v>
      </c>
      <c r="E58" s="426">
        <v>1750</v>
      </c>
      <c r="F58" s="580">
        <v>306250</v>
      </c>
      <c r="G58" s="580">
        <v>38419</v>
      </c>
      <c r="H58" s="576">
        <v>0</v>
      </c>
      <c r="I58" s="410">
        <v>344669</v>
      </c>
      <c r="J58" s="403" t="s">
        <v>438</v>
      </c>
    </row>
    <row r="59" spans="1:17" ht="15" thickBot="1">
      <c r="A59" s="400">
        <v>4</v>
      </c>
      <c r="B59" s="402" t="s">
        <v>437</v>
      </c>
      <c r="C59" s="402">
        <v>10</v>
      </c>
      <c r="D59" s="402" t="s">
        <v>424</v>
      </c>
      <c r="E59" s="426">
        <v>3500</v>
      </c>
      <c r="F59" s="580">
        <v>612500</v>
      </c>
      <c r="G59" s="410">
        <v>0</v>
      </c>
      <c r="H59" s="414">
        <v>0</v>
      </c>
      <c r="I59" s="580">
        <v>612500</v>
      </c>
      <c r="J59" s="405" t="s">
        <v>438</v>
      </c>
    </row>
    <row r="60" spans="1:17" ht="14.5">
      <c r="A60" s="400">
        <v>4</v>
      </c>
      <c r="B60" s="402" t="s">
        <v>437</v>
      </c>
      <c r="C60" s="402">
        <v>11</v>
      </c>
      <c r="D60" s="402" t="s">
        <v>424</v>
      </c>
      <c r="E60" s="578">
        <v>10500</v>
      </c>
      <c r="F60" s="579">
        <v>2362500</v>
      </c>
      <c r="G60" s="580">
        <v>22055</v>
      </c>
      <c r="H60" s="414">
        <v>9776</v>
      </c>
      <c r="I60" s="580">
        <v>2394331</v>
      </c>
      <c r="J60" s="403" t="s">
        <v>438</v>
      </c>
    </row>
    <row r="61" spans="1:17" ht="14.5">
      <c r="A61" s="400">
        <v>4</v>
      </c>
      <c r="B61" s="402" t="s">
        <v>437</v>
      </c>
      <c r="C61" s="402">
        <v>15</v>
      </c>
      <c r="D61" s="402" t="s">
        <v>424</v>
      </c>
      <c r="E61" s="578">
        <v>17550</v>
      </c>
      <c r="F61" s="580">
        <v>3948750</v>
      </c>
      <c r="G61" s="579">
        <v>0</v>
      </c>
      <c r="H61" s="576">
        <v>14508</v>
      </c>
      <c r="I61" s="580">
        <v>3963258</v>
      </c>
      <c r="J61" s="403" t="s">
        <v>438</v>
      </c>
    </row>
    <row r="62" spans="1:17" ht="15" thickBot="1">
      <c r="A62" s="400">
        <v>4</v>
      </c>
      <c r="B62" s="402" t="s">
        <v>437</v>
      </c>
      <c r="C62" s="402">
        <v>5</v>
      </c>
      <c r="D62" s="402" t="s">
        <v>430</v>
      </c>
      <c r="E62" s="428">
        <v>2188</v>
      </c>
      <c r="F62" s="410">
        <v>284440</v>
      </c>
      <c r="G62" s="410">
        <v>0</v>
      </c>
      <c r="H62" s="414">
        <v>0</v>
      </c>
      <c r="I62" s="410">
        <v>284440</v>
      </c>
      <c r="J62" s="582" t="s">
        <v>425</v>
      </c>
    </row>
    <row r="63" spans="1:17" ht="15" thickBot="1">
      <c r="A63" s="400">
        <v>4</v>
      </c>
      <c r="B63" s="402" t="s">
        <v>437</v>
      </c>
      <c r="C63" s="402">
        <v>6</v>
      </c>
      <c r="D63" s="402" t="s">
        <v>430</v>
      </c>
      <c r="E63" s="426">
        <v>2360</v>
      </c>
      <c r="F63" s="406">
        <v>306800</v>
      </c>
      <c r="G63" s="410">
        <v>0</v>
      </c>
      <c r="H63" s="414">
        <v>0</v>
      </c>
      <c r="I63" s="406">
        <v>306800</v>
      </c>
      <c r="J63" s="403" t="s">
        <v>425</v>
      </c>
    </row>
    <row r="64" spans="1:17" ht="15" thickBot="1">
      <c r="A64" s="400">
        <v>4</v>
      </c>
      <c r="B64" s="402" t="s">
        <v>437</v>
      </c>
      <c r="C64" s="402">
        <v>7</v>
      </c>
      <c r="D64" s="402" t="s">
        <v>430</v>
      </c>
      <c r="E64" s="425">
        <v>4688</v>
      </c>
      <c r="F64" s="406">
        <v>304720</v>
      </c>
      <c r="G64" s="404">
        <v>69379</v>
      </c>
      <c r="H64" s="414">
        <v>3908</v>
      </c>
      <c r="I64" s="410">
        <v>378007</v>
      </c>
      <c r="J64" s="403" t="s">
        <v>425</v>
      </c>
    </row>
    <row r="65" spans="1:17" ht="15" thickBot="1">
      <c r="A65" s="400">
        <v>4</v>
      </c>
      <c r="B65" s="402" t="s">
        <v>437</v>
      </c>
      <c r="C65" s="402">
        <v>12</v>
      </c>
      <c r="D65" s="402" t="s">
        <v>430</v>
      </c>
      <c r="E65" s="577">
        <v>14000</v>
      </c>
      <c r="F65" s="406">
        <v>910000</v>
      </c>
      <c r="G65" s="410">
        <v>0</v>
      </c>
      <c r="H65" s="414">
        <v>0</v>
      </c>
      <c r="I65" s="580">
        <v>910000</v>
      </c>
      <c r="J65" s="403" t="s">
        <v>425</v>
      </c>
    </row>
    <row r="66" spans="1:17" ht="15" thickBot="1">
      <c r="A66" s="400">
        <v>4</v>
      </c>
      <c r="B66" s="402" t="s">
        <v>437</v>
      </c>
      <c r="C66" s="402">
        <v>13</v>
      </c>
      <c r="D66" s="402" t="s">
        <v>430</v>
      </c>
      <c r="E66" s="426">
        <v>7000</v>
      </c>
      <c r="F66" s="411">
        <v>612500</v>
      </c>
      <c r="G66" s="411">
        <v>0</v>
      </c>
      <c r="H66" s="415">
        <v>0</v>
      </c>
      <c r="I66" s="410">
        <v>612500</v>
      </c>
      <c r="J66" s="403" t="s">
        <v>438</v>
      </c>
    </row>
    <row r="67" spans="1:17" ht="14.5">
      <c r="A67" s="400">
        <v>4</v>
      </c>
      <c r="B67" s="402" t="s">
        <v>437</v>
      </c>
      <c r="C67" s="402">
        <v>14</v>
      </c>
      <c r="D67" s="402" t="s">
        <v>430</v>
      </c>
      <c r="E67" s="577">
        <v>7000</v>
      </c>
      <c r="F67" s="404">
        <v>612500</v>
      </c>
      <c r="G67" s="410">
        <v>0</v>
      </c>
      <c r="H67" s="414">
        <v>0</v>
      </c>
      <c r="I67" s="404">
        <v>612500</v>
      </c>
      <c r="J67" s="403" t="s">
        <v>438</v>
      </c>
    </row>
    <row r="68" spans="1:17" s="811" customFormat="1" ht="15" customHeight="1">
      <c r="A68" s="806" t="s">
        <v>439</v>
      </c>
      <c r="B68" s="807"/>
      <c r="C68" s="807"/>
      <c r="D68" s="807"/>
      <c r="E68" s="808">
        <f>SUM(E57:E67)</f>
        <v>72411</v>
      </c>
      <c r="F68" s="805">
        <f>SUM(F57:F61)</f>
        <v>7473750</v>
      </c>
      <c r="G68" s="805"/>
      <c r="H68" s="809"/>
      <c r="I68" s="805">
        <f>SUM(I57:I67)</f>
        <v>10662755</v>
      </c>
      <c r="J68" s="810"/>
      <c r="L68" s="812"/>
    </row>
    <row r="69" spans="1:17" ht="15" thickBot="1">
      <c r="A69" s="400">
        <v>5</v>
      </c>
      <c r="B69" s="402" t="s">
        <v>437</v>
      </c>
      <c r="C69" s="402">
        <v>16</v>
      </c>
      <c r="D69" s="402" t="s">
        <v>430</v>
      </c>
      <c r="E69" s="596">
        <v>52250</v>
      </c>
      <c r="F69" s="421">
        <v>5773625</v>
      </c>
      <c r="G69" s="410">
        <v>1702182</v>
      </c>
      <c r="H69" s="414">
        <v>706239</v>
      </c>
      <c r="I69" s="421">
        <v>8182046</v>
      </c>
      <c r="J69" s="402" t="s">
        <v>425</v>
      </c>
      <c r="K69" s="423"/>
      <c r="N69" s="423"/>
      <c r="O69" s="423"/>
      <c r="P69" s="423"/>
      <c r="Q69" s="423"/>
    </row>
    <row r="70" spans="1:17" ht="15" thickBot="1">
      <c r="A70" s="400">
        <v>5</v>
      </c>
      <c r="B70" s="402" t="s">
        <v>437</v>
      </c>
      <c r="C70" s="402">
        <v>17</v>
      </c>
      <c r="D70" s="402" t="s">
        <v>430</v>
      </c>
      <c r="E70" s="426">
        <v>14000</v>
      </c>
      <c r="F70" s="579">
        <v>1820000</v>
      </c>
      <c r="G70" s="410">
        <v>21129</v>
      </c>
      <c r="H70" s="414">
        <v>2888</v>
      </c>
      <c r="I70" s="579">
        <v>1844017</v>
      </c>
      <c r="J70" s="402" t="s">
        <v>425</v>
      </c>
    </row>
    <row r="71" spans="1:17" ht="15" thickBot="1">
      <c r="A71" s="400">
        <v>5</v>
      </c>
      <c r="B71" s="402" t="s">
        <v>437</v>
      </c>
      <c r="C71" s="402">
        <v>18</v>
      </c>
      <c r="D71" s="402" t="s">
        <v>430</v>
      </c>
      <c r="E71" s="425">
        <v>7000</v>
      </c>
      <c r="F71" s="579">
        <v>910000</v>
      </c>
      <c r="G71" s="410">
        <v>0</v>
      </c>
      <c r="H71" s="414">
        <v>0</v>
      </c>
      <c r="I71" s="579">
        <v>910000</v>
      </c>
      <c r="J71" s="402" t="s">
        <v>425</v>
      </c>
    </row>
    <row r="72" spans="1:17" ht="14.5">
      <c r="A72" s="400">
        <v>5</v>
      </c>
      <c r="B72" s="402" t="s">
        <v>437</v>
      </c>
      <c r="C72" s="402">
        <v>24</v>
      </c>
      <c r="D72" s="402" t="s">
        <v>430</v>
      </c>
      <c r="E72" s="577">
        <v>6800</v>
      </c>
      <c r="F72" s="410">
        <v>884000</v>
      </c>
      <c r="G72" s="410">
        <v>0</v>
      </c>
      <c r="H72" s="420">
        <v>0</v>
      </c>
      <c r="I72" s="579">
        <v>884000</v>
      </c>
      <c r="J72" s="402" t="s">
        <v>425</v>
      </c>
      <c r="L72" s="432"/>
      <c r="M72" s="423"/>
    </row>
    <row r="73" spans="1:17" ht="14.5">
      <c r="A73" s="400">
        <v>5</v>
      </c>
      <c r="B73" s="402" t="s">
        <v>437</v>
      </c>
      <c r="C73" s="402">
        <v>26</v>
      </c>
      <c r="D73" s="402" t="s">
        <v>430</v>
      </c>
      <c r="E73" s="426">
        <v>1620</v>
      </c>
      <c r="F73" s="410">
        <v>210600</v>
      </c>
      <c r="G73" s="410">
        <v>0</v>
      </c>
      <c r="H73" s="576">
        <v>0</v>
      </c>
      <c r="I73" s="603">
        <v>210600</v>
      </c>
      <c r="J73" s="402" t="s">
        <v>425</v>
      </c>
    </row>
    <row r="74" spans="1:17" s="811" customFormat="1" ht="15" customHeight="1">
      <c r="A74" s="806" t="s">
        <v>440</v>
      </c>
      <c r="B74" s="807"/>
      <c r="C74" s="807"/>
      <c r="D74" s="807"/>
      <c r="E74" s="808">
        <f>SUM(E69:E73)</f>
        <v>81670</v>
      </c>
      <c r="F74" s="805">
        <v>0</v>
      </c>
      <c r="G74" s="805"/>
      <c r="H74" s="809"/>
      <c r="I74" s="805">
        <f>SUM(I69:I73)</f>
        <v>12030663</v>
      </c>
      <c r="J74" s="810"/>
      <c r="L74" s="812"/>
    </row>
    <row r="75" spans="1:17" ht="15" thickBot="1">
      <c r="A75" s="400">
        <v>6</v>
      </c>
      <c r="B75" s="402" t="s">
        <v>437</v>
      </c>
      <c r="C75" s="402">
        <v>21</v>
      </c>
      <c r="D75" s="402" t="s">
        <v>424</v>
      </c>
      <c r="E75" s="426">
        <v>7000</v>
      </c>
      <c r="F75" s="421">
        <v>1225000</v>
      </c>
      <c r="G75" s="410">
        <v>1000</v>
      </c>
      <c r="H75" s="414">
        <v>0</v>
      </c>
      <c r="I75" s="421">
        <v>1226000</v>
      </c>
      <c r="J75" s="402" t="s">
        <v>438</v>
      </c>
    </row>
    <row r="76" spans="1:17" ht="15" thickBot="1">
      <c r="A76" s="400">
        <v>6</v>
      </c>
      <c r="B76" s="402" t="s">
        <v>437</v>
      </c>
      <c r="C76" s="402">
        <v>22</v>
      </c>
      <c r="D76" s="402" t="s">
        <v>424</v>
      </c>
      <c r="E76" s="577">
        <v>11726</v>
      </c>
      <c r="F76" s="411">
        <v>2638350</v>
      </c>
      <c r="G76" s="410">
        <v>277493</v>
      </c>
      <c r="H76" s="414">
        <v>9454</v>
      </c>
      <c r="I76" s="411">
        <v>2925297</v>
      </c>
      <c r="J76" s="402" t="s">
        <v>438</v>
      </c>
    </row>
    <row r="77" spans="1:17" ht="15" thickBot="1">
      <c r="A77" s="400">
        <v>6</v>
      </c>
      <c r="B77" s="402" t="s">
        <v>437</v>
      </c>
      <c r="C77" s="402">
        <v>23</v>
      </c>
      <c r="D77" s="402" t="s">
        <v>424</v>
      </c>
      <c r="E77" s="577">
        <v>5823</v>
      </c>
      <c r="F77" s="411">
        <v>1455750</v>
      </c>
      <c r="G77" s="579">
        <v>0</v>
      </c>
      <c r="H77" s="576">
        <v>0</v>
      </c>
      <c r="I77" s="411">
        <v>1455750</v>
      </c>
      <c r="J77" s="402" t="s">
        <v>438</v>
      </c>
    </row>
    <row r="78" spans="1:17" ht="15" thickBot="1">
      <c r="A78" s="400">
        <v>6</v>
      </c>
      <c r="B78" s="402" t="s">
        <v>437</v>
      </c>
      <c r="C78" s="402">
        <v>31</v>
      </c>
      <c r="D78" s="402" t="s">
        <v>424</v>
      </c>
      <c r="E78" s="577">
        <v>13050</v>
      </c>
      <c r="F78" s="579">
        <v>2936250</v>
      </c>
      <c r="G78" s="579">
        <v>197779</v>
      </c>
      <c r="H78" s="414">
        <v>77400</v>
      </c>
      <c r="I78" s="579">
        <v>3211429</v>
      </c>
      <c r="J78" s="402" t="s">
        <v>438</v>
      </c>
    </row>
    <row r="79" spans="1:17" ht="15" thickBot="1">
      <c r="A79" s="400">
        <v>6</v>
      </c>
      <c r="B79" s="402" t="s">
        <v>437</v>
      </c>
      <c r="C79" s="402">
        <v>32</v>
      </c>
      <c r="D79" s="402" t="s">
        <v>424</v>
      </c>
      <c r="E79" s="430">
        <v>14154.4</v>
      </c>
      <c r="F79" s="411">
        <v>3184650</v>
      </c>
      <c r="G79" s="410">
        <v>0</v>
      </c>
      <c r="H79" s="414">
        <v>0</v>
      </c>
      <c r="I79" s="411">
        <v>3184650</v>
      </c>
      <c r="J79" s="402" t="s">
        <v>438</v>
      </c>
    </row>
    <row r="80" spans="1:17" ht="15" thickBot="1">
      <c r="A80" s="400">
        <v>6</v>
      </c>
      <c r="B80" s="402" t="s">
        <v>437</v>
      </c>
      <c r="C80" s="402">
        <v>19</v>
      </c>
      <c r="D80" s="402" t="s">
        <v>430</v>
      </c>
      <c r="E80" s="425">
        <v>7000</v>
      </c>
      <c r="F80" s="411">
        <v>910000</v>
      </c>
      <c r="G80" s="410">
        <v>1000</v>
      </c>
      <c r="H80" s="414">
        <v>0</v>
      </c>
      <c r="I80" s="411">
        <v>911000</v>
      </c>
      <c r="J80" s="402" t="s">
        <v>425</v>
      </c>
    </row>
    <row r="81" spans="1:12" ht="15" thickBot="1">
      <c r="A81" s="400">
        <v>6</v>
      </c>
      <c r="B81" s="402" t="s">
        <v>437</v>
      </c>
      <c r="C81" s="402">
        <v>20</v>
      </c>
      <c r="D81" s="402" t="s">
        <v>430</v>
      </c>
      <c r="E81" s="425">
        <v>7000</v>
      </c>
      <c r="F81" s="411">
        <v>1225000</v>
      </c>
      <c r="G81" s="411">
        <v>18403</v>
      </c>
      <c r="H81" s="415">
        <v>0</v>
      </c>
      <c r="I81" s="579">
        <v>1243403</v>
      </c>
      <c r="J81" s="402" t="s">
        <v>438</v>
      </c>
    </row>
    <row r="82" spans="1:12" ht="15" thickBot="1">
      <c r="A82" s="400">
        <v>6</v>
      </c>
      <c r="B82" s="402" t="s">
        <v>437</v>
      </c>
      <c r="C82" s="402">
        <v>27</v>
      </c>
      <c r="D82" s="402" t="s">
        <v>430</v>
      </c>
      <c r="E82" s="425">
        <v>2974</v>
      </c>
      <c r="F82" s="579">
        <v>386620</v>
      </c>
      <c r="G82" s="579">
        <v>10349</v>
      </c>
      <c r="H82" s="414">
        <v>1055</v>
      </c>
      <c r="I82" s="411">
        <v>398024</v>
      </c>
      <c r="J82" s="402" t="s">
        <v>425</v>
      </c>
    </row>
    <row r="83" spans="1:12" ht="15" thickBot="1">
      <c r="A83" s="400">
        <v>6</v>
      </c>
      <c r="B83" s="402" t="s">
        <v>437</v>
      </c>
      <c r="C83" s="402">
        <v>28</v>
      </c>
      <c r="D83" s="402" t="s">
        <v>430</v>
      </c>
      <c r="E83" s="577">
        <v>4501</v>
      </c>
      <c r="F83" s="579">
        <v>585130</v>
      </c>
      <c r="G83" s="579">
        <v>31505</v>
      </c>
      <c r="H83" s="415">
        <v>6408</v>
      </c>
      <c r="I83" s="579">
        <v>623043</v>
      </c>
      <c r="J83" s="402" t="s">
        <v>425</v>
      </c>
    </row>
    <row r="84" spans="1:12" ht="15" thickBot="1">
      <c r="A84" s="400">
        <v>6</v>
      </c>
      <c r="B84" s="402" t="s">
        <v>437</v>
      </c>
      <c r="C84" s="402">
        <v>29</v>
      </c>
      <c r="D84" s="402" t="s">
        <v>430</v>
      </c>
      <c r="E84" s="425">
        <v>8090</v>
      </c>
      <c r="F84" s="579">
        <v>1415750</v>
      </c>
      <c r="G84" s="411">
        <v>104853</v>
      </c>
      <c r="H84" s="414">
        <v>40072</v>
      </c>
      <c r="I84" s="411">
        <v>1560675</v>
      </c>
      <c r="J84" s="402" t="s">
        <v>438</v>
      </c>
    </row>
    <row r="85" spans="1:12" ht="15" thickBot="1">
      <c r="A85" s="400">
        <v>6</v>
      </c>
      <c r="B85" s="402" t="s">
        <v>437</v>
      </c>
      <c r="C85" s="402">
        <v>30</v>
      </c>
      <c r="D85" s="402" t="s">
        <v>430</v>
      </c>
      <c r="E85" s="426">
        <v>9930</v>
      </c>
      <c r="F85" s="411">
        <v>1737750</v>
      </c>
      <c r="G85" s="410">
        <v>1000</v>
      </c>
      <c r="H85" s="576">
        <v>0</v>
      </c>
      <c r="I85" s="411">
        <v>1738750</v>
      </c>
      <c r="J85" s="402" t="s">
        <v>438</v>
      </c>
    </row>
    <row r="86" spans="1:12" ht="14.5">
      <c r="A86" s="400">
        <v>6</v>
      </c>
      <c r="B86" s="402" t="s">
        <v>437</v>
      </c>
      <c r="C86" s="402" t="s">
        <v>441</v>
      </c>
      <c r="D86" s="402" t="s">
        <v>430</v>
      </c>
      <c r="E86" s="426">
        <v>5538</v>
      </c>
      <c r="F86" s="585">
        <v>719940</v>
      </c>
      <c r="G86" s="585">
        <v>0</v>
      </c>
      <c r="H86" s="576">
        <v>1870</v>
      </c>
      <c r="I86" s="410">
        <v>721810</v>
      </c>
      <c r="J86" s="402" t="s">
        <v>425</v>
      </c>
    </row>
    <row r="87" spans="1:12" s="811" customFormat="1" ht="15" customHeight="1">
      <c r="A87" s="806" t="s">
        <v>442</v>
      </c>
      <c r="B87" s="807"/>
      <c r="C87" s="807"/>
      <c r="D87" s="807"/>
      <c r="E87" s="808">
        <f>SUM(E75:E86)</f>
        <v>96786.4</v>
      </c>
      <c r="F87" s="805">
        <f>SUM(F75:F79)</f>
        <v>11440000</v>
      </c>
      <c r="G87" s="805"/>
      <c r="H87" s="809"/>
      <c r="I87" s="805">
        <f>SUM(I75:I79)</f>
        <v>12003126</v>
      </c>
      <c r="J87" s="810"/>
      <c r="L87" s="812"/>
    </row>
    <row r="88" spans="1:12" s="586" customFormat="1" ht="15" customHeight="1" thickBot="1">
      <c r="A88" s="400">
        <v>7</v>
      </c>
      <c r="B88" s="402" t="s">
        <v>437</v>
      </c>
      <c r="C88" s="402" t="s">
        <v>443</v>
      </c>
      <c r="D88" s="402" t="s">
        <v>424</v>
      </c>
      <c r="E88" s="426">
        <v>14458</v>
      </c>
      <c r="F88" s="421">
        <v>3614500</v>
      </c>
      <c r="G88" s="410">
        <v>0</v>
      </c>
      <c r="H88" s="576">
        <v>0</v>
      </c>
      <c r="I88" s="421">
        <v>4064066</v>
      </c>
      <c r="J88" s="402" t="s">
        <v>444</v>
      </c>
      <c r="L88" s="587"/>
    </row>
    <row r="89" spans="1:12" s="586" customFormat="1" ht="15" customHeight="1" thickBot="1">
      <c r="A89" s="400">
        <v>7</v>
      </c>
      <c r="B89" s="402" t="s">
        <v>437</v>
      </c>
      <c r="C89" s="402" t="s">
        <v>445</v>
      </c>
      <c r="D89" s="402" t="s">
        <v>424</v>
      </c>
      <c r="E89" s="790">
        <v>4679</v>
      </c>
      <c r="F89" s="411">
        <v>1286615</v>
      </c>
      <c r="G89" s="410">
        <v>0</v>
      </c>
      <c r="H89" s="576">
        <v>0</v>
      </c>
      <c r="I89" s="411">
        <v>1310000</v>
      </c>
      <c r="J89" s="402" t="s">
        <v>444</v>
      </c>
      <c r="L89" s="587"/>
    </row>
    <row r="90" spans="1:12" s="586" customFormat="1" ht="15" customHeight="1">
      <c r="A90" s="400">
        <v>7</v>
      </c>
      <c r="B90" s="402" t="s">
        <v>437</v>
      </c>
      <c r="C90" s="402" t="s">
        <v>446</v>
      </c>
      <c r="D90" s="402" t="s">
        <v>424</v>
      </c>
      <c r="E90" s="426">
        <v>5505</v>
      </c>
      <c r="F90" s="585">
        <v>1387500</v>
      </c>
      <c r="G90" s="410">
        <v>0</v>
      </c>
      <c r="H90" s="576">
        <v>0</v>
      </c>
      <c r="I90" s="585">
        <v>1404452</v>
      </c>
      <c r="J90" s="402" t="s">
        <v>444</v>
      </c>
      <c r="L90" s="587"/>
    </row>
    <row r="91" spans="1:12" s="811" customFormat="1" ht="15" customHeight="1">
      <c r="A91" s="806" t="s">
        <v>447</v>
      </c>
      <c r="B91" s="807"/>
      <c r="C91" s="807"/>
      <c r="D91" s="807"/>
      <c r="E91" s="808">
        <f>SUM(E88:E90)</f>
        <v>24642</v>
      </c>
      <c r="F91" s="805">
        <f>SUM(F88:F90)</f>
        <v>6288615</v>
      </c>
      <c r="G91" s="805"/>
      <c r="H91" s="809"/>
      <c r="I91" s="805">
        <f>SUM(I88:I90)</f>
        <v>6778518</v>
      </c>
      <c r="J91" s="810"/>
      <c r="L91" s="812"/>
    </row>
    <row r="92" spans="1:12" ht="15" thickBot="1">
      <c r="A92" s="400">
        <v>8</v>
      </c>
      <c r="B92" s="402" t="s">
        <v>423</v>
      </c>
      <c r="C92" s="402" t="s">
        <v>448</v>
      </c>
      <c r="D92" s="402" t="s">
        <v>424</v>
      </c>
      <c r="E92" s="426">
        <v>27710</v>
      </c>
      <c r="F92" s="421">
        <v>8867200</v>
      </c>
      <c r="G92" s="410">
        <v>0</v>
      </c>
      <c r="H92" s="576">
        <v>0</v>
      </c>
      <c r="I92" s="421">
        <v>9448520</v>
      </c>
      <c r="J92" s="402" t="s">
        <v>449</v>
      </c>
    </row>
    <row r="93" spans="1:12" ht="15" thickBot="1">
      <c r="A93" s="400">
        <v>8</v>
      </c>
      <c r="B93" s="402" t="s">
        <v>423</v>
      </c>
      <c r="C93" s="402" t="s">
        <v>450</v>
      </c>
      <c r="D93" s="402" t="s">
        <v>424</v>
      </c>
      <c r="E93" s="426">
        <v>18750</v>
      </c>
      <c r="F93" s="411">
        <v>6093750</v>
      </c>
      <c r="G93" s="410">
        <v>0</v>
      </c>
      <c r="H93" s="576">
        <v>0</v>
      </c>
      <c r="I93" s="411">
        <v>7020301</v>
      </c>
      <c r="J93" s="402" t="s">
        <v>449</v>
      </c>
    </row>
    <row r="94" spans="1:12" ht="15" thickBot="1">
      <c r="A94" s="400">
        <v>8</v>
      </c>
      <c r="B94" s="402" t="s">
        <v>423</v>
      </c>
      <c r="C94" s="402" t="s">
        <v>451</v>
      </c>
      <c r="D94" s="402" t="s">
        <v>424</v>
      </c>
      <c r="E94" s="426">
        <v>4950</v>
      </c>
      <c r="F94" s="411">
        <v>1608750</v>
      </c>
      <c r="G94" s="410">
        <v>0</v>
      </c>
      <c r="H94" s="576">
        <v>0</v>
      </c>
      <c r="I94" s="411">
        <v>1717379</v>
      </c>
      <c r="J94" s="402" t="s">
        <v>449</v>
      </c>
    </row>
    <row r="95" spans="1:12" ht="15" thickBot="1">
      <c r="A95" s="400">
        <v>8</v>
      </c>
      <c r="B95" s="402" t="s">
        <v>423</v>
      </c>
      <c r="C95" s="402" t="s">
        <v>452</v>
      </c>
      <c r="D95" s="402" t="s">
        <v>424</v>
      </c>
      <c r="E95" s="426">
        <v>8175</v>
      </c>
      <c r="F95" s="411">
        <v>2656875</v>
      </c>
      <c r="G95" s="410">
        <v>382595</v>
      </c>
      <c r="H95" s="576">
        <v>0</v>
      </c>
      <c r="I95" s="411">
        <v>3039470</v>
      </c>
      <c r="J95" s="402" t="s">
        <v>449</v>
      </c>
    </row>
    <row r="96" spans="1:12" ht="15" thickBot="1">
      <c r="A96" s="400">
        <v>8</v>
      </c>
      <c r="B96" s="402" t="s">
        <v>423</v>
      </c>
      <c r="C96" s="402" t="s">
        <v>453</v>
      </c>
      <c r="D96" s="402" t="s">
        <v>424</v>
      </c>
      <c r="E96" s="426">
        <v>6563</v>
      </c>
      <c r="F96" s="411">
        <v>2132975</v>
      </c>
      <c r="G96" s="410">
        <v>67025</v>
      </c>
      <c r="H96" s="576">
        <v>0</v>
      </c>
      <c r="I96" s="411">
        <v>2200000</v>
      </c>
      <c r="J96" s="402" t="s">
        <v>449</v>
      </c>
    </row>
    <row r="97" spans="1:12" ht="14.5">
      <c r="A97" s="400">
        <v>8</v>
      </c>
      <c r="B97" s="402" t="s">
        <v>423</v>
      </c>
      <c r="C97" s="402" t="s">
        <v>454</v>
      </c>
      <c r="D97" s="402" t="s">
        <v>424</v>
      </c>
      <c r="E97" s="426">
        <v>6563</v>
      </c>
      <c r="F97" s="585">
        <v>2132975</v>
      </c>
      <c r="G97" s="410">
        <v>359887</v>
      </c>
      <c r="H97" s="576">
        <v>0</v>
      </c>
      <c r="I97" s="585">
        <v>2516715</v>
      </c>
      <c r="J97" s="402" t="s">
        <v>449</v>
      </c>
    </row>
    <row r="98" spans="1:12" s="811" customFormat="1" ht="14.5">
      <c r="A98" s="806" t="s">
        <v>455</v>
      </c>
      <c r="B98" s="807"/>
      <c r="C98" s="807"/>
      <c r="D98" s="807"/>
      <c r="E98" s="808">
        <f>SUM(E92:E97)</f>
        <v>72711</v>
      </c>
      <c r="F98" s="805">
        <f>SUM(F95:F97)</f>
        <v>6922825</v>
      </c>
      <c r="G98" s="805"/>
      <c r="H98" s="809"/>
      <c r="I98" s="805">
        <f>SUM(I92:I97)</f>
        <v>25942385</v>
      </c>
      <c r="J98" s="810"/>
      <c r="L98" s="812"/>
    </row>
    <row r="99" spans="1:12" ht="15" thickBot="1">
      <c r="A99" s="597"/>
      <c r="B99" s="598"/>
      <c r="C99" s="598"/>
      <c r="D99" s="598"/>
      <c r="E99" s="599"/>
      <c r="F99" s="600"/>
      <c r="G99" s="600"/>
      <c r="H99" s="601"/>
      <c r="I99" s="600"/>
      <c r="J99" s="602"/>
    </row>
    <row r="100" spans="1:12" ht="15" thickBot="1">
      <c r="A100" s="400" t="s">
        <v>456</v>
      </c>
      <c r="B100" s="402"/>
      <c r="C100" s="402"/>
      <c r="D100" s="402"/>
      <c r="E100" s="426"/>
      <c r="F100" s="411"/>
      <c r="G100" s="410"/>
      <c r="H100" s="576"/>
      <c r="I100" s="411"/>
      <c r="J100" s="402"/>
    </row>
    <row r="101" spans="1:12" ht="15" thickBot="1">
      <c r="A101" s="400"/>
      <c r="B101" s="402" t="s">
        <v>437</v>
      </c>
      <c r="C101" s="402">
        <v>1</v>
      </c>
      <c r="D101" s="402"/>
      <c r="E101" s="428">
        <v>74326</v>
      </c>
      <c r="F101" s="411">
        <v>13007050</v>
      </c>
      <c r="G101" s="410">
        <v>70512950</v>
      </c>
      <c r="H101" s="414">
        <v>0</v>
      </c>
      <c r="I101" s="406">
        <v>83520000</v>
      </c>
      <c r="J101" s="582" t="s">
        <v>457</v>
      </c>
    </row>
    <row r="102" spans="1:12" ht="15" thickBot="1">
      <c r="A102" s="400"/>
      <c r="B102" s="402" t="s">
        <v>437</v>
      </c>
      <c r="C102" s="402">
        <v>2</v>
      </c>
      <c r="D102" s="402"/>
      <c r="E102" s="426">
        <v>5600</v>
      </c>
      <c r="F102" s="410">
        <v>1260000</v>
      </c>
      <c r="G102" s="410">
        <v>63696</v>
      </c>
      <c r="H102" s="581">
        <v>6912</v>
      </c>
      <c r="I102" s="410">
        <v>1330608</v>
      </c>
      <c r="J102" s="403" t="s">
        <v>438</v>
      </c>
    </row>
  </sheetData>
  <sortState xmlns:xlrd2="http://schemas.microsoft.com/office/spreadsheetml/2017/richdata2" ref="A88:J90">
    <sortCondition ref="A88:A90"/>
    <sortCondition ref="D88:D90"/>
    <sortCondition ref="C88:C90"/>
  </sortState>
  <mergeCells count="1">
    <mergeCell ref="L1:M1"/>
  </mergeCells>
  <pageMargins left="0.7" right="0.7" top="0.75" bottom="0.75" header="0.3" footer="0.3"/>
  <pageSetup paperSize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A27B-1F05-485D-8431-1A66271E2A61}">
  <sheetPr>
    <tabColor theme="4"/>
  </sheetPr>
  <dimension ref="A1:J40"/>
  <sheetViews>
    <sheetView workbookViewId="0">
      <selection activeCell="A23" sqref="A23"/>
    </sheetView>
  </sheetViews>
  <sheetFormatPr defaultColWidth="8.81640625" defaultRowHeight="12.5"/>
  <cols>
    <col min="2" max="2" width="26.453125" customWidth="1"/>
    <col min="7" max="7" width="16.453125" customWidth="1"/>
    <col min="8" max="8" width="11.7265625" customWidth="1"/>
    <col min="10" max="10" width="14.81640625" customWidth="1"/>
    <col min="13" max="13" width="21.26953125" customWidth="1"/>
  </cols>
  <sheetData>
    <row r="1" spans="1:10" s="433" customFormat="1" ht="35.25" customHeight="1">
      <c r="A1" s="439" t="s">
        <v>458</v>
      </c>
      <c r="B1" s="439" t="s">
        <v>459</v>
      </c>
      <c r="C1" s="439" t="s">
        <v>460</v>
      </c>
      <c r="D1" s="439" t="s">
        <v>461</v>
      </c>
      <c r="E1" s="439" t="s">
        <v>462</v>
      </c>
      <c r="F1" s="439" t="s">
        <v>463</v>
      </c>
      <c r="G1" s="439" t="s">
        <v>464</v>
      </c>
      <c r="H1" s="439" t="s">
        <v>465</v>
      </c>
      <c r="I1" s="439" t="s">
        <v>466</v>
      </c>
      <c r="J1" s="439" t="s">
        <v>467</v>
      </c>
    </row>
    <row r="2" spans="1:10">
      <c r="A2" s="1" t="s">
        <v>468</v>
      </c>
      <c r="B2" t="s">
        <v>469</v>
      </c>
      <c r="C2">
        <v>4</v>
      </c>
      <c r="D2">
        <v>6900</v>
      </c>
      <c r="E2">
        <v>1408</v>
      </c>
      <c r="F2">
        <v>2</v>
      </c>
      <c r="G2">
        <v>33792</v>
      </c>
      <c r="H2">
        <v>0.33</v>
      </c>
      <c r="I2" t="s">
        <v>470</v>
      </c>
      <c r="J2" s="4">
        <v>11151.36</v>
      </c>
    </row>
    <row r="3" spans="1:10">
      <c r="A3" s="1" t="s">
        <v>468</v>
      </c>
      <c r="B3" t="s">
        <v>471</v>
      </c>
      <c r="C3">
        <v>7</v>
      </c>
      <c r="D3">
        <v>13800</v>
      </c>
      <c r="E3">
        <v>3608</v>
      </c>
      <c r="F3">
        <v>1</v>
      </c>
      <c r="G3">
        <v>43296</v>
      </c>
      <c r="H3">
        <v>0.33</v>
      </c>
      <c r="I3" t="s">
        <v>470</v>
      </c>
      <c r="J3" s="4">
        <v>14287.68</v>
      </c>
    </row>
    <row r="4" spans="1:10">
      <c r="A4" s="1" t="s">
        <v>468</v>
      </c>
      <c r="B4" t="s">
        <v>472</v>
      </c>
      <c r="C4">
        <v>8</v>
      </c>
      <c r="D4">
        <v>6900</v>
      </c>
      <c r="E4">
        <v>5765</v>
      </c>
      <c r="F4">
        <v>1</v>
      </c>
      <c r="G4">
        <v>69180</v>
      </c>
      <c r="H4">
        <v>0.33</v>
      </c>
      <c r="I4" t="s">
        <v>470</v>
      </c>
      <c r="J4" s="4">
        <v>22829.4</v>
      </c>
    </row>
    <row r="5" spans="1:10" ht="25">
      <c r="A5" s="1" t="s">
        <v>468</v>
      </c>
      <c r="B5" s="433" t="s">
        <v>473</v>
      </c>
      <c r="C5">
        <v>12</v>
      </c>
      <c r="D5">
        <v>5250</v>
      </c>
      <c r="E5" s="434">
        <v>8835</v>
      </c>
      <c r="F5">
        <v>2</v>
      </c>
      <c r="G5">
        <v>212040</v>
      </c>
      <c r="H5">
        <v>0.33</v>
      </c>
      <c r="I5" t="s">
        <v>470</v>
      </c>
      <c r="J5" s="4">
        <v>69973.2</v>
      </c>
    </row>
    <row r="6" spans="1:10">
      <c r="A6" s="1" t="s">
        <v>468</v>
      </c>
      <c r="B6" t="s">
        <v>474</v>
      </c>
      <c r="C6">
        <v>15</v>
      </c>
      <c r="D6">
        <v>1750</v>
      </c>
      <c r="E6">
        <v>639</v>
      </c>
      <c r="F6">
        <v>1</v>
      </c>
      <c r="G6">
        <v>7668</v>
      </c>
      <c r="H6">
        <v>0.33</v>
      </c>
      <c r="I6" t="s">
        <v>470</v>
      </c>
      <c r="J6" s="4">
        <v>2530.44</v>
      </c>
    </row>
    <row r="7" spans="1:10">
      <c r="A7" s="1" t="s">
        <v>468</v>
      </c>
      <c r="B7" t="s">
        <v>475</v>
      </c>
      <c r="C7">
        <v>16</v>
      </c>
      <c r="D7">
        <v>7000</v>
      </c>
      <c r="E7" s="435">
        <v>2500</v>
      </c>
      <c r="F7">
        <v>1</v>
      </c>
      <c r="G7">
        <v>30000</v>
      </c>
      <c r="H7">
        <v>0.33</v>
      </c>
      <c r="I7" t="s">
        <v>470</v>
      </c>
      <c r="J7" s="4">
        <v>9900</v>
      </c>
    </row>
    <row r="8" spans="1:10">
      <c r="A8" s="1" t="s">
        <v>468</v>
      </c>
      <c r="B8" t="s">
        <v>476</v>
      </c>
      <c r="C8">
        <v>25</v>
      </c>
      <c r="D8">
        <v>7070</v>
      </c>
      <c r="E8">
        <v>6470</v>
      </c>
      <c r="F8">
        <v>2</v>
      </c>
      <c r="G8">
        <v>155280</v>
      </c>
      <c r="H8">
        <v>0.33</v>
      </c>
      <c r="I8" t="s">
        <v>470</v>
      </c>
      <c r="J8" s="4">
        <v>51242.400000000001</v>
      </c>
    </row>
    <row r="9" spans="1:10" ht="13">
      <c r="A9" s="802" t="s">
        <v>477</v>
      </c>
      <c r="B9" s="803"/>
      <c r="C9" s="803"/>
      <c r="D9" s="803"/>
      <c r="E9" s="803"/>
      <c r="F9" s="803"/>
      <c r="G9" s="803"/>
      <c r="H9" s="803"/>
      <c r="I9" s="803"/>
      <c r="J9" s="804">
        <f>SUM(J2:J8)</f>
        <v>181914.48</v>
      </c>
    </row>
    <row r="10" spans="1:10" ht="25">
      <c r="A10" s="1" t="s">
        <v>478</v>
      </c>
      <c r="B10" s="433" t="s">
        <v>479</v>
      </c>
      <c r="C10">
        <v>26</v>
      </c>
      <c r="D10">
        <v>24808</v>
      </c>
      <c r="E10" s="434">
        <v>23039</v>
      </c>
      <c r="F10">
        <v>2</v>
      </c>
      <c r="G10">
        <v>552936</v>
      </c>
      <c r="H10">
        <v>0.33</v>
      </c>
      <c r="I10" t="s">
        <v>470</v>
      </c>
      <c r="J10" s="4">
        <v>182468.88</v>
      </c>
    </row>
    <row r="11" spans="1:10" ht="25">
      <c r="A11" s="1" t="s">
        <v>478</v>
      </c>
      <c r="B11" s="433" t="s">
        <v>480</v>
      </c>
      <c r="C11">
        <v>29</v>
      </c>
      <c r="D11">
        <v>3500</v>
      </c>
      <c r="E11" s="435">
        <v>2044</v>
      </c>
      <c r="F11">
        <v>2</v>
      </c>
      <c r="G11">
        <v>49056</v>
      </c>
      <c r="H11">
        <v>0.33</v>
      </c>
      <c r="I11" t="s">
        <v>470</v>
      </c>
      <c r="J11" s="4">
        <v>16188.48</v>
      </c>
    </row>
    <row r="12" spans="1:10">
      <c r="A12" s="1" t="s">
        <v>478</v>
      </c>
      <c r="B12" t="s">
        <v>481</v>
      </c>
      <c r="C12">
        <v>31</v>
      </c>
      <c r="D12">
        <v>5250</v>
      </c>
      <c r="E12">
        <v>1421</v>
      </c>
      <c r="F12">
        <v>2</v>
      </c>
      <c r="G12">
        <v>34104</v>
      </c>
      <c r="H12">
        <v>0.33</v>
      </c>
      <c r="I12" t="s">
        <v>470</v>
      </c>
      <c r="J12" s="4">
        <v>11254.32</v>
      </c>
    </row>
    <row r="13" spans="1:10">
      <c r="A13" s="1" t="s">
        <v>478</v>
      </c>
      <c r="B13" t="s">
        <v>482</v>
      </c>
      <c r="C13">
        <v>37</v>
      </c>
      <c r="D13">
        <v>10570</v>
      </c>
      <c r="E13">
        <v>7992</v>
      </c>
      <c r="F13">
        <v>1</v>
      </c>
      <c r="G13">
        <v>95904</v>
      </c>
      <c r="H13">
        <v>0.33</v>
      </c>
      <c r="I13" t="s">
        <v>470</v>
      </c>
      <c r="J13" s="4">
        <v>31648.32</v>
      </c>
    </row>
    <row r="14" spans="1:10">
      <c r="A14" s="1" t="s">
        <v>478</v>
      </c>
      <c r="B14" t="s">
        <v>483</v>
      </c>
      <c r="C14">
        <v>40</v>
      </c>
      <c r="D14">
        <v>35000</v>
      </c>
      <c r="E14">
        <v>9454</v>
      </c>
      <c r="F14">
        <v>2</v>
      </c>
      <c r="G14">
        <v>226896</v>
      </c>
      <c r="H14">
        <v>0.33</v>
      </c>
      <c r="I14" t="s">
        <v>470</v>
      </c>
      <c r="J14" s="4">
        <v>74875.679999999993</v>
      </c>
    </row>
    <row r="15" spans="1:10" ht="13" thickBot="1">
      <c r="A15" s="1" t="s">
        <v>478</v>
      </c>
      <c r="B15" t="s">
        <v>484</v>
      </c>
      <c r="C15">
        <v>41</v>
      </c>
      <c r="D15">
        <v>15750</v>
      </c>
      <c r="E15">
        <v>15270</v>
      </c>
      <c r="F15">
        <v>1</v>
      </c>
      <c r="G15">
        <v>183240</v>
      </c>
      <c r="H15">
        <v>0.33</v>
      </c>
      <c r="I15" t="s">
        <v>470</v>
      </c>
      <c r="J15" s="4">
        <v>60469.2</v>
      </c>
    </row>
    <row r="16" spans="1:10" ht="13.5" thickBot="1">
      <c r="A16" s="802" t="s">
        <v>485</v>
      </c>
      <c r="B16" s="803"/>
      <c r="C16" s="803"/>
      <c r="D16" s="803"/>
      <c r="E16" s="803"/>
      <c r="F16" s="803"/>
      <c r="G16" s="803"/>
      <c r="H16" s="803"/>
      <c r="I16" s="803"/>
      <c r="J16" s="804">
        <f>SUM(J3:J15)</f>
        <v>729582.47999999975</v>
      </c>
    </row>
    <row r="17" spans="1:10">
      <c r="A17" s="1" t="s">
        <v>486</v>
      </c>
      <c r="B17" t="s">
        <v>487</v>
      </c>
      <c r="C17">
        <v>42</v>
      </c>
      <c r="D17">
        <v>15293</v>
      </c>
      <c r="E17">
        <v>10174</v>
      </c>
      <c r="F17">
        <v>2</v>
      </c>
      <c r="G17">
        <v>244176</v>
      </c>
      <c r="H17">
        <v>0.33</v>
      </c>
      <c r="I17" t="s">
        <v>470</v>
      </c>
      <c r="J17" s="4">
        <v>80578.080000000002</v>
      </c>
    </row>
    <row r="18" spans="1:10">
      <c r="A18" s="1" t="s">
        <v>486</v>
      </c>
      <c r="B18" t="s">
        <v>488</v>
      </c>
      <c r="C18">
        <v>45</v>
      </c>
      <c r="D18">
        <v>51644</v>
      </c>
      <c r="E18">
        <v>46169</v>
      </c>
      <c r="F18">
        <v>2</v>
      </c>
      <c r="G18">
        <v>1108056</v>
      </c>
      <c r="H18">
        <v>0.33</v>
      </c>
      <c r="I18" t="s">
        <v>470</v>
      </c>
      <c r="J18" s="4">
        <v>365658.48</v>
      </c>
    </row>
    <row r="19" spans="1:10">
      <c r="A19" s="1" t="s">
        <v>486</v>
      </c>
      <c r="B19" t="s">
        <v>489</v>
      </c>
      <c r="C19">
        <v>46</v>
      </c>
      <c r="D19">
        <v>18455</v>
      </c>
      <c r="E19">
        <v>7780</v>
      </c>
      <c r="F19">
        <v>1</v>
      </c>
      <c r="G19">
        <v>93360</v>
      </c>
      <c r="H19">
        <v>0.33</v>
      </c>
      <c r="I19" t="s">
        <v>470</v>
      </c>
      <c r="J19" s="4">
        <v>30808.799999999999</v>
      </c>
    </row>
    <row r="20" spans="1:10">
      <c r="A20" s="1" t="s">
        <v>486</v>
      </c>
      <c r="B20" t="s">
        <v>490</v>
      </c>
      <c r="C20">
        <v>47</v>
      </c>
      <c r="D20">
        <v>7150</v>
      </c>
      <c r="E20" s="435">
        <v>7020</v>
      </c>
      <c r="F20">
        <v>1</v>
      </c>
      <c r="G20">
        <v>84240</v>
      </c>
      <c r="H20">
        <v>0.33</v>
      </c>
      <c r="I20" t="s">
        <v>470</v>
      </c>
      <c r="J20" s="4">
        <v>27799.200000000001</v>
      </c>
    </row>
    <row r="21" spans="1:10" ht="25">
      <c r="A21" s="1" t="s">
        <v>486</v>
      </c>
      <c r="B21" s="433" t="s">
        <v>491</v>
      </c>
      <c r="C21">
        <v>49</v>
      </c>
      <c r="D21">
        <v>7135</v>
      </c>
      <c r="E21">
        <v>3000</v>
      </c>
      <c r="F21">
        <v>1</v>
      </c>
      <c r="G21">
        <v>36000</v>
      </c>
      <c r="H21">
        <v>0.33</v>
      </c>
      <c r="I21" t="s">
        <v>470</v>
      </c>
      <c r="J21" s="4">
        <v>11880</v>
      </c>
    </row>
    <row r="22" spans="1:10" ht="25">
      <c r="A22" s="1" t="s">
        <v>486</v>
      </c>
      <c r="B22" s="433" t="s">
        <v>492</v>
      </c>
      <c r="C22">
        <v>50</v>
      </c>
      <c r="D22">
        <v>7135</v>
      </c>
      <c r="E22">
        <v>7000</v>
      </c>
      <c r="F22">
        <v>1</v>
      </c>
      <c r="G22">
        <v>84000</v>
      </c>
      <c r="H22">
        <v>0.33</v>
      </c>
      <c r="I22" t="s">
        <v>470</v>
      </c>
      <c r="J22" s="4">
        <v>27720</v>
      </c>
    </row>
    <row r="23" spans="1:10" ht="13">
      <c r="A23" s="802" t="s">
        <v>493</v>
      </c>
      <c r="B23" s="803"/>
      <c r="C23" s="803"/>
      <c r="D23" s="803"/>
      <c r="E23" s="803"/>
      <c r="F23" s="803"/>
      <c r="G23" s="803"/>
      <c r="H23" s="803"/>
      <c r="I23" s="803"/>
      <c r="J23" s="804">
        <f>SUM(J10:J22)</f>
        <v>1650931.92</v>
      </c>
    </row>
    <row r="24" spans="1:10">
      <c r="A24" s="1" t="s">
        <v>494</v>
      </c>
      <c r="B24" t="s">
        <v>495</v>
      </c>
      <c r="C24">
        <v>4</v>
      </c>
      <c r="D24">
        <v>36753</v>
      </c>
      <c r="E24" s="435">
        <v>21199</v>
      </c>
      <c r="F24">
        <v>2</v>
      </c>
      <c r="G24">
        <v>508776</v>
      </c>
      <c r="H24">
        <v>0.33</v>
      </c>
      <c r="I24" t="s">
        <v>470</v>
      </c>
      <c r="J24" s="4">
        <v>167896.08</v>
      </c>
    </row>
    <row r="25" spans="1:10">
      <c r="A25" s="1" t="s">
        <v>494</v>
      </c>
      <c r="B25" t="s">
        <v>496</v>
      </c>
      <c r="C25">
        <v>7</v>
      </c>
      <c r="D25">
        <v>4688</v>
      </c>
      <c r="E25" s="435">
        <v>3294</v>
      </c>
      <c r="F25">
        <v>1</v>
      </c>
      <c r="G25">
        <v>39528</v>
      </c>
      <c r="H25">
        <v>0.33</v>
      </c>
      <c r="I25" t="s">
        <v>470</v>
      </c>
      <c r="J25" s="4">
        <v>13044.24</v>
      </c>
    </row>
    <row r="26" spans="1:10">
      <c r="A26" s="1" t="s">
        <v>494</v>
      </c>
      <c r="B26" t="s">
        <v>497</v>
      </c>
      <c r="C26">
        <v>16</v>
      </c>
      <c r="D26">
        <v>52250</v>
      </c>
      <c r="E26" s="435">
        <v>72978</v>
      </c>
      <c r="F26">
        <v>2</v>
      </c>
      <c r="G26">
        <v>1751472</v>
      </c>
      <c r="H26">
        <v>0.33</v>
      </c>
      <c r="I26" t="s">
        <v>470</v>
      </c>
      <c r="J26" s="4">
        <v>577985.76</v>
      </c>
    </row>
    <row r="27" spans="1:10" ht="13">
      <c r="A27" s="802" t="s">
        <v>498</v>
      </c>
      <c r="B27" s="803"/>
      <c r="C27" s="803"/>
      <c r="D27" s="803"/>
      <c r="E27" s="803"/>
      <c r="F27" s="803"/>
      <c r="G27" s="803"/>
      <c r="H27" s="803"/>
      <c r="I27" s="803"/>
      <c r="J27" s="804">
        <f>SUM(J24:J26)</f>
        <v>758926.08</v>
      </c>
    </row>
    <row r="28" spans="1:10">
      <c r="A28" s="1" t="s">
        <v>499</v>
      </c>
      <c r="B28" t="s">
        <v>500</v>
      </c>
      <c r="C28">
        <v>17</v>
      </c>
      <c r="D28">
        <v>14000</v>
      </c>
      <c r="E28">
        <v>1350</v>
      </c>
      <c r="F28">
        <v>2</v>
      </c>
      <c r="G28">
        <v>32400</v>
      </c>
      <c r="H28">
        <v>0.33</v>
      </c>
      <c r="I28" t="s">
        <v>470</v>
      </c>
      <c r="J28" s="4">
        <v>10692</v>
      </c>
    </row>
    <row r="29" spans="1:10">
      <c r="A29" s="1" t="s">
        <v>499</v>
      </c>
      <c r="B29" t="s">
        <v>501</v>
      </c>
      <c r="C29">
        <v>19</v>
      </c>
      <c r="D29">
        <v>7000</v>
      </c>
      <c r="E29" s="435">
        <v>2164</v>
      </c>
      <c r="F29">
        <v>1</v>
      </c>
      <c r="G29">
        <v>25968</v>
      </c>
      <c r="H29">
        <v>0.33</v>
      </c>
      <c r="I29" t="s">
        <v>470</v>
      </c>
      <c r="J29" s="4">
        <v>8569.44</v>
      </c>
    </row>
    <row r="30" spans="1:10">
      <c r="A30" s="1" t="s">
        <v>499</v>
      </c>
      <c r="B30" t="s">
        <v>502</v>
      </c>
      <c r="C30">
        <v>20</v>
      </c>
      <c r="D30">
        <v>7000</v>
      </c>
      <c r="E30">
        <v>982</v>
      </c>
      <c r="F30">
        <v>1</v>
      </c>
      <c r="G30">
        <v>11784</v>
      </c>
      <c r="H30">
        <v>0.33</v>
      </c>
      <c r="I30" t="s">
        <v>470</v>
      </c>
      <c r="J30" s="4">
        <v>3888.72</v>
      </c>
    </row>
    <row r="31" spans="1:10" ht="25">
      <c r="A31" s="1" t="s">
        <v>499</v>
      </c>
      <c r="B31" s="433" t="s">
        <v>503</v>
      </c>
      <c r="C31" t="s">
        <v>504</v>
      </c>
      <c r="D31">
        <v>7000</v>
      </c>
      <c r="E31">
        <v>2271</v>
      </c>
      <c r="F31">
        <v>1</v>
      </c>
      <c r="G31">
        <v>27252</v>
      </c>
      <c r="H31">
        <v>0.33</v>
      </c>
      <c r="I31" t="s">
        <v>470</v>
      </c>
      <c r="J31" s="4">
        <v>8993.16</v>
      </c>
    </row>
    <row r="32" spans="1:10" ht="25">
      <c r="A32" s="1" t="s">
        <v>499</v>
      </c>
      <c r="B32" s="433" t="s">
        <v>505</v>
      </c>
      <c r="C32" t="s">
        <v>506</v>
      </c>
      <c r="D32">
        <v>11726</v>
      </c>
      <c r="E32">
        <v>6957</v>
      </c>
      <c r="F32">
        <v>1</v>
      </c>
      <c r="G32">
        <v>83484</v>
      </c>
      <c r="H32">
        <v>0.33</v>
      </c>
      <c r="I32" t="s">
        <v>470</v>
      </c>
      <c r="J32" s="4">
        <v>27549.72</v>
      </c>
    </row>
    <row r="33" spans="1:10">
      <c r="A33" s="1" t="s">
        <v>499</v>
      </c>
      <c r="B33" t="s">
        <v>507</v>
      </c>
      <c r="C33">
        <v>27</v>
      </c>
      <c r="D33">
        <v>2974</v>
      </c>
      <c r="E33">
        <v>220</v>
      </c>
      <c r="F33">
        <v>1</v>
      </c>
      <c r="G33">
        <v>2640</v>
      </c>
      <c r="H33">
        <v>0.33</v>
      </c>
      <c r="I33" t="s">
        <v>470</v>
      </c>
      <c r="J33" s="4">
        <v>871.2</v>
      </c>
    </row>
    <row r="34" spans="1:10">
      <c r="A34" s="1" t="s">
        <v>499</v>
      </c>
      <c r="B34" t="s">
        <v>508</v>
      </c>
      <c r="C34">
        <v>28</v>
      </c>
      <c r="D34">
        <v>4501</v>
      </c>
      <c r="E34">
        <v>761</v>
      </c>
      <c r="F34">
        <v>1</v>
      </c>
      <c r="G34">
        <v>9132</v>
      </c>
      <c r="H34">
        <v>0.33</v>
      </c>
      <c r="I34" t="s">
        <v>470</v>
      </c>
      <c r="J34" s="4">
        <v>3013.56</v>
      </c>
    </row>
    <row r="35" spans="1:10">
      <c r="A35" s="1" t="s">
        <v>499</v>
      </c>
      <c r="B35" t="s">
        <v>509</v>
      </c>
      <c r="C35">
        <v>29</v>
      </c>
      <c r="D35">
        <v>8090</v>
      </c>
      <c r="E35" s="435">
        <v>4998</v>
      </c>
      <c r="F35">
        <v>1</v>
      </c>
      <c r="G35">
        <v>59976</v>
      </c>
      <c r="H35">
        <v>0.33</v>
      </c>
      <c r="I35" t="s">
        <v>470</v>
      </c>
      <c r="J35" s="4">
        <v>19792.080000000002</v>
      </c>
    </row>
    <row r="36" spans="1:10" ht="13" thickBot="1">
      <c r="A36" s="1" t="s">
        <v>499</v>
      </c>
      <c r="B36" t="s">
        <v>510</v>
      </c>
      <c r="C36">
        <v>30</v>
      </c>
      <c r="D36">
        <v>9930</v>
      </c>
      <c r="E36" s="435">
        <v>3076</v>
      </c>
      <c r="F36">
        <v>1</v>
      </c>
      <c r="G36">
        <v>36912</v>
      </c>
      <c r="H36">
        <v>0.33</v>
      </c>
      <c r="I36" t="s">
        <v>470</v>
      </c>
      <c r="J36" s="4">
        <v>12180.96</v>
      </c>
    </row>
    <row r="37" spans="1:10" ht="13.5" thickBot="1">
      <c r="A37" s="802" t="s">
        <v>511</v>
      </c>
      <c r="B37" s="803"/>
      <c r="C37" s="803"/>
      <c r="D37" s="803"/>
      <c r="E37" s="803"/>
      <c r="F37" s="803"/>
      <c r="G37" s="803"/>
      <c r="H37" s="803"/>
      <c r="I37" s="803"/>
      <c r="J37" s="804">
        <f>SUM(J28:J36)</f>
        <v>95550.84</v>
      </c>
    </row>
    <row r="38" spans="1:10" ht="13">
      <c r="A38" s="436"/>
      <c r="B38" s="436"/>
      <c r="C38" s="436"/>
      <c r="D38" s="436"/>
      <c r="E38" s="436"/>
      <c r="F38" s="436"/>
      <c r="G38" s="436"/>
      <c r="H38" s="436"/>
      <c r="I38" s="436"/>
      <c r="J38" s="437"/>
    </row>
    <row r="39" spans="1:10" ht="13">
      <c r="B39" s="422" t="s">
        <v>512</v>
      </c>
      <c r="J39" s="4">
        <f>J37+J27+J23+J9</f>
        <v>2687323.32</v>
      </c>
    </row>
    <row r="40" spans="1:10">
      <c r="J4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B2:L40"/>
  <sheetViews>
    <sheetView topLeftCell="A3" zoomScale="70" zoomScaleNormal="70" workbookViewId="0">
      <selection activeCell="L16" sqref="L16"/>
    </sheetView>
  </sheetViews>
  <sheetFormatPr defaultColWidth="10.81640625" defaultRowHeight="15.5"/>
  <cols>
    <col min="1" max="1" width="10.81640625" style="99"/>
    <col min="2" max="2" width="33.1796875" style="99" bestFit="1" customWidth="1"/>
    <col min="3" max="3" width="36.1796875" style="99" bestFit="1" customWidth="1"/>
    <col min="4" max="4" width="11.453125" style="99" bestFit="1" customWidth="1"/>
    <col min="5" max="5" width="13.1796875" style="99" bestFit="1" customWidth="1"/>
    <col min="6" max="6" width="12.81640625" style="99" bestFit="1" customWidth="1"/>
    <col min="7" max="7" width="16.1796875" style="99" bestFit="1" customWidth="1"/>
    <col min="8" max="8" width="14.81640625" style="99" bestFit="1" customWidth="1"/>
    <col min="9" max="9" width="27.453125" style="99" customWidth="1"/>
    <col min="10" max="10" width="23.453125" style="99" bestFit="1" customWidth="1"/>
    <col min="11" max="11" width="10.81640625" style="99"/>
    <col min="12" max="12" width="11.453125" style="99" bestFit="1" customWidth="1"/>
    <col min="13" max="13" width="12.453125" style="99" bestFit="1" customWidth="1"/>
    <col min="14" max="16" width="10.81640625" style="99"/>
    <col min="17" max="17" width="11.453125" style="99" bestFit="1" customWidth="1"/>
    <col min="18" max="16384" width="10.81640625" style="99"/>
  </cols>
  <sheetData>
    <row r="2" spans="2:10" ht="16" thickBot="1"/>
    <row r="3" spans="2:10" ht="30" customHeight="1">
      <c r="B3" s="540" t="s">
        <v>513</v>
      </c>
      <c r="C3" s="541"/>
      <c r="D3" s="541"/>
      <c r="E3" s="541"/>
      <c r="F3" s="541"/>
      <c r="G3" s="541"/>
      <c r="H3" s="541"/>
      <c r="I3" s="541"/>
      <c r="J3" s="542"/>
    </row>
    <row r="4" spans="2:10">
      <c r="B4" s="197"/>
      <c r="C4" s="207"/>
      <c r="D4" s="207" t="s">
        <v>514</v>
      </c>
      <c r="E4" s="207"/>
      <c r="F4" s="207" t="s">
        <v>15</v>
      </c>
      <c r="G4" s="207" t="s">
        <v>19</v>
      </c>
      <c r="H4" s="207" t="s">
        <v>20</v>
      </c>
      <c r="I4" s="207" t="s">
        <v>21</v>
      </c>
      <c r="J4" s="208" t="s">
        <v>210</v>
      </c>
    </row>
    <row r="5" spans="2:10">
      <c r="B5" s="217" t="s">
        <v>515</v>
      </c>
      <c r="C5" s="207"/>
      <c r="D5" s="207"/>
      <c r="E5" s="207"/>
      <c r="F5" s="207"/>
      <c r="G5" s="207"/>
      <c r="H5" s="207"/>
      <c r="I5" s="207"/>
      <c r="J5" s="208"/>
    </row>
    <row r="6" spans="2:10">
      <c r="B6" s="201" t="s">
        <v>516</v>
      </c>
      <c r="C6" s="222"/>
      <c r="D6" s="223" t="s">
        <v>517</v>
      </c>
      <c r="E6" s="222"/>
      <c r="F6" s="222"/>
      <c r="G6" s="159">
        <f t="shared" ref="G6:I8" si="0">$C27*G27</f>
        <v>3885480</v>
      </c>
      <c r="H6" s="159">
        <f t="shared" si="0"/>
        <v>2746727.9999999995</v>
      </c>
      <c r="I6" s="159">
        <f t="shared" si="0"/>
        <v>1346183.9999999998</v>
      </c>
      <c r="J6" s="218">
        <f>SUM(G6:I6)</f>
        <v>7978392</v>
      </c>
    </row>
    <row r="7" spans="2:10">
      <c r="B7" s="201" t="s">
        <v>518</v>
      </c>
      <c r="C7" s="222"/>
      <c r="D7" s="223" t="s">
        <v>520</v>
      </c>
      <c r="E7" s="222"/>
      <c r="F7" s="222"/>
      <c r="G7" s="159">
        <f t="shared" si="0"/>
        <v>971370</v>
      </c>
      <c r="H7" s="159">
        <f t="shared" si="0"/>
        <v>686681.99999999988</v>
      </c>
      <c r="I7" s="159">
        <f t="shared" si="0"/>
        <v>336545.99999999994</v>
      </c>
      <c r="J7" s="218">
        <f t="shared" ref="J7:J17" si="1">SUM(G7:I7)</f>
        <v>1994598</v>
      </c>
    </row>
    <row r="8" spans="2:10">
      <c r="B8" s="201" t="s">
        <v>519</v>
      </c>
      <c r="C8" s="222"/>
      <c r="D8" s="223" t="s">
        <v>520</v>
      </c>
      <c r="E8" s="222"/>
      <c r="F8" s="222"/>
      <c r="G8" s="159">
        <f t="shared" si="0"/>
        <v>284230</v>
      </c>
      <c r="H8" s="159">
        <f t="shared" si="0"/>
        <v>190745</v>
      </c>
      <c r="I8" s="159">
        <f t="shared" si="0"/>
        <v>93485</v>
      </c>
      <c r="J8" s="218">
        <f t="shared" si="1"/>
        <v>568460</v>
      </c>
    </row>
    <row r="9" spans="2:10">
      <c r="B9" s="202" t="s">
        <v>521</v>
      </c>
      <c r="C9" s="222"/>
      <c r="D9" s="223"/>
      <c r="E9" s="222"/>
      <c r="F9" s="222"/>
      <c r="G9" s="159"/>
      <c r="H9" s="159"/>
      <c r="I9" s="159"/>
      <c r="J9" s="218">
        <f t="shared" si="1"/>
        <v>0</v>
      </c>
    </row>
    <row r="10" spans="2:10">
      <c r="B10" s="201" t="s">
        <v>522</v>
      </c>
      <c r="C10" s="222"/>
      <c r="D10" s="223" t="s">
        <v>517</v>
      </c>
      <c r="E10" s="222"/>
      <c r="F10" s="222"/>
      <c r="G10" s="159">
        <f>$C31*G31</f>
        <v>4322000</v>
      </c>
      <c r="H10" s="159">
        <f>$C31*H31</f>
        <v>2477200</v>
      </c>
      <c r="I10" s="159">
        <f>$C31*I31</f>
        <v>0</v>
      </c>
      <c r="J10" s="218">
        <f t="shared" si="1"/>
        <v>6799200</v>
      </c>
    </row>
    <row r="11" spans="2:10">
      <c r="B11" s="201" t="s">
        <v>523</v>
      </c>
      <c r="C11" s="222"/>
      <c r="D11" s="223"/>
      <c r="E11" s="222"/>
      <c r="F11" s="222"/>
      <c r="G11" s="159"/>
      <c r="H11" s="159"/>
      <c r="I11" s="159"/>
      <c r="J11" s="218">
        <f t="shared" si="1"/>
        <v>0</v>
      </c>
    </row>
    <row r="12" spans="2:10">
      <c r="B12" s="203" t="s">
        <v>524</v>
      </c>
      <c r="C12" s="222"/>
      <c r="D12" s="223" t="s">
        <v>520</v>
      </c>
      <c r="E12" s="222"/>
      <c r="F12" s="222"/>
      <c r="G12" s="159">
        <f t="shared" ref="G12:I12" si="2">$C33*G33</f>
        <v>0</v>
      </c>
      <c r="H12" s="159">
        <f t="shared" si="2"/>
        <v>0</v>
      </c>
      <c r="I12" s="159">
        <f t="shared" si="2"/>
        <v>0</v>
      </c>
      <c r="J12" s="218">
        <f t="shared" si="1"/>
        <v>0</v>
      </c>
    </row>
    <row r="13" spans="2:10">
      <c r="B13" s="203" t="s">
        <v>525</v>
      </c>
      <c r="C13" s="222"/>
      <c r="D13" s="223" t="s">
        <v>520</v>
      </c>
      <c r="E13" s="222"/>
      <c r="F13" s="222"/>
      <c r="G13" s="159">
        <f t="shared" ref="G13:I13" si="3">$C34*G34</f>
        <v>0</v>
      </c>
      <c r="H13" s="159">
        <f t="shared" si="3"/>
        <v>0</v>
      </c>
      <c r="I13" s="159">
        <f t="shared" si="3"/>
        <v>0</v>
      </c>
      <c r="J13" s="218">
        <f t="shared" si="1"/>
        <v>0</v>
      </c>
    </row>
    <row r="14" spans="2:10">
      <c r="B14" s="203" t="s">
        <v>526</v>
      </c>
      <c r="C14" s="222"/>
      <c r="D14" s="223" t="s">
        <v>520</v>
      </c>
      <c r="E14" s="222"/>
      <c r="F14" s="222"/>
      <c r="G14" s="159">
        <f t="shared" ref="G14:I14" si="4">$C35*G35</f>
        <v>0</v>
      </c>
      <c r="H14" s="159">
        <f t="shared" si="4"/>
        <v>0</v>
      </c>
      <c r="I14" s="159">
        <f t="shared" si="4"/>
        <v>0</v>
      </c>
      <c r="J14" s="218">
        <f t="shared" si="1"/>
        <v>0</v>
      </c>
    </row>
    <row r="15" spans="2:10">
      <c r="B15" s="202" t="s">
        <v>527</v>
      </c>
      <c r="C15" s="222"/>
      <c r="D15" s="223" t="s">
        <v>520</v>
      </c>
      <c r="E15" s="222"/>
      <c r="F15" s="222"/>
      <c r="G15" s="159">
        <f>C36*G36</f>
        <v>1035000</v>
      </c>
      <c r="H15" s="159"/>
      <c r="I15" s="159"/>
      <c r="J15" s="218">
        <f t="shared" si="1"/>
        <v>1035000</v>
      </c>
    </row>
    <row r="16" spans="2:10">
      <c r="B16" s="202" t="s">
        <v>406</v>
      </c>
      <c r="C16" s="222"/>
      <c r="D16" s="223" t="s">
        <v>520</v>
      </c>
      <c r="E16" s="222"/>
      <c r="F16" s="222"/>
      <c r="G16" s="159">
        <f>C37*G37</f>
        <v>55000000</v>
      </c>
      <c r="H16" s="159">
        <f>$C37*H37</f>
        <v>0</v>
      </c>
      <c r="I16" s="159">
        <f>$C37*I37</f>
        <v>0</v>
      </c>
      <c r="J16" s="218">
        <f t="shared" si="1"/>
        <v>55000000</v>
      </c>
    </row>
    <row r="17" spans="2:12">
      <c r="B17" s="787" t="s">
        <v>528</v>
      </c>
      <c r="C17" s="788"/>
      <c r="D17" s="788" t="s">
        <v>517</v>
      </c>
      <c r="E17" s="788"/>
      <c r="F17" s="788"/>
      <c r="G17" s="789">
        <f>C38</f>
        <v>2000000</v>
      </c>
      <c r="H17" s="789">
        <v>1000000</v>
      </c>
      <c r="I17" s="789">
        <v>500000</v>
      </c>
      <c r="J17" s="218">
        <f t="shared" si="1"/>
        <v>3500000</v>
      </c>
    </row>
    <row r="18" spans="2:12">
      <c r="B18" s="202" t="s">
        <v>529</v>
      </c>
      <c r="C18" s="222"/>
      <c r="D18" s="223" t="s">
        <v>517</v>
      </c>
      <c r="E18" s="222"/>
      <c r="F18" s="222"/>
      <c r="G18" s="159">
        <v>250000</v>
      </c>
      <c r="H18" s="159">
        <v>200000</v>
      </c>
      <c r="I18" s="159">
        <v>50000</v>
      </c>
      <c r="J18" s="221">
        <f>SUM(G18:I18)</f>
        <v>500000</v>
      </c>
    </row>
    <row r="19" spans="2:12">
      <c r="B19" s="204" t="s">
        <v>530</v>
      </c>
      <c r="C19" s="198"/>
      <c r="D19" s="198" t="s">
        <v>517</v>
      </c>
      <c r="E19" s="198"/>
      <c r="F19" s="198"/>
      <c r="G19" s="219">
        <f>SUMIF($D$6:$D$18,"="&amp;$D19,G$6:G$18)</f>
        <v>10457480</v>
      </c>
      <c r="H19" s="219">
        <f>SUMIF($D$6:$D$18,"="&amp;$D19,H$6:H$18)</f>
        <v>6423928</v>
      </c>
      <c r="I19" s="219">
        <f t="shared" ref="I19:J19" si="5">SUMIF($D$6:$D$18,"="&amp;$D19,I$6:I$18)</f>
        <v>1896183.9999999998</v>
      </c>
      <c r="J19" s="219">
        <f t="shared" si="5"/>
        <v>18777592</v>
      </c>
    </row>
    <row r="20" spans="2:12">
      <c r="B20" s="205" t="s">
        <v>531</v>
      </c>
      <c r="C20" s="199"/>
      <c r="D20" s="199" t="s">
        <v>520</v>
      </c>
      <c r="E20" s="199"/>
      <c r="F20" s="199"/>
      <c r="G20" s="220">
        <f>SUMIF($D$6:$D$18,"="&amp;$D20,G$6:G$18)</f>
        <v>57290600</v>
      </c>
      <c r="H20" s="220">
        <f t="shared" ref="H20:J20" si="6">SUMIF($D$6:$D$18,"="&amp;$D20,H$6:H$18)</f>
        <v>877426.99999999988</v>
      </c>
      <c r="I20" s="220">
        <f t="shared" si="6"/>
        <v>430030.99999999994</v>
      </c>
      <c r="J20" s="220">
        <f t="shared" si="6"/>
        <v>58598058</v>
      </c>
    </row>
    <row r="21" spans="2:12" ht="16" thickBot="1">
      <c r="B21" s="206" t="s">
        <v>210</v>
      </c>
      <c r="C21" s="200"/>
      <c r="D21" s="200"/>
      <c r="E21" s="200"/>
      <c r="F21" s="200"/>
      <c r="G21" s="877">
        <f>SUM(G19:G20)</f>
        <v>67748080</v>
      </c>
      <c r="H21" s="877">
        <f t="shared" ref="H21:J21" si="7">SUM(H19:H20)</f>
        <v>7301355</v>
      </c>
      <c r="I21" s="877">
        <f t="shared" si="7"/>
        <v>2326214.9999999995</v>
      </c>
      <c r="J21" s="877">
        <f t="shared" si="7"/>
        <v>77375650</v>
      </c>
      <c r="K21" s="209"/>
    </row>
    <row r="22" spans="2:12">
      <c r="B22" s="210"/>
      <c r="C22" s="196"/>
      <c r="D22" s="196"/>
      <c r="E22" s="196"/>
      <c r="F22" s="196"/>
      <c r="G22" s="211"/>
      <c r="H22" s="211"/>
      <c r="I22" s="211"/>
      <c r="J22" s="211"/>
      <c r="K22" s="209"/>
    </row>
    <row r="23" spans="2:12" ht="16" thickBot="1">
      <c r="G23" s="212"/>
      <c r="H23" s="213"/>
    </row>
    <row r="24" spans="2:12">
      <c r="B24" s="540" t="s">
        <v>532</v>
      </c>
      <c r="C24" s="541"/>
      <c r="D24" s="541"/>
      <c r="E24" s="541"/>
      <c r="F24" s="541"/>
      <c r="G24" s="541"/>
      <c r="H24" s="541"/>
      <c r="I24" s="541"/>
      <c r="J24" s="542"/>
    </row>
    <row r="25" spans="2:12">
      <c r="B25" s="202"/>
      <c r="C25" s="207" t="s">
        <v>533</v>
      </c>
      <c r="D25" s="207" t="s">
        <v>53</v>
      </c>
      <c r="E25" s="207"/>
      <c r="F25" s="207" t="s">
        <v>15</v>
      </c>
      <c r="G25" s="207" t="s">
        <v>19</v>
      </c>
      <c r="H25" s="207" t="s">
        <v>20</v>
      </c>
      <c r="I25" s="207" t="s">
        <v>21</v>
      </c>
      <c r="J25" s="208" t="s">
        <v>210</v>
      </c>
    </row>
    <row r="26" spans="2:12">
      <c r="B26" s="202" t="s">
        <v>534</v>
      </c>
      <c r="C26" s="207"/>
      <c r="D26" s="207"/>
      <c r="E26" s="207"/>
      <c r="F26" s="207"/>
      <c r="G26" s="207"/>
      <c r="H26" s="207"/>
      <c r="I26" s="207"/>
      <c r="J26" s="208"/>
      <c r="K26" s="195"/>
    </row>
    <row r="27" spans="2:12">
      <c r="B27" s="201" t="s">
        <v>516</v>
      </c>
      <c r="C27" s="798">
        <f>30*4</f>
        <v>120</v>
      </c>
      <c r="D27" s="223" t="s">
        <v>404</v>
      </c>
      <c r="E27" s="223"/>
      <c r="F27" s="223"/>
      <c r="G27" s="799">
        <f>53965*0.6</f>
        <v>32379</v>
      </c>
      <c r="H27" s="799">
        <f>38149*0.6</f>
        <v>22889.399999999998</v>
      </c>
      <c r="I27" s="799">
        <f>18697*0.6</f>
        <v>11218.199999999999</v>
      </c>
      <c r="J27" s="228">
        <f>SUM(G27:I27)</f>
        <v>66486.599999999991</v>
      </c>
      <c r="K27" s="214"/>
    </row>
    <row r="28" spans="2:12">
      <c r="B28" s="201" t="s">
        <v>518</v>
      </c>
      <c r="C28" s="798">
        <v>60</v>
      </c>
      <c r="D28" s="223" t="s">
        <v>404</v>
      </c>
      <c r="E28" s="223"/>
      <c r="F28" s="223"/>
      <c r="G28" s="799">
        <f>53965*0.3</f>
        <v>16189.5</v>
      </c>
      <c r="H28" s="799">
        <f>38149*0.3</f>
        <v>11444.699999999999</v>
      </c>
      <c r="I28" s="799">
        <f>18697*0.3</f>
        <v>5609.0999999999995</v>
      </c>
      <c r="J28" s="228">
        <f>SUM(G28:I28)</f>
        <v>33243.299999999996</v>
      </c>
      <c r="K28" s="214"/>
      <c r="L28" s="231"/>
    </row>
    <row r="29" spans="2:12">
      <c r="B29" s="201" t="s">
        <v>519</v>
      </c>
      <c r="C29" s="798">
        <v>50</v>
      </c>
      <c r="D29" s="223" t="s">
        <v>404</v>
      </c>
      <c r="E29" s="223"/>
      <c r="F29" s="223"/>
      <c r="G29" s="799">
        <f>+H29+I29</f>
        <v>5684.6</v>
      </c>
      <c r="H29" s="799">
        <f>38149*0.1</f>
        <v>3814.9</v>
      </c>
      <c r="I29" s="799">
        <f>18697*0.1</f>
        <v>1869.7</v>
      </c>
      <c r="J29" s="228">
        <f>SUM(G29:I29)</f>
        <v>11369.2</v>
      </c>
      <c r="K29" s="214"/>
      <c r="L29" s="231"/>
    </row>
    <row r="30" spans="2:12">
      <c r="B30" s="202" t="s">
        <v>535</v>
      </c>
      <c r="C30" s="798"/>
      <c r="D30" s="223"/>
      <c r="E30" s="223"/>
      <c r="F30" s="223"/>
      <c r="G30" s="223"/>
      <c r="H30" s="223"/>
      <c r="I30" s="223"/>
      <c r="J30" s="229"/>
      <c r="K30" s="215"/>
    </row>
    <row r="31" spans="2:12">
      <c r="B31" s="201" t="s">
        <v>522</v>
      </c>
      <c r="C31" s="798">
        <v>200</v>
      </c>
      <c r="D31" s="223" t="s">
        <v>404</v>
      </c>
      <c r="E31" s="223"/>
      <c r="F31" s="223"/>
      <c r="G31" s="878">
        <v>21610</v>
      </c>
      <c r="H31" s="878">
        <v>12386</v>
      </c>
      <c r="I31" s="878">
        <v>0</v>
      </c>
      <c r="J31" s="228">
        <f>SUM(G31:I31)</f>
        <v>33996</v>
      </c>
      <c r="K31" s="214"/>
    </row>
    <row r="32" spans="2:12">
      <c r="B32" s="201" t="s">
        <v>523</v>
      </c>
      <c r="C32" s="798"/>
      <c r="D32" s="223"/>
      <c r="E32" s="223"/>
      <c r="F32" s="223"/>
      <c r="G32" s="799"/>
      <c r="H32" s="799"/>
      <c r="I32" s="799"/>
      <c r="J32" s="228"/>
      <c r="K32" s="214"/>
    </row>
    <row r="33" spans="2:12">
      <c r="B33" s="203" t="s">
        <v>524</v>
      </c>
      <c r="C33" s="798">
        <v>150</v>
      </c>
      <c r="D33" s="223" t="s">
        <v>404</v>
      </c>
      <c r="E33" s="223"/>
      <c r="F33" s="223"/>
      <c r="G33" s="799">
        <v>0</v>
      </c>
      <c r="H33" s="799">
        <v>0</v>
      </c>
      <c r="I33" s="799">
        <v>0</v>
      </c>
      <c r="J33" s="228">
        <f t="shared" ref="J33:J37" si="8">SUM(G33:I33)</f>
        <v>0</v>
      </c>
      <c r="K33" s="214"/>
    </row>
    <row r="34" spans="2:12">
      <c r="B34" s="203" t="s">
        <v>525</v>
      </c>
      <c r="C34" s="798">
        <v>125</v>
      </c>
      <c r="D34" s="223" t="s">
        <v>404</v>
      </c>
      <c r="E34" s="223"/>
      <c r="F34" s="223"/>
      <c r="G34" s="799">
        <v>0</v>
      </c>
      <c r="H34" s="799">
        <v>0</v>
      </c>
      <c r="I34" s="799">
        <v>0</v>
      </c>
      <c r="J34" s="228">
        <f t="shared" si="8"/>
        <v>0</v>
      </c>
      <c r="K34" s="214"/>
    </row>
    <row r="35" spans="2:12">
      <c r="B35" s="203" t="s">
        <v>526</v>
      </c>
      <c r="C35" s="798">
        <v>100</v>
      </c>
      <c r="D35" s="223" t="s">
        <v>404</v>
      </c>
      <c r="E35" s="223"/>
      <c r="F35" s="223"/>
      <c r="G35" s="799">
        <v>0</v>
      </c>
      <c r="H35" s="799">
        <v>0</v>
      </c>
      <c r="I35" s="799">
        <v>0</v>
      </c>
      <c r="J35" s="228">
        <f t="shared" si="8"/>
        <v>0</v>
      </c>
      <c r="K35" s="214"/>
    </row>
    <row r="36" spans="2:12">
      <c r="B36" s="202" t="s">
        <v>527</v>
      </c>
      <c r="C36" s="798">
        <v>3000</v>
      </c>
      <c r="D36" s="223" t="s">
        <v>536</v>
      </c>
      <c r="E36" s="223"/>
      <c r="F36" s="223"/>
      <c r="G36" s="799">
        <v>345</v>
      </c>
      <c r="H36" s="799">
        <v>0</v>
      </c>
      <c r="I36" s="799">
        <v>0</v>
      </c>
      <c r="J36" s="228"/>
      <c r="K36" s="214"/>
    </row>
    <row r="37" spans="2:12" ht="15.65" customHeight="1">
      <c r="B37" s="202" t="s">
        <v>537</v>
      </c>
      <c r="C37" s="798">
        <v>55000000</v>
      </c>
      <c r="D37" s="223"/>
      <c r="E37" s="223"/>
      <c r="F37" s="223"/>
      <c r="G37" s="223">
        <v>1</v>
      </c>
      <c r="H37" s="223">
        <v>0</v>
      </c>
      <c r="I37" s="223">
        <v>0</v>
      </c>
      <c r="J37" s="229">
        <f t="shared" si="8"/>
        <v>1</v>
      </c>
      <c r="K37" s="215"/>
    </row>
    <row r="38" spans="2:12">
      <c r="B38" s="202" t="s">
        <v>528</v>
      </c>
      <c r="C38" s="798">
        <v>2000000</v>
      </c>
      <c r="D38" s="223" t="s">
        <v>538</v>
      </c>
      <c r="E38" s="223"/>
      <c r="F38" s="223"/>
      <c r="G38" s="223">
        <v>1</v>
      </c>
      <c r="H38" s="223">
        <v>0</v>
      </c>
      <c r="I38" s="223">
        <v>0</v>
      </c>
      <c r="J38" s="229">
        <f>SUM(G38:I38)</f>
        <v>1</v>
      </c>
      <c r="K38" s="215"/>
    </row>
    <row r="39" spans="2:12">
      <c r="B39" s="547" t="s">
        <v>529</v>
      </c>
      <c r="C39" s="800">
        <v>500000</v>
      </c>
      <c r="D39" s="801" t="s">
        <v>538</v>
      </c>
      <c r="E39" s="801"/>
      <c r="F39" s="801"/>
      <c r="G39" s="801">
        <v>1</v>
      </c>
      <c r="H39" s="801">
        <v>0</v>
      </c>
      <c r="I39" s="801">
        <v>0</v>
      </c>
      <c r="J39" s="548">
        <f>SUM(G39:I39)</f>
        <v>1</v>
      </c>
    </row>
    <row r="40" spans="2:12">
      <c r="B40" s="230" t="s">
        <v>246</v>
      </c>
      <c r="C40" s="196"/>
      <c r="D40" s="196"/>
      <c r="E40" s="196"/>
      <c r="F40" s="196"/>
      <c r="G40" s="196"/>
      <c r="H40" s="215"/>
      <c r="L40" s="21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C1:E31"/>
  <sheetViews>
    <sheetView zoomScale="85" zoomScaleNormal="85" workbookViewId="0">
      <selection activeCell="F18" sqref="F18"/>
    </sheetView>
  </sheetViews>
  <sheetFormatPr defaultColWidth="10.81640625" defaultRowHeight="15.5"/>
  <cols>
    <col min="1" max="2" width="10.81640625" style="99"/>
    <col min="3" max="3" width="34.453125" style="99" bestFit="1" customWidth="1"/>
    <col min="4" max="6" width="29.453125" style="99" customWidth="1"/>
    <col min="7" max="7" width="22.453125" style="99" customWidth="1"/>
    <col min="8" max="8" width="23.453125" style="99" customWidth="1"/>
    <col min="9" max="9" width="10.81640625" style="99"/>
    <col min="10" max="10" width="13" style="99" bestFit="1" customWidth="1"/>
    <col min="11" max="11" width="12.453125" style="99" bestFit="1" customWidth="1"/>
    <col min="12" max="16384" width="10.81640625" style="99"/>
  </cols>
  <sheetData>
    <row r="1" spans="3:5" ht="16" thickBot="1"/>
    <row r="2" spans="3:5">
      <c r="C2" s="952" t="s">
        <v>769</v>
      </c>
      <c r="D2" s="952"/>
      <c r="E2" s="952"/>
    </row>
    <row r="3" spans="3:5">
      <c r="C3" s="224" t="s">
        <v>426</v>
      </c>
      <c r="D3" s="225" t="s">
        <v>15</v>
      </c>
      <c r="E3" s="226"/>
    </row>
    <row r="4" spans="3:5">
      <c r="C4" s="792">
        <f>'Parcel x Block Info'!L3</f>
        <v>1</v>
      </c>
      <c r="D4" s="223" t="s">
        <v>21</v>
      </c>
      <c r="E4" s="793">
        <f>'Parcel x Block Info'!M3</f>
        <v>23813612</v>
      </c>
    </row>
    <row r="5" spans="3:5">
      <c r="C5" s="792">
        <f>'Parcel x Block Info'!L4</f>
        <v>2</v>
      </c>
      <c r="D5" s="223" t="s">
        <v>539</v>
      </c>
      <c r="E5" s="794">
        <f>'Parcel x Block Info'!M4</f>
        <v>7804500</v>
      </c>
    </row>
    <row r="6" spans="3:5">
      <c r="C6" s="792">
        <f>'Parcel x Block Info'!L5</f>
        <v>3</v>
      </c>
      <c r="D6" s="223" t="s">
        <v>539</v>
      </c>
      <c r="E6" s="794">
        <f>'Parcel x Block Info'!M5</f>
        <v>4258500</v>
      </c>
    </row>
    <row r="7" spans="3:5">
      <c r="C7" s="792">
        <f>'Parcel x Block Info'!L6</f>
        <v>4</v>
      </c>
      <c r="D7" s="223" t="s">
        <v>20</v>
      </c>
      <c r="E7" s="794">
        <f>'Parcel x Block Info'!M6</f>
        <v>7473750</v>
      </c>
    </row>
    <row r="8" spans="3:5">
      <c r="C8" s="792">
        <f>'Parcel x Block Info'!L7</f>
        <v>5</v>
      </c>
      <c r="D8" s="223" t="s">
        <v>20</v>
      </c>
      <c r="E8" s="793">
        <f>'Parcel x Block Info'!M7</f>
        <v>0</v>
      </c>
    </row>
    <row r="9" spans="3:5">
      <c r="C9" s="792" t="str">
        <f>'Parcel x Block Info'!L8</f>
        <v>5A</v>
      </c>
      <c r="D9" s="223" t="s">
        <v>19</v>
      </c>
      <c r="E9" s="794">
        <f>'Parcel x Block Info'!M8</f>
        <v>0</v>
      </c>
    </row>
    <row r="10" spans="3:5">
      <c r="C10" s="792">
        <f>'Parcel x Block Info'!L9</f>
        <v>6</v>
      </c>
      <c r="D10" s="223" t="s">
        <v>21</v>
      </c>
      <c r="E10" s="794">
        <f>'Parcel x Block Info'!M9</f>
        <v>11440000</v>
      </c>
    </row>
    <row r="11" spans="3:5">
      <c r="C11" s="792">
        <f>'Parcel x Block Info'!L10</f>
        <v>7</v>
      </c>
      <c r="D11" s="223" t="s">
        <v>20</v>
      </c>
      <c r="E11" s="794">
        <f>'Parcel x Block Info'!M10</f>
        <v>6288615</v>
      </c>
    </row>
    <row r="12" spans="3:5">
      <c r="C12" s="792">
        <f>'Parcel x Block Info'!L11</f>
        <v>8</v>
      </c>
      <c r="D12" s="223" t="s">
        <v>539</v>
      </c>
      <c r="E12" s="793">
        <f>'Parcel x Block Info'!M11</f>
        <v>6922825</v>
      </c>
    </row>
    <row r="13" spans="3:5">
      <c r="C13" s="792">
        <f>'Parcel x Block Info'!L12</f>
        <v>9</v>
      </c>
      <c r="D13" s="223" t="s">
        <v>21</v>
      </c>
      <c r="E13" s="794">
        <f>'Parcel x Block Info'!M12</f>
        <v>0</v>
      </c>
    </row>
    <row r="14" spans="3:5" ht="16" thickBot="1">
      <c r="C14" s="795" t="s">
        <v>210</v>
      </c>
      <c r="D14" s="796"/>
      <c r="E14" s="797">
        <f>SUM(E4:E13)</f>
        <v>68001802</v>
      </c>
    </row>
    <row r="15" spans="3:5">
      <c r="C15" s="395" t="s">
        <v>540</v>
      </c>
    </row>
    <row r="16" spans="3:5">
      <c r="C16" s="230"/>
    </row>
    <row r="17" spans="3:5" ht="16" thickBot="1">
      <c r="D17" s="216"/>
      <c r="E17" s="234"/>
    </row>
    <row r="18" spans="3:5">
      <c r="C18" s="952" t="s">
        <v>770</v>
      </c>
      <c r="D18" s="952"/>
      <c r="E18" s="952"/>
    </row>
    <row r="19" spans="3:5">
      <c r="C19" s="224" t="s">
        <v>426</v>
      </c>
      <c r="D19" s="225" t="s">
        <v>15</v>
      </c>
      <c r="E19" s="226"/>
    </row>
    <row r="20" spans="3:5">
      <c r="C20" s="833" t="str">
        <f>'Parcel x Block Info'!L19</f>
        <v>Parcel #</v>
      </c>
      <c r="D20" s="834" t="s">
        <v>21</v>
      </c>
      <c r="E20" s="835" t="str">
        <f>'Parcel x Block Info'!M19</f>
        <v>ACQUISITION TOTALS</v>
      </c>
    </row>
    <row r="21" spans="3:5">
      <c r="C21" s="833">
        <f>'Parcel x Block Info'!L20</f>
        <v>1</v>
      </c>
      <c r="D21" s="834" t="s">
        <v>539</v>
      </c>
      <c r="E21" s="836">
        <f>'Parcel x Block Info'!M20</f>
        <v>35785349</v>
      </c>
    </row>
    <row r="22" spans="3:5">
      <c r="C22" s="833">
        <f>'Parcel x Block Info'!L21</f>
        <v>2</v>
      </c>
      <c r="D22" s="834" t="s">
        <v>539</v>
      </c>
      <c r="E22" s="836">
        <f>'Parcel x Block Info'!M21</f>
        <v>28558837</v>
      </c>
    </row>
    <row r="23" spans="3:5">
      <c r="C23" s="833">
        <f>'Parcel x Block Info'!L22</f>
        <v>3</v>
      </c>
      <c r="D23" s="834" t="s">
        <v>20</v>
      </c>
      <c r="E23" s="836">
        <f>'Parcel x Block Info'!M22</f>
        <v>34945500</v>
      </c>
    </row>
    <row r="24" spans="3:5">
      <c r="C24" s="833">
        <f>'Parcel x Block Info'!L23</f>
        <v>4</v>
      </c>
      <c r="D24" s="834" t="s">
        <v>20</v>
      </c>
      <c r="E24" s="835">
        <f>'Parcel x Block Info'!M23</f>
        <v>10662755</v>
      </c>
    </row>
    <row r="25" spans="3:5">
      <c r="C25" s="833">
        <f>'Parcel x Block Info'!L24</f>
        <v>5</v>
      </c>
      <c r="D25" s="834" t="s">
        <v>19</v>
      </c>
      <c r="E25" s="836">
        <f>'Parcel x Block Info'!M24</f>
        <v>12030663</v>
      </c>
    </row>
    <row r="26" spans="3:5">
      <c r="C26" s="833" t="str">
        <f>'Parcel x Block Info'!L25</f>
        <v>5A</v>
      </c>
      <c r="D26" s="834" t="s">
        <v>21</v>
      </c>
      <c r="E26" s="836">
        <f>'Parcel x Block Info'!M25</f>
        <v>0</v>
      </c>
    </row>
    <row r="27" spans="3:5">
      <c r="C27" s="833">
        <f>'Parcel x Block Info'!L26</f>
        <v>6</v>
      </c>
      <c r="D27" s="834" t="s">
        <v>20</v>
      </c>
      <c r="E27" s="836">
        <f>'Parcel x Block Info'!M26</f>
        <v>12003126</v>
      </c>
    </row>
    <row r="28" spans="3:5">
      <c r="C28" s="833">
        <f>'Parcel x Block Info'!L27</f>
        <v>7</v>
      </c>
      <c r="D28" s="834" t="s">
        <v>539</v>
      </c>
      <c r="E28" s="835">
        <f>'Parcel x Block Info'!M27</f>
        <v>6778518</v>
      </c>
    </row>
    <row r="29" spans="3:5">
      <c r="C29" s="833">
        <f>'Parcel x Block Info'!L28</f>
        <v>8</v>
      </c>
      <c r="D29" s="834" t="s">
        <v>21</v>
      </c>
      <c r="E29" s="836">
        <f>'Parcel x Block Info'!M28</f>
        <v>16493865</v>
      </c>
    </row>
    <row r="30" spans="3:5">
      <c r="C30" s="792" t="str">
        <f>'Parcel x Block Info'!L29</f>
        <v>8A</v>
      </c>
      <c r="D30" s="223" t="s">
        <v>21</v>
      </c>
      <c r="E30" s="836">
        <f>'Parcel x Block Info'!M29</f>
        <v>9448520</v>
      </c>
    </row>
    <row r="31" spans="3:5" ht="16" thickBot="1">
      <c r="C31" s="837" t="s">
        <v>210</v>
      </c>
      <c r="D31" s="838"/>
      <c r="E31" s="839">
        <f>SUM(E20:E30)</f>
        <v>166707133</v>
      </c>
    </row>
  </sheetData>
  <mergeCells count="2">
    <mergeCell ref="C2:E2"/>
    <mergeCell ref="C18:E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0D48330F6CE4FB6B3AE62FA39CE46" ma:contentTypeVersion="10" ma:contentTypeDescription="Create a new document." ma:contentTypeScope="" ma:versionID="7821a038d1ff3198ddc129765ad472c8">
  <xsd:schema xmlns:xsd="http://www.w3.org/2001/XMLSchema" xmlns:xs="http://www.w3.org/2001/XMLSchema" xmlns:p="http://schemas.microsoft.com/office/2006/metadata/properties" xmlns:ns2="07832773-9414-42b9-95c3-36a558d8f74c" targetNamespace="http://schemas.microsoft.com/office/2006/metadata/properties" ma:root="true" ma:fieldsID="750cbc17267d996503ac6293edd952c1" ns2:_="">
    <xsd:import namespace="07832773-9414-42b9-95c3-36a558d8f7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32773-9414-42b9-95c3-36a558d8f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0587B1-80F2-4657-A5FC-AA50F0084E7C}"/>
</file>

<file path=customXml/itemProps2.xml><?xml version="1.0" encoding="utf-8"?>
<ds:datastoreItem xmlns:ds="http://schemas.openxmlformats.org/officeDocument/2006/customXml" ds:itemID="{B2786D3C-3B6F-4E06-80EF-EBD753C1D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B073B-D4CA-474D-B6C0-5AA4FFFBD671}">
  <ds:schemaRefs>
    <ds:schemaRef ds:uri="http://schemas.microsoft.com/office/2006/documentManagement/types"/>
    <ds:schemaRef ds:uri="http://schemas.openxmlformats.org/package/2006/metadata/core-properties"/>
    <ds:schemaRef ds:uri="c9991e1c-1590-4794-9fe6-241c02a24824"/>
    <ds:schemaRef ds:uri="http://purl.org/dc/elements/1.1/"/>
    <ds:schemaRef ds:uri="http://schemas.microsoft.com/office/infopath/2007/PartnerControls"/>
    <ds:schemaRef ds:uri="c4559b14-b869-4ecf-82df-3a9ad907661b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Assumptions</vt:lpstr>
      <vt:lpstr>Summary II</vt:lpstr>
      <vt:lpstr>S&amp;U</vt:lpstr>
      <vt:lpstr>Budget</vt:lpstr>
      <vt:lpstr>Parcel Breakdown</vt:lpstr>
      <vt:lpstr>Parcel x Block Info</vt:lpstr>
      <vt:lpstr>Demolition</vt:lpstr>
      <vt:lpstr>Infrastructure</vt:lpstr>
      <vt:lpstr>Acquisition</vt:lpstr>
      <vt:lpstr>Loan Sizing</vt:lpstr>
      <vt:lpstr>Phase I Pro Forma</vt:lpstr>
      <vt:lpstr>Phase II Pro Forma</vt:lpstr>
      <vt:lpstr>Phase III Pro Forma</vt:lpstr>
      <vt:lpstr>Master Pro Forma</vt:lpstr>
      <vt:lpstr>Cash Flow Roll-up</vt:lpstr>
      <vt:lpstr>Public Benefits</vt:lpstr>
      <vt:lpstr>Official Summary</vt:lpstr>
      <vt:lpstr>'Official Summary'!Print_Area</vt:lpstr>
      <vt:lpstr>'Summary II'!Print_Area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Finkenbinder-Best</dc:creator>
  <cp:keywords/>
  <dc:description/>
  <cp:lastModifiedBy>Felchner, Stacy G</cp:lastModifiedBy>
  <cp:revision/>
  <cp:lastPrinted>2020-04-04T21:37:19Z</cp:lastPrinted>
  <dcterms:created xsi:type="dcterms:W3CDTF">2007-12-12T14:49:40Z</dcterms:created>
  <dcterms:modified xsi:type="dcterms:W3CDTF">2020-04-04T21:40:59Z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0x01010007D0D48330F6CE4FB6B3AE62FA39CE46</vt:lpwstr>
  </property>
</Properties>
</file>