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TaraGarland/Desktop/ULI Competition/"/>
    </mc:Choice>
  </mc:AlternateContent>
  <bookViews>
    <workbookView xWindow="220" yWindow="460" windowWidth="25100" windowHeight="15440" tabRatio="779" firstSheet="1" activeTab="1"/>
  </bookViews>
  <sheets>
    <sheet name="ULI Hines Summary Board" sheetId="48" state="hidden" r:id="rId1"/>
    <sheet name="Final ULI" sheetId="49" r:id="rId2"/>
    <sheet name="Summary Board" sheetId="28" r:id="rId3"/>
    <sheet name="Budget" sheetId="38" r:id="rId4"/>
    <sheet name="Financing" sheetId="37" r:id="rId5"/>
    <sheet name="1.Infrastructure Costs" sheetId="15" r:id="rId6"/>
    <sheet name="2.Market-Rate Rental Housing" sheetId="14" r:id="rId7"/>
    <sheet name="3.Market-Rate For-Sale Housing" sheetId="19" r:id="rId8"/>
    <sheet name="4.Affordable Rental Housing" sheetId="26" r:id="rId9"/>
    <sheet name="5.Affordable For-Sale Housing " sheetId="47" r:id="rId10"/>
    <sheet name="6.Office" sheetId="20" r:id="rId11"/>
    <sheet name="7.Industrial &amp; School" sheetId="46" state="hidden" r:id="rId12"/>
    <sheet name="8.Market-Rate Retail" sheetId="22" r:id="rId13"/>
    <sheet name="9.Hotel" sheetId="23" r:id="rId14"/>
    <sheet name="10.Structured Parking" sheetId="18" r:id="rId15"/>
    <sheet name="11.Surface Parking" sheetId="32" r:id="rId16"/>
    <sheet name="Development Schedule" sheetId="29" r:id="rId17"/>
    <sheet name="Land Acquisition" sheetId="36" r:id="rId18"/>
    <sheet name="Land Values" sheetId="34" r:id="rId19"/>
    <sheet name="Development Costs" sheetId="31" state="hidden" r:id="rId20"/>
    <sheet name="SQFT Breakouts" sheetId="56" state="hidden" r:id="rId21"/>
    <sheet name="Construction Costs" sheetId="53" state="hidden" r:id="rId22"/>
    <sheet name="References" sheetId="50" r:id="rId23"/>
  </sheets>
  <definedNames>
    <definedName name="_xlnm.Print_Area" localSheetId="5">'1.Infrastructure Costs'!$A$1:$N$43</definedName>
    <definedName name="_xlnm.Print_Area" localSheetId="14">'10.Structured Parking'!$A$1:$M$116</definedName>
    <definedName name="_xlnm.Print_Area" localSheetId="15">'11.Surface Parking'!$A$1:$M$92</definedName>
    <definedName name="_xlnm.Print_Area" localSheetId="6">'2.Market-Rate Rental Housing'!$A$1:$M$88</definedName>
    <definedName name="_xlnm.Print_Area" localSheetId="7">'3.Market-Rate For-Sale Housing'!$A$1:$M$61</definedName>
    <definedName name="_xlnm.Print_Area" localSheetId="8">'4.Affordable Rental Housing'!$A$1:$M$66</definedName>
    <definedName name="_xlnm.Print_Area" localSheetId="9">'5.Affordable For-Sale Housing '!$A$1:$M$61</definedName>
    <definedName name="_xlnm.Print_Area" localSheetId="10">'6.Office'!$A$1:$M$64</definedName>
    <definedName name="_xlnm.Print_Area" localSheetId="11">'7.Industrial &amp; School'!$A$1:$M$66</definedName>
    <definedName name="_xlnm.Print_Area" localSheetId="12">'8.Market-Rate Retail'!$A$1:$M$117</definedName>
    <definedName name="_xlnm.Print_Area" localSheetId="19">'Development Costs'!$A$1:$E$43</definedName>
    <definedName name="_xlnm.Print_Area" localSheetId="16">'Development Schedule'!$A$2:$N$93</definedName>
    <definedName name="_xlnm.Print_Area" localSheetId="1">'Final ULI'!$A$8:$N$147</definedName>
    <definedName name="_xlnm.Print_Area" localSheetId="4">Financing!$A$2:$M$41</definedName>
    <definedName name="_xlnm.Print_Area" localSheetId="17">'Land Acquisition'!$A$2:$K$19</definedName>
    <definedName name="_xlnm.Print_Area" localSheetId="18">'Land Values'!$A$2:$G$34</definedName>
    <definedName name="_xlnm.Print_Area" localSheetId="2">'Summary Board'!$A$2:$N$141</definedName>
    <definedName name="_xlnm.Print_Area" localSheetId="0">'ULI Hines Summary Board'!$A$1:$N$141</definedName>
    <definedName name="_xlnm.Print_Titles" localSheetId="14">'10.Structured Parking'!$1:$5</definedName>
    <definedName name="_xlnm.Print_Titles" localSheetId="15">'11.Surface Parking'!$1:$5</definedName>
    <definedName name="_xlnm.Print_Titles" localSheetId="6">'2.Market-Rate Rental Housing'!$1:$5</definedName>
    <definedName name="_xlnm.Print_Titles" localSheetId="8">'4.Affordable Rental Housing'!$1:$5</definedName>
    <definedName name="_xlnm.Print_Titles" localSheetId="12">'8.Market-Rate Retail'!$1:$5</definedName>
    <definedName name="_xlnm.Print_Titles" localSheetId="16">'Development Schedule'!$2:$5</definedName>
    <definedName name="_xlnm.Print_Titles" localSheetId="18">'Land Values'!$2:$5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8" l="1"/>
  <c r="C6" i="38"/>
  <c r="C7" i="38"/>
  <c r="C9" i="38"/>
  <c r="C13" i="38"/>
  <c r="M78" i="28"/>
  <c r="M85" i="49"/>
  <c r="C12" i="38"/>
  <c r="C15" i="38"/>
  <c r="C14" i="38"/>
  <c r="M74" i="28"/>
  <c r="M80" i="49"/>
  <c r="M75" i="28"/>
  <c r="M81" i="49"/>
  <c r="M77" i="28"/>
  <c r="M84" i="49"/>
  <c r="M80" i="28"/>
  <c r="M87" i="49"/>
  <c r="M81" i="28"/>
  <c r="M88" i="49"/>
  <c r="M82" i="28"/>
  <c r="M89" i="49"/>
  <c r="M83" i="28"/>
  <c r="M90" i="49"/>
  <c r="M92" i="49"/>
  <c r="N85" i="49"/>
  <c r="I86" i="49"/>
  <c r="I81" i="49"/>
  <c r="I80" i="49"/>
  <c r="F130" i="49"/>
  <c r="B130" i="49"/>
  <c r="E122" i="49"/>
  <c r="E123" i="49"/>
  <c r="E124" i="49"/>
  <c r="E125" i="49"/>
  <c r="E121" i="49"/>
  <c r="D125" i="49"/>
  <c r="D122" i="49"/>
  <c r="D123" i="49"/>
  <c r="D124" i="49"/>
  <c r="D121" i="49"/>
  <c r="C122" i="49"/>
  <c r="C123" i="49"/>
  <c r="C124" i="49"/>
  <c r="C121" i="49"/>
  <c r="B122" i="49"/>
  <c r="B123" i="49"/>
  <c r="B124" i="49"/>
  <c r="B121" i="49"/>
  <c r="C105" i="49"/>
  <c r="C106" i="49"/>
  <c r="C107" i="49"/>
  <c r="C108" i="49"/>
  <c r="C109" i="49"/>
  <c r="C110" i="49"/>
  <c r="C111" i="49"/>
  <c r="C104" i="49"/>
  <c r="A105" i="49"/>
  <c r="A106" i="49"/>
  <c r="A107" i="49"/>
  <c r="A108" i="49"/>
  <c r="A109" i="49"/>
  <c r="A110" i="49"/>
  <c r="A111" i="49"/>
  <c r="A104" i="49"/>
  <c r="F93" i="49"/>
  <c r="F94" i="49"/>
  <c r="F95" i="49"/>
  <c r="F96" i="49"/>
  <c r="F97" i="49"/>
  <c r="F92" i="49"/>
  <c r="A93" i="49"/>
  <c r="A94" i="49"/>
  <c r="A95" i="49"/>
  <c r="A96" i="49"/>
  <c r="A97" i="49"/>
  <c r="A92" i="49"/>
  <c r="F80" i="49"/>
  <c r="F81" i="49"/>
  <c r="F82" i="49"/>
  <c r="F83" i="49"/>
  <c r="F84" i="49"/>
  <c r="F85" i="49"/>
  <c r="F86" i="49"/>
  <c r="F87" i="49"/>
  <c r="F88" i="49"/>
  <c r="F89" i="49"/>
  <c r="F79" i="49"/>
  <c r="C57" i="28"/>
  <c r="E78" i="28"/>
  <c r="F78" i="28"/>
  <c r="E80" i="49"/>
  <c r="E81" i="49"/>
  <c r="E82" i="49"/>
  <c r="E83" i="49"/>
  <c r="E84" i="49"/>
  <c r="E85" i="49"/>
  <c r="E86" i="49"/>
  <c r="C107" i="18"/>
  <c r="C109" i="18"/>
  <c r="C56" i="28"/>
  <c r="E81" i="28"/>
  <c r="E87" i="49"/>
  <c r="E88" i="49"/>
  <c r="E89" i="49"/>
  <c r="E79" i="49"/>
  <c r="F63" i="49"/>
  <c r="G63" i="49"/>
  <c r="H63" i="49"/>
  <c r="I63" i="49"/>
  <c r="J63" i="49"/>
  <c r="K63" i="49"/>
  <c r="L63" i="49"/>
  <c r="M63" i="49"/>
  <c r="N63" i="49"/>
  <c r="F62" i="49"/>
  <c r="G62" i="49"/>
  <c r="H62" i="49"/>
  <c r="I62" i="49"/>
  <c r="J62" i="49"/>
  <c r="K62" i="49"/>
  <c r="L62" i="49"/>
  <c r="M62" i="49"/>
  <c r="N62" i="49"/>
  <c r="F61" i="49"/>
  <c r="G61" i="49"/>
  <c r="H61" i="49"/>
  <c r="I61" i="49"/>
  <c r="J61" i="49"/>
  <c r="K61" i="49"/>
  <c r="L61" i="49"/>
  <c r="M61" i="49"/>
  <c r="N61" i="49"/>
  <c r="F60" i="49"/>
  <c r="G60" i="49"/>
  <c r="H60" i="49"/>
  <c r="I60" i="49"/>
  <c r="J60" i="49"/>
  <c r="K60" i="49"/>
  <c r="L60" i="49"/>
  <c r="M60" i="49"/>
  <c r="N60" i="49"/>
  <c r="F59" i="49"/>
  <c r="G59" i="49"/>
  <c r="H59" i="49"/>
  <c r="I59" i="49"/>
  <c r="J59" i="49"/>
  <c r="K59" i="49"/>
  <c r="L59" i="49"/>
  <c r="M59" i="49"/>
  <c r="N59" i="49"/>
  <c r="F58" i="49"/>
  <c r="G58" i="49"/>
  <c r="H58" i="49"/>
  <c r="I58" i="49"/>
  <c r="J58" i="49"/>
  <c r="K58" i="49"/>
  <c r="L58" i="49"/>
  <c r="M58" i="49"/>
  <c r="N58" i="49"/>
  <c r="F57" i="49"/>
  <c r="G57" i="49"/>
  <c r="H57" i="49"/>
  <c r="I57" i="49"/>
  <c r="J57" i="49"/>
  <c r="K57" i="49"/>
  <c r="L57" i="49"/>
  <c r="M57" i="49"/>
  <c r="N57" i="49"/>
  <c r="E59" i="49"/>
  <c r="E60" i="49"/>
  <c r="E61" i="49"/>
  <c r="E62" i="49"/>
  <c r="E63" i="49"/>
  <c r="E58" i="49"/>
  <c r="E57" i="49"/>
  <c r="C66" i="49"/>
  <c r="C67" i="49"/>
  <c r="C68" i="49"/>
  <c r="C69" i="49"/>
  <c r="C70" i="49"/>
  <c r="C71" i="49"/>
  <c r="C72" i="49"/>
  <c r="C67" i="28"/>
  <c r="C73" i="49"/>
  <c r="C74" i="49"/>
  <c r="C65" i="49"/>
  <c r="C58" i="49"/>
  <c r="C59" i="49"/>
  <c r="C60" i="49"/>
  <c r="C61" i="49"/>
  <c r="C62" i="49"/>
  <c r="C63" i="49"/>
  <c r="C57" i="49"/>
  <c r="E33" i="49"/>
  <c r="E34" i="49"/>
  <c r="E35" i="49"/>
  <c r="E36" i="49"/>
  <c r="E32" i="49"/>
  <c r="E27" i="49"/>
  <c r="E26" i="49"/>
  <c r="E25" i="49"/>
  <c r="E24" i="49"/>
  <c r="D34" i="49"/>
  <c r="B14" i="23"/>
  <c r="D113" i="22"/>
  <c r="D60" i="20"/>
  <c r="B39" i="26"/>
  <c r="B59" i="14"/>
  <c r="C59" i="14"/>
  <c r="C60" i="14"/>
  <c r="C68" i="14"/>
  <c r="C72" i="14"/>
  <c r="D59" i="14"/>
  <c r="D60" i="14"/>
  <c r="D68" i="14"/>
  <c r="D72" i="14"/>
  <c r="E59" i="14"/>
  <c r="E60" i="14"/>
  <c r="E68" i="14"/>
  <c r="E72" i="14"/>
  <c r="F59" i="14"/>
  <c r="F60" i="14"/>
  <c r="F68" i="14"/>
  <c r="F72" i="14"/>
  <c r="G59" i="14"/>
  <c r="G60" i="14"/>
  <c r="G68" i="14"/>
  <c r="G72" i="14"/>
  <c r="H59" i="14"/>
  <c r="H60" i="14"/>
  <c r="H68" i="14"/>
  <c r="H72" i="14"/>
  <c r="I59" i="14"/>
  <c r="I60" i="14"/>
  <c r="I68" i="14"/>
  <c r="I72" i="14"/>
  <c r="J59" i="14"/>
  <c r="J60" i="14"/>
  <c r="J68" i="14"/>
  <c r="J72" i="14"/>
  <c r="K59" i="14"/>
  <c r="K60" i="14"/>
  <c r="K68" i="14"/>
  <c r="K72" i="14"/>
  <c r="L59" i="14"/>
  <c r="L60" i="14"/>
  <c r="L68" i="14"/>
  <c r="L72" i="14"/>
  <c r="M59" i="14"/>
  <c r="M60" i="14"/>
  <c r="M68" i="14"/>
  <c r="M69" i="14"/>
  <c r="M70" i="14"/>
  <c r="M72" i="14"/>
  <c r="C73" i="14"/>
  <c r="C39" i="26"/>
  <c r="C40" i="26"/>
  <c r="C48" i="26"/>
  <c r="C52" i="26"/>
  <c r="D39" i="26"/>
  <c r="D40" i="26"/>
  <c r="D48" i="26"/>
  <c r="D52" i="26"/>
  <c r="E39" i="26"/>
  <c r="E40" i="26"/>
  <c r="E48" i="26"/>
  <c r="E52" i="26"/>
  <c r="F39" i="26"/>
  <c r="F40" i="26"/>
  <c r="F48" i="26"/>
  <c r="F52" i="26"/>
  <c r="G39" i="26"/>
  <c r="G40" i="26"/>
  <c r="G48" i="26"/>
  <c r="G52" i="26"/>
  <c r="H39" i="26"/>
  <c r="H40" i="26"/>
  <c r="H48" i="26"/>
  <c r="H52" i="26"/>
  <c r="I39" i="26"/>
  <c r="I40" i="26"/>
  <c r="I48" i="26"/>
  <c r="I52" i="26"/>
  <c r="J39" i="26"/>
  <c r="J40" i="26"/>
  <c r="J48" i="26"/>
  <c r="J52" i="26"/>
  <c r="K39" i="26"/>
  <c r="K40" i="26"/>
  <c r="K48" i="26"/>
  <c r="K52" i="26"/>
  <c r="L39" i="26"/>
  <c r="L40" i="26"/>
  <c r="L48" i="26"/>
  <c r="L52" i="26"/>
  <c r="M39" i="26"/>
  <c r="M40" i="26"/>
  <c r="M48" i="26"/>
  <c r="M49" i="26"/>
  <c r="M50" i="26"/>
  <c r="M52" i="26"/>
  <c r="C53" i="26"/>
  <c r="C14" i="22"/>
  <c r="C23" i="22"/>
  <c r="C32" i="22"/>
  <c r="C41" i="22"/>
  <c r="C50" i="22"/>
  <c r="C59" i="22"/>
  <c r="C68" i="22"/>
  <c r="C77" i="22"/>
  <c r="C81" i="22"/>
  <c r="C15" i="22"/>
  <c r="C24" i="22"/>
  <c r="C33" i="22"/>
  <c r="C42" i="22"/>
  <c r="C51" i="22"/>
  <c r="C60" i="22"/>
  <c r="C69" i="22"/>
  <c r="C78" i="22"/>
  <c r="C82" i="22"/>
  <c r="C83" i="22"/>
  <c r="C93" i="22"/>
  <c r="C97" i="22"/>
  <c r="D14" i="22"/>
  <c r="D23" i="22"/>
  <c r="D32" i="22"/>
  <c r="D41" i="22"/>
  <c r="D50" i="22"/>
  <c r="D59" i="22"/>
  <c r="D68" i="22"/>
  <c r="D77" i="22"/>
  <c r="D81" i="22"/>
  <c r="D15" i="22"/>
  <c r="D24" i="22"/>
  <c r="D33" i="22"/>
  <c r="D42" i="22"/>
  <c r="D51" i="22"/>
  <c r="D60" i="22"/>
  <c r="D69" i="22"/>
  <c r="D78" i="22"/>
  <c r="D82" i="22"/>
  <c r="D83" i="22"/>
  <c r="D93" i="22"/>
  <c r="D97" i="22"/>
  <c r="E14" i="22"/>
  <c r="E23" i="22"/>
  <c r="E32" i="22"/>
  <c r="E41" i="22"/>
  <c r="E50" i="22"/>
  <c r="E59" i="22"/>
  <c r="E68" i="22"/>
  <c r="E77" i="22"/>
  <c r="E81" i="22"/>
  <c r="E15" i="22"/>
  <c r="E24" i="22"/>
  <c r="E33" i="22"/>
  <c r="E42" i="22"/>
  <c r="E51" i="22"/>
  <c r="E60" i="22"/>
  <c r="E69" i="22"/>
  <c r="E78" i="22"/>
  <c r="E82" i="22"/>
  <c r="E83" i="22"/>
  <c r="E93" i="22"/>
  <c r="E97" i="22"/>
  <c r="F14" i="22"/>
  <c r="F23" i="22"/>
  <c r="F32" i="22"/>
  <c r="F41" i="22"/>
  <c r="F50" i="22"/>
  <c r="F59" i="22"/>
  <c r="F68" i="22"/>
  <c r="F77" i="22"/>
  <c r="F81" i="22"/>
  <c r="F15" i="22"/>
  <c r="F24" i="22"/>
  <c r="F33" i="22"/>
  <c r="F42" i="22"/>
  <c r="F51" i="22"/>
  <c r="F60" i="22"/>
  <c r="F69" i="22"/>
  <c r="F78" i="22"/>
  <c r="F82" i="22"/>
  <c r="F83" i="22"/>
  <c r="F93" i="22"/>
  <c r="F97" i="22"/>
  <c r="G14" i="22"/>
  <c r="G23" i="22"/>
  <c r="G32" i="22"/>
  <c r="G41" i="22"/>
  <c r="G50" i="22"/>
  <c r="G59" i="22"/>
  <c r="G68" i="22"/>
  <c r="G77" i="22"/>
  <c r="G81" i="22"/>
  <c r="G15" i="22"/>
  <c r="G24" i="22"/>
  <c r="G33" i="22"/>
  <c r="G42" i="22"/>
  <c r="G51" i="22"/>
  <c r="G60" i="22"/>
  <c r="G69" i="22"/>
  <c r="G78" i="22"/>
  <c r="G82" i="22"/>
  <c r="G83" i="22"/>
  <c r="G93" i="22"/>
  <c r="G97" i="22"/>
  <c r="H14" i="22"/>
  <c r="H23" i="22"/>
  <c r="H32" i="22"/>
  <c r="H41" i="22"/>
  <c r="H50" i="22"/>
  <c r="H59" i="22"/>
  <c r="H68" i="22"/>
  <c r="H77" i="22"/>
  <c r="H81" i="22"/>
  <c r="H15" i="22"/>
  <c r="H24" i="22"/>
  <c r="H33" i="22"/>
  <c r="H42" i="22"/>
  <c r="H51" i="22"/>
  <c r="H60" i="22"/>
  <c r="H69" i="22"/>
  <c r="H78" i="22"/>
  <c r="H82" i="22"/>
  <c r="H83" i="22"/>
  <c r="H93" i="22"/>
  <c r="H97" i="22"/>
  <c r="I14" i="22"/>
  <c r="I23" i="22"/>
  <c r="I32" i="22"/>
  <c r="I41" i="22"/>
  <c r="I50" i="22"/>
  <c r="I59" i="22"/>
  <c r="I68" i="22"/>
  <c r="I77" i="22"/>
  <c r="I81" i="22"/>
  <c r="I15" i="22"/>
  <c r="I24" i="22"/>
  <c r="I33" i="22"/>
  <c r="I42" i="22"/>
  <c r="I51" i="22"/>
  <c r="I60" i="22"/>
  <c r="I69" i="22"/>
  <c r="I78" i="22"/>
  <c r="I82" i="22"/>
  <c r="I83" i="22"/>
  <c r="I93" i="22"/>
  <c r="I97" i="22"/>
  <c r="J14" i="22"/>
  <c r="J23" i="22"/>
  <c r="J32" i="22"/>
  <c r="J41" i="22"/>
  <c r="J50" i="22"/>
  <c r="J59" i="22"/>
  <c r="J68" i="22"/>
  <c r="J77" i="22"/>
  <c r="J81" i="22"/>
  <c r="J15" i="22"/>
  <c r="J24" i="22"/>
  <c r="J33" i="22"/>
  <c r="J42" i="22"/>
  <c r="J51" i="22"/>
  <c r="J60" i="22"/>
  <c r="J69" i="22"/>
  <c r="J78" i="22"/>
  <c r="J82" i="22"/>
  <c r="J83" i="22"/>
  <c r="J93" i="22"/>
  <c r="J97" i="22"/>
  <c r="K14" i="22"/>
  <c r="K23" i="22"/>
  <c r="K32" i="22"/>
  <c r="K41" i="22"/>
  <c r="K50" i="22"/>
  <c r="K59" i="22"/>
  <c r="K68" i="22"/>
  <c r="K77" i="22"/>
  <c r="K81" i="22"/>
  <c r="K15" i="22"/>
  <c r="K24" i="22"/>
  <c r="K33" i="22"/>
  <c r="K42" i="22"/>
  <c r="K51" i="22"/>
  <c r="K60" i="22"/>
  <c r="K69" i="22"/>
  <c r="K78" i="22"/>
  <c r="K82" i="22"/>
  <c r="K83" i="22"/>
  <c r="K93" i="22"/>
  <c r="K97" i="22"/>
  <c r="L14" i="22"/>
  <c r="L23" i="22"/>
  <c r="L32" i="22"/>
  <c r="L41" i="22"/>
  <c r="L50" i="22"/>
  <c r="L59" i="22"/>
  <c r="L68" i="22"/>
  <c r="L77" i="22"/>
  <c r="L81" i="22"/>
  <c r="L15" i="22"/>
  <c r="L24" i="22"/>
  <c r="L33" i="22"/>
  <c r="L42" i="22"/>
  <c r="L51" i="22"/>
  <c r="L60" i="22"/>
  <c r="L69" i="22"/>
  <c r="L78" i="22"/>
  <c r="L82" i="22"/>
  <c r="L83" i="22"/>
  <c r="L93" i="22"/>
  <c r="L97" i="22"/>
  <c r="M14" i="22"/>
  <c r="M23" i="22"/>
  <c r="M32" i="22"/>
  <c r="M41" i="22"/>
  <c r="M50" i="22"/>
  <c r="M59" i="22"/>
  <c r="M68" i="22"/>
  <c r="M77" i="22"/>
  <c r="M81" i="22"/>
  <c r="M15" i="22"/>
  <c r="M24" i="22"/>
  <c r="M33" i="22"/>
  <c r="M42" i="22"/>
  <c r="M51" i="22"/>
  <c r="M60" i="22"/>
  <c r="M69" i="22"/>
  <c r="M78" i="22"/>
  <c r="M82" i="22"/>
  <c r="M83" i="22"/>
  <c r="M93" i="22"/>
  <c r="M94" i="22"/>
  <c r="M95" i="22"/>
  <c r="M97" i="22"/>
  <c r="C98" i="22"/>
  <c r="C14" i="23"/>
  <c r="C15" i="23"/>
  <c r="C23" i="23"/>
  <c r="C27" i="23"/>
  <c r="D14" i="23"/>
  <c r="D15" i="23"/>
  <c r="D23" i="23"/>
  <c r="D27" i="23"/>
  <c r="E14" i="23"/>
  <c r="E15" i="23"/>
  <c r="E23" i="23"/>
  <c r="E27" i="23"/>
  <c r="F14" i="23"/>
  <c r="F15" i="23"/>
  <c r="F23" i="23"/>
  <c r="F27" i="23"/>
  <c r="G14" i="23"/>
  <c r="G15" i="23"/>
  <c r="G23" i="23"/>
  <c r="G27" i="23"/>
  <c r="H14" i="23"/>
  <c r="H15" i="23"/>
  <c r="H23" i="23"/>
  <c r="H27" i="23"/>
  <c r="I14" i="23"/>
  <c r="I15" i="23"/>
  <c r="I23" i="23"/>
  <c r="I27" i="23"/>
  <c r="J14" i="23"/>
  <c r="J15" i="23"/>
  <c r="J23" i="23"/>
  <c r="J27" i="23"/>
  <c r="K14" i="23"/>
  <c r="K15" i="23"/>
  <c r="K23" i="23"/>
  <c r="K27" i="23"/>
  <c r="L14" i="23"/>
  <c r="L15" i="23"/>
  <c r="L23" i="23"/>
  <c r="L27" i="23"/>
  <c r="M14" i="23"/>
  <c r="M15" i="23"/>
  <c r="M23" i="23"/>
  <c r="M24" i="23"/>
  <c r="M25" i="23"/>
  <c r="M27" i="23"/>
  <c r="C28" i="23"/>
  <c r="D14" i="20"/>
  <c r="D23" i="20"/>
  <c r="D36" i="20"/>
  <c r="D15" i="20"/>
  <c r="D24" i="20"/>
  <c r="D37" i="20"/>
  <c r="D38" i="20"/>
  <c r="D46" i="20"/>
  <c r="D50" i="20"/>
  <c r="E14" i="20"/>
  <c r="E23" i="20"/>
  <c r="E36" i="20"/>
  <c r="E15" i="20"/>
  <c r="E24" i="20"/>
  <c r="E37" i="20"/>
  <c r="E38" i="20"/>
  <c r="E46" i="20"/>
  <c r="E50" i="20"/>
  <c r="F14" i="20"/>
  <c r="F23" i="20"/>
  <c r="F32" i="20"/>
  <c r="F36" i="20"/>
  <c r="F15" i="20"/>
  <c r="F24" i="20"/>
  <c r="F33" i="20"/>
  <c r="F37" i="20"/>
  <c r="F38" i="20"/>
  <c r="F46" i="20"/>
  <c r="F50" i="20"/>
  <c r="G14" i="20"/>
  <c r="G23" i="20"/>
  <c r="G32" i="20"/>
  <c r="G36" i="20"/>
  <c r="G15" i="20"/>
  <c r="G24" i="20"/>
  <c r="G33" i="20"/>
  <c r="G37" i="20"/>
  <c r="G38" i="20"/>
  <c r="G46" i="20"/>
  <c r="G50" i="20"/>
  <c r="H14" i="20"/>
  <c r="H23" i="20"/>
  <c r="H32" i="20"/>
  <c r="H36" i="20"/>
  <c r="H15" i="20"/>
  <c r="H24" i="20"/>
  <c r="H33" i="20"/>
  <c r="H37" i="20"/>
  <c r="H38" i="20"/>
  <c r="H46" i="20"/>
  <c r="H50" i="20"/>
  <c r="I14" i="20"/>
  <c r="I23" i="20"/>
  <c r="I32" i="20"/>
  <c r="I36" i="20"/>
  <c r="I15" i="20"/>
  <c r="I24" i="20"/>
  <c r="I33" i="20"/>
  <c r="I37" i="20"/>
  <c r="I38" i="20"/>
  <c r="I46" i="20"/>
  <c r="I50" i="20"/>
  <c r="J14" i="20"/>
  <c r="J23" i="20"/>
  <c r="J32" i="20"/>
  <c r="J36" i="20"/>
  <c r="J15" i="20"/>
  <c r="J24" i="20"/>
  <c r="J33" i="20"/>
  <c r="J37" i="20"/>
  <c r="J38" i="20"/>
  <c r="J46" i="20"/>
  <c r="J50" i="20"/>
  <c r="K14" i="20"/>
  <c r="K23" i="20"/>
  <c r="K32" i="20"/>
  <c r="K36" i="20"/>
  <c r="K15" i="20"/>
  <c r="K24" i="20"/>
  <c r="K33" i="20"/>
  <c r="K37" i="20"/>
  <c r="K38" i="20"/>
  <c r="K46" i="20"/>
  <c r="K50" i="20"/>
  <c r="L14" i="20"/>
  <c r="L23" i="20"/>
  <c r="L32" i="20"/>
  <c r="L36" i="20"/>
  <c r="L15" i="20"/>
  <c r="L24" i="20"/>
  <c r="L33" i="20"/>
  <c r="L37" i="20"/>
  <c r="L38" i="20"/>
  <c r="L46" i="20"/>
  <c r="L50" i="20"/>
  <c r="M14" i="20"/>
  <c r="M23" i="20"/>
  <c r="M32" i="20"/>
  <c r="M36" i="20"/>
  <c r="M15" i="20"/>
  <c r="M24" i="20"/>
  <c r="M33" i="20"/>
  <c r="M37" i="20"/>
  <c r="M38" i="20"/>
  <c r="M46" i="20"/>
  <c r="M47" i="20"/>
  <c r="M48" i="20"/>
  <c r="M50" i="20"/>
  <c r="C51" i="20"/>
  <c r="M4" i="56"/>
  <c r="M2" i="56"/>
  <c r="L4" i="56"/>
  <c r="L2" i="56"/>
  <c r="J4" i="56"/>
  <c r="J2" i="56"/>
  <c r="I4" i="56"/>
  <c r="I2" i="56"/>
  <c r="I43" i="29"/>
  <c r="H43" i="29"/>
  <c r="I39" i="29"/>
  <c r="H39" i="29"/>
  <c r="C26" i="56"/>
  <c r="C25" i="56"/>
  <c r="C23" i="56"/>
  <c r="C21" i="56"/>
  <c r="C22" i="56"/>
  <c r="K3" i="56"/>
  <c r="M3" i="56"/>
  <c r="L3" i="56"/>
  <c r="H3" i="56"/>
  <c r="J3" i="56"/>
  <c r="I3" i="56"/>
  <c r="G4" i="56"/>
  <c r="K4" i="56"/>
  <c r="G2" i="56"/>
  <c r="K2" i="56"/>
  <c r="H4" i="56"/>
  <c r="H2" i="56"/>
  <c r="D28" i="28"/>
  <c r="F84" i="29"/>
  <c r="E42" i="20"/>
  <c r="E44" i="20"/>
  <c r="E49" i="20"/>
  <c r="C56" i="20"/>
  <c r="E9" i="20"/>
  <c r="F9" i="20"/>
  <c r="F10" i="20"/>
  <c r="F13" i="20"/>
  <c r="F35" i="20"/>
  <c r="G10" i="20"/>
  <c r="G13" i="20"/>
  <c r="G35" i="20"/>
  <c r="H10" i="20"/>
  <c r="H13" i="20"/>
  <c r="H35" i="20"/>
  <c r="I10" i="20"/>
  <c r="I13" i="20"/>
  <c r="I35" i="20"/>
  <c r="J10" i="20"/>
  <c r="J13" i="20"/>
  <c r="J35" i="20"/>
  <c r="K10" i="20"/>
  <c r="K13" i="20"/>
  <c r="K35" i="20"/>
  <c r="L10" i="20"/>
  <c r="L13" i="20"/>
  <c r="L35" i="20"/>
  <c r="M10" i="20"/>
  <c r="M13" i="20"/>
  <c r="M35" i="20"/>
  <c r="H38" i="29"/>
  <c r="H77" i="29"/>
  <c r="G19" i="23"/>
  <c r="G21" i="23"/>
  <c r="G26" i="23"/>
  <c r="H8" i="23"/>
  <c r="H13" i="23"/>
  <c r="I13" i="23"/>
  <c r="J13" i="23"/>
  <c r="K13" i="23"/>
  <c r="L13" i="23"/>
  <c r="M13" i="23"/>
  <c r="H78" i="29"/>
  <c r="I78" i="29"/>
  <c r="C106" i="22"/>
  <c r="H36" i="22"/>
  <c r="H37" i="22"/>
  <c r="H40" i="22"/>
  <c r="H80" i="22"/>
  <c r="H89" i="22"/>
  <c r="H91" i="22"/>
  <c r="H96" i="22"/>
  <c r="I36" i="22"/>
  <c r="I37" i="22"/>
  <c r="I40" i="22"/>
  <c r="I80" i="22"/>
  <c r="I89" i="22"/>
  <c r="I91" i="22"/>
  <c r="I96" i="22"/>
  <c r="J36" i="22"/>
  <c r="J37" i="22"/>
  <c r="J40" i="22"/>
  <c r="J80" i="22"/>
  <c r="K36" i="22"/>
  <c r="K37" i="22"/>
  <c r="K40" i="22"/>
  <c r="K80" i="22"/>
  <c r="L36" i="22"/>
  <c r="L37" i="22"/>
  <c r="L40" i="22"/>
  <c r="L80" i="22"/>
  <c r="M36" i="22"/>
  <c r="M37" i="22"/>
  <c r="M40" i="22"/>
  <c r="M80" i="22"/>
  <c r="E31" i="29"/>
  <c r="E80" i="29"/>
  <c r="F31" i="29"/>
  <c r="F80" i="29"/>
  <c r="D58" i="26"/>
  <c r="C58" i="26"/>
  <c r="D11" i="26"/>
  <c r="K60" i="29"/>
  <c r="K80" i="29"/>
  <c r="L60" i="29"/>
  <c r="L80" i="29"/>
  <c r="D60" i="26"/>
  <c r="C60" i="26"/>
  <c r="D31" i="26"/>
  <c r="D38" i="26"/>
  <c r="D44" i="26"/>
  <c r="D46" i="26"/>
  <c r="D51" i="26"/>
  <c r="E11" i="26"/>
  <c r="E31" i="26"/>
  <c r="E38" i="26"/>
  <c r="E44" i="26"/>
  <c r="E46" i="26"/>
  <c r="E51" i="26"/>
  <c r="F11" i="26"/>
  <c r="F31" i="26"/>
  <c r="F38" i="26"/>
  <c r="G11" i="26"/>
  <c r="G31" i="26"/>
  <c r="G38" i="26"/>
  <c r="H11" i="26"/>
  <c r="H31" i="26"/>
  <c r="H38" i="26"/>
  <c r="I11" i="26"/>
  <c r="I31" i="26"/>
  <c r="I38" i="26"/>
  <c r="J11" i="26"/>
  <c r="J31" i="26"/>
  <c r="J38" i="26"/>
  <c r="J44" i="26"/>
  <c r="J46" i="26"/>
  <c r="J51" i="26"/>
  <c r="K11" i="26"/>
  <c r="K31" i="26"/>
  <c r="K38" i="26"/>
  <c r="K44" i="26"/>
  <c r="K46" i="26"/>
  <c r="K51" i="26"/>
  <c r="L11" i="26"/>
  <c r="L31" i="26"/>
  <c r="L38" i="26"/>
  <c r="M11" i="26"/>
  <c r="M31" i="26"/>
  <c r="M38" i="26"/>
  <c r="E30" i="29"/>
  <c r="E79" i="29"/>
  <c r="F30" i="29"/>
  <c r="F79" i="29"/>
  <c r="D79" i="14"/>
  <c r="C79" i="14"/>
  <c r="D21" i="14"/>
  <c r="L70" i="29"/>
  <c r="L79" i="29"/>
  <c r="D82" i="14"/>
  <c r="C82" i="14"/>
  <c r="D51" i="14"/>
  <c r="D58" i="14"/>
  <c r="D64" i="14"/>
  <c r="D66" i="14"/>
  <c r="D71" i="14"/>
  <c r="E21" i="14"/>
  <c r="E51" i="14"/>
  <c r="E58" i="14"/>
  <c r="E64" i="14"/>
  <c r="E66" i="14"/>
  <c r="E71" i="14"/>
  <c r="F21" i="14"/>
  <c r="F51" i="14"/>
  <c r="F58" i="14"/>
  <c r="G21" i="14"/>
  <c r="G51" i="14"/>
  <c r="G58" i="14"/>
  <c r="H21" i="14"/>
  <c r="H51" i="14"/>
  <c r="H58" i="14"/>
  <c r="I21" i="14"/>
  <c r="I51" i="14"/>
  <c r="I58" i="14"/>
  <c r="J21" i="14"/>
  <c r="J51" i="14"/>
  <c r="J58" i="14"/>
  <c r="K21" i="14"/>
  <c r="K51" i="14"/>
  <c r="K58" i="14"/>
  <c r="K64" i="14"/>
  <c r="K66" i="14"/>
  <c r="K71" i="14"/>
  <c r="L21" i="14"/>
  <c r="L51" i="14"/>
  <c r="L58" i="14"/>
  <c r="M21" i="14"/>
  <c r="M51" i="14"/>
  <c r="M58" i="14"/>
  <c r="D33" i="20"/>
  <c r="E33" i="20"/>
  <c r="C33" i="20"/>
  <c r="D32" i="20"/>
  <c r="E32" i="20"/>
  <c r="C32" i="20"/>
  <c r="D31" i="20"/>
  <c r="E31" i="20"/>
  <c r="F31" i="20"/>
  <c r="G31" i="20"/>
  <c r="H31" i="20"/>
  <c r="I31" i="20"/>
  <c r="J31" i="20"/>
  <c r="K31" i="20"/>
  <c r="L31" i="20"/>
  <c r="M31" i="20"/>
  <c r="C31" i="20"/>
  <c r="E30" i="20"/>
  <c r="F30" i="20"/>
  <c r="G30" i="20"/>
  <c r="H30" i="20"/>
  <c r="I30" i="20"/>
  <c r="J30" i="20"/>
  <c r="K30" i="20"/>
  <c r="L30" i="20"/>
  <c r="M30" i="20"/>
  <c r="D30" i="20"/>
  <c r="M28" i="20"/>
  <c r="L28" i="20"/>
  <c r="K28" i="20"/>
  <c r="J28" i="20"/>
  <c r="M27" i="20"/>
  <c r="L27" i="20"/>
  <c r="K27" i="20"/>
  <c r="J27" i="20"/>
  <c r="C30" i="20"/>
  <c r="C12" i="20"/>
  <c r="E36" i="28"/>
  <c r="C33" i="37"/>
  <c r="C57" i="20"/>
  <c r="C58" i="20"/>
  <c r="C63" i="28"/>
  <c r="E14" i="29"/>
  <c r="E82" i="29"/>
  <c r="F14" i="29"/>
  <c r="F82" i="29"/>
  <c r="D53" i="47"/>
  <c r="C53" i="47"/>
  <c r="K68" i="29"/>
  <c r="K82" i="29"/>
  <c r="D55" i="47"/>
  <c r="C55" i="47"/>
  <c r="C83" i="32"/>
  <c r="F9" i="32"/>
  <c r="C22" i="32"/>
  <c r="C29" i="32"/>
  <c r="C40" i="32"/>
  <c r="C47" i="32"/>
  <c r="C58" i="32"/>
  <c r="C62" i="32"/>
  <c r="C23" i="32"/>
  <c r="C41" i="32"/>
  <c r="C59" i="32"/>
  <c r="C63" i="32"/>
  <c r="C24" i="32"/>
  <c r="C42" i="32"/>
  <c r="C60" i="32"/>
  <c r="C64" i="32"/>
  <c r="C65" i="32"/>
  <c r="C73" i="32"/>
  <c r="C77" i="32"/>
  <c r="D11" i="32"/>
  <c r="D22" i="32"/>
  <c r="D29" i="32"/>
  <c r="D40" i="32"/>
  <c r="D47" i="32"/>
  <c r="D58" i="32"/>
  <c r="D62" i="32"/>
  <c r="D20" i="32"/>
  <c r="D23" i="32"/>
  <c r="D38" i="32"/>
  <c r="D41" i="32"/>
  <c r="D56" i="32"/>
  <c r="D59" i="32"/>
  <c r="D63" i="32"/>
  <c r="D21" i="32"/>
  <c r="D24" i="32"/>
  <c r="D39" i="32"/>
  <c r="D42" i="32"/>
  <c r="D57" i="32"/>
  <c r="D60" i="32"/>
  <c r="D64" i="32"/>
  <c r="D65" i="32"/>
  <c r="D73" i="32"/>
  <c r="D77" i="32"/>
  <c r="E11" i="32"/>
  <c r="E22" i="32"/>
  <c r="E29" i="32"/>
  <c r="E40" i="32"/>
  <c r="E47" i="32"/>
  <c r="E58" i="32"/>
  <c r="E62" i="32"/>
  <c r="E20" i="32"/>
  <c r="E23" i="32"/>
  <c r="E38" i="32"/>
  <c r="E41" i="32"/>
  <c r="E56" i="32"/>
  <c r="E59" i="32"/>
  <c r="E63" i="32"/>
  <c r="E21" i="32"/>
  <c r="E24" i="32"/>
  <c r="E39" i="32"/>
  <c r="E42" i="32"/>
  <c r="E57" i="32"/>
  <c r="E60" i="32"/>
  <c r="E64" i="32"/>
  <c r="E65" i="32"/>
  <c r="E73" i="32"/>
  <c r="E77" i="32"/>
  <c r="F11" i="32"/>
  <c r="F22" i="32"/>
  <c r="F29" i="32"/>
  <c r="F40" i="32"/>
  <c r="F47" i="32"/>
  <c r="F58" i="32"/>
  <c r="F62" i="32"/>
  <c r="F20" i="32"/>
  <c r="F23" i="32"/>
  <c r="F38" i="32"/>
  <c r="F41" i="32"/>
  <c r="F56" i="32"/>
  <c r="F59" i="32"/>
  <c r="F63" i="32"/>
  <c r="F21" i="32"/>
  <c r="F24" i="32"/>
  <c r="F39" i="32"/>
  <c r="F42" i="32"/>
  <c r="F57" i="32"/>
  <c r="F60" i="32"/>
  <c r="F64" i="32"/>
  <c r="F65" i="32"/>
  <c r="F73" i="32"/>
  <c r="F77" i="32"/>
  <c r="G11" i="32"/>
  <c r="G9" i="32"/>
  <c r="G22" i="32"/>
  <c r="G29" i="32"/>
  <c r="G40" i="32"/>
  <c r="G47" i="32"/>
  <c r="G58" i="32"/>
  <c r="G62" i="32"/>
  <c r="G20" i="32"/>
  <c r="G23" i="32"/>
  <c r="G38" i="32"/>
  <c r="G41" i="32"/>
  <c r="G56" i="32"/>
  <c r="G59" i="32"/>
  <c r="G63" i="32"/>
  <c r="G21" i="32"/>
  <c r="G24" i="32"/>
  <c r="G39" i="32"/>
  <c r="G42" i="32"/>
  <c r="G57" i="32"/>
  <c r="G60" i="32"/>
  <c r="G64" i="32"/>
  <c r="G65" i="32"/>
  <c r="G73" i="32"/>
  <c r="G77" i="32"/>
  <c r="H11" i="32"/>
  <c r="H9" i="32"/>
  <c r="H22" i="32"/>
  <c r="H29" i="32"/>
  <c r="H40" i="32"/>
  <c r="H47" i="32"/>
  <c r="H58" i="32"/>
  <c r="H62" i="32"/>
  <c r="H20" i="32"/>
  <c r="H23" i="32"/>
  <c r="H38" i="32"/>
  <c r="H41" i="32"/>
  <c r="H56" i="32"/>
  <c r="H59" i="32"/>
  <c r="H63" i="32"/>
  <c r="H21" i="32"/>
  <c r="H24" i="32"/>
  <c r="H39" i="32"/>
  <c r="H42" i="32"/>
  <c r="H57" i="32"/>
  <c r="H60" i="32"/>
  <c r="H64" i="32"/>
  <c r="H65" i="32"/>
  <c r="H73" i="32"/>
  <c r="H77" i="32"/>
  <c r="I11" i="32"/>
  <c r="I9" i="32"/>
  <c r="I22" i="32"/>
  <c r="I29" i="32"/>
  <c r="I40" i="32"/>
  <c r="I47" i="32"/>
  <c r="I58" i="32"/>
  <c r="I62" i="32"/>
  <c r="I20" i="32"/>
  <c r="I23" i="32"/>
  <c r="I38" i="32"/>
  <c r="I41" i="32"/>
  <c r="I56" i="32"/>
  <c r="I59" i="32"/>
  <c r="I63" i="32"/>
  <c r="I21" i="32"/>
  <c r="I24" i="32"/>
  <c r="I39" i="32"/>
  <c r="I42" i="32"/>
  <c r="I57" i="32"/>
  <c r="I60" i="32"/>
  <c r="I64" i="32"/>
  <c r="I65" i="32"/>
  <c r="I73" i="32"/>
  <c r="I77" i="32"/>
  <c r="J11" i="32"/>
  <c r="J9" i="32"/>
  <c r="J22" i="32"/>
  <c r="J29" i="32"/>
  <c r="J40" i="32"/>
  <c r="J47" i="32"/>
  <c r="J58" i="32"/>
  <c r="J62" i="32"/>
  <c r="J20" i="32"/>
  <c r="J23" i="32"/>
  <c r="J38" i="32"/>
  <c r="J41" i="32"/>
  <c r="J56" i="32"/>
  <c r="J59" i="32"/>
  <c r="J63" i="32"/>
  <c r="J21" i="32"/>
  <c r="J24" i="32"/>
  <c r="J39" i="32"/>
  <c r="J42" i="32"/>
  <c r="J57" i="32"/>
  <c r="J60" i="32"/>
  <c r="J64" i="32"/>
  <c r="J65" i="32"/>
  <c r="J73" i="32"/>
  <c r="J77" i="32"/>
  <c r="K11" i="32"/>
  <c r="K9" i="32"/>
  <c r="K22" i="32"/>
  <c r="K29" i="32"/>
  <c r="K40" i="32"/>
  <c r="K47" i="32"/>
  <c r="K58" i="32"/>
  <c r="K62" i="32"/>
  <c r="K20" i="32"/>
  <c r="K23" i="32"/>
  <c r="K38" i="32"/>
  <c r="K41" i="32"/>
  <c r="K56" i="32"/>
  <c r="K59" i="32"/>
  <c r="K63" i="32"/>
  <c r="K21" i="32"/>
  <c r="K24" i="32"/>
  <c r="K39" i="32"/>
  <c r="K42" i="32"/>
  <c r="K57" i="32"/>
  <c r="K60" i="32"/>
  <c r="K64" i="32"/>
  <c r="K65" i="32"/>
  <c r="K73" i="32"/>
  <c r="K77" i="32"/>
  <c r="L11" i="32"/>
  <c r="L9" i="32"/>
  <c r="L22" i="32"/>
  <c r="L29" i="32"/>
  <c r="L40" i="32"/>
  <c r="L47" i="32"/>
  <c r="L58" i="32"/>
  <c r="L62" i="32"/>
  <c r="L20" i="32"/>
  <c r="L23" i="32"/>
  <c r="L38" i="32"/>
  <c r="L41" i="32"/>
  <c r="L56" i="32"/>
  <c r="L59" i="32"/>
  <c r="L63" i="32"/>
  <c r="L21" i="32"/>
  <c r="L24" i="32"/>
  <c r="L39" i="32"/>
  <c r="L42" i="32"/>
  <c r="L57" i="32"/>
  <c r="L60" i="32"/>
  <c r="L64" i="32"/>
  <c r="L65" i="32"/>
  <c r="L73" i="32"/>
  <c r="L77" i="32"/>
  <c r="M11" i="32"/>
  <c r="M9" i="32"/>
  <c r="M22" i="32"/>
  <c r="M29" i="32"/>
  <c r="M40" i="32"/>
  <c r="M47" i="32"/>
  <c r="M58" i="32"/>
  <c r="M62" i="32"/>
  <c r="M20" i="32"/>
  <c r="M23" i="32"/>
  <c r="M38" i="32"/>
  <c r="M41" i="32"/>
  <c r="M56" i="32"/>
  <c r="M59" i="32"/>
  <c r="M63" i="32"/>
  <c r="M21" i="32"/>
  <c r="M24" i="32"/>
  <c r="M39" i="32"/>
  <c r="M42" i="32"/>
  <c r="M57" i="32"/>
  <c r="M60" i="32"/>
  <c r="M64" i="32"/>
  <c r="M65" i="32"/>
  <c r="M73" i="32"/>
  <c r="M74" i="32"/>
  <c r="M75" i="32"/>
  <c r="M77" i="32"/>
  <c r="C79" i="32"/>
  <c r="D83" i="32"/>
  <c r="C21" i="18"/>
  <c r="D109" i="18"/>
  <c r="H85" i="29"/>
  <c r="I85" i="29"/>
  <c r="D107" i="18"/>
  <c r="D106" i="18"/>
  <c r="D18" i="22"/>
  <c r="E18" i="22"/>
  <c r="F18" i="22"/>
  <c r="G18" i="22"/>
  <c r="H18" i="22"/>
  <c r="I18" i="22"/>
  <c r="J18" i="22"/>
  <c r="K18" i="22"/>
  <c r="L18" i="22"/>
  <c r="M18" i="22"/>
  <c r="C19" i="22"/>
  <c r="D19" i="22"/>
  <c r="E19" i="22"/>
  <c r="F19" i="22"/>
  <c r="G19" i="22"/>
  <c r="H19" i="22"/>
  <c r="I19" i="22"/>
  <c r="J19" i="22"/>
  <c r="K19" i="22"/>
  <c r="L19" i="22"/>
  <c r="M19" i="22"/>
  <c r="D20" i="22"/>
  <c r="G20" i="22"/>
  <c r="H20" i="22"/>
  <c r="I20" i="22"/>
  <c r="J20" i="22"/>
  <c r="K20" i="22"/>
  <c r="L20" i="22"/>
  <c r="M20" i="22"/>
  <c r="C21" i="22"/>
  <c r="D4" i="22"/>
  <c r="D21" i="22"/>
  <c r="E4" i="22"/>
  <c r="E21" i="22"/>
  <c r="F4" i="22"/>
  <c r="F21" i="22"/>
  <c r="G4" i="22"/>
  <c r="G21" i="22"/>
  <c r="H4" i="22"/>
  <c r="H21" i="22"/>
  <c r="I4" i="22"/>
  <c r="I21" i="22"/>
  <c r="J4" i="22"/>
  <c r="J21" i="22"/>
  <c r="K4" i="22"/>
  <c r="K21" i="22"/>
  <c r="L4" i="22"/>
  <c r="L21" i="22"/>
  <c r="M4" i="22"/>
  <c r="M21" i="22"/>
  <c r="C22" i="22"/>
  <c r="D22" i="22"/>
  <c r="E22" i="22"/>
  <c r="F22" i="22"/>
  <c r="G22" i="22"/>
  <c r="H22" i="22"/>
  <c r="I22" i="22"/>
  <c r="J22" i="22"/>
  <c r="K22" i="22"/>
  <c r="L22" i="22"/>
  <c r="M22" i="22"/>
  <c r="C12" i="22"/>
  <c r="C109" i="22"/>
  <c r="C103" i="22"/>
  <c r="D58" i="20"/>
  <c r="D56" i="20"/>
  <c r="D57" i="20"/>
  <c r="D54" i="47"/>
  <c r="D59" i="26"/>
  <c r="L64" i="29"/>
  <c r="L81" i="29"/>
  <c r="D55" i="19"/>
  <c r="D54" i="19"/>
  <c r="E13" i="29"/>
  <c r="E81" i="29"/>
  <c r="F13" i="29"/>
  <c r="F81" i="29"/>
  <c r="D53" i="19"/>
  <c r="E9" i="14"/>
  <c r="G9" i="14"/>
  <c r="H9" i="14"/>
  <c r="I9" i="14"/>
  <c r="J9" i="14"/>
  <c r="K9" i="14"/>
  <c r="L9" i="14"/>
  <c r="M9" i="14"/>
  <c r="C78" i="14"/>
  <c r="D10" i="14"/>
  <c r="E11" i="14"/>
  <c r="E10" i="14"/>
  <c r="F11" i="14"/>
  <c r="F10" i="14"/>
  <c r="G11" i="14"/>
  <c r="G10" i="14"/>
  <c r="H15" i="14"/>
  <c r="H11" i="14"/>
  <c r="H10" i="14"/>
  <c r="I15" i="14"/>
  <c r="I11" i="14"/>
  <c r="I10" i="14"/>
  <c r="J15" i="14"/>
  <c r="J11" i="14"/>
  <c r="J10" i="14"/>
  <c r="K15" i="14"/>
  <c r="K11" i="14"/>
  <c r="K10" i="14"/>
  <c r="L15" i="14"/>
  <c r="L11" i="14"/>
  <c r="L10" i="14"/>
  <c r="M15" i="14"/>
  <c r="M11" i="14"/>
  <c r="M10" i="14"/>
  <c r="D11" i="14"/>
  <c r="D13" i="14"/>
  <c r="E13" i="14"/>
  <c r="F13" i="14"/>
  <c r="G13" i="14"/>
  <c r="H13" i="14"/>
  <c r="I13" i="14"/>
  <c r="J13" i="14"/>
  <c r="K13" i="14"/>
  <c r="L13" i="14"/>
  <c r="M13" i="14"/>
  <c r="C14" i="14"/>
  <c r="C24" i="14"/>
  <c r="D4" i="14"/>
  <c r="D14" i="14"/>
  <c r="E4" i="14"/>
  <c r="E14" i="14"/>
  <c r="F4" i="14"/>
  <c r="F14" i="14"/>
  <c r="G4" i="14"/>
  <c r="G14" i="14"/>
  <c r="H4" i="14"/>
  <c r="H14" i="14"/>
  <c r="I4" i="14"/>
  <c r="I14" i="14"/>
  <c r="J4" i="14"/>
  <c r="J14" i="14"/>
  <c r="K4" i="14"/>
  <c r="K14" i="14"/>
  <c r="L4" i="14"/>
  <c r="L14" i="14"/>
  <c r="M4" i="14"/>
  <c r="M14" i="14"/>
  <c r="C34" i="14"/>
  <c r="C44" i="14"/>
  <c r="C54" i="14"/>
  <c r="D24" i="14"/>
  <c r="D34" i="14"/>
  <c r="D44" i="14"/>
  <c r="D54" i="14"/>
  <c r="E24" i="14"/>
  <c r="E34" i="14"/>
  <c r="E44" i="14"/>
  <c r="E54" i="14"/>
  <c r="F24" i="14"/>
  <c r="F34" i="14"/>
  <c r="F44" i="14"/>
  <c r="F54" i="14"/>
  <c r="G24" i="14"/>
  <c r="G34" i="14"/>
  <c r="G44" i="14"/>
  <c r="G54" i="14"/>
  <c r="H24" i="14"/>
  <c r="H34" i="14"/>
  <c r="H44" i="14"/>
  <c r="H54" i="14"/>
  <c r="I24" i="14"/>
  <c r="I34" i="14"/>
  <c r="I44" i="14"/>
  <c r="I54" i="14"/>
  <c r="J24" i="14"/>
  <c r="J34" i="14"/>
  <c r="J44" i="14"/>
  <c r="J54" i="14"/>
  <c r="K24" i="14"/>
  <c r="K34" i="14"/>
  <c r="K44" i="14"/>
  <c r="K54" i="14"/>
  <c r="L24" i="14"/>
  <c r="L34" i="14"/>
  <c r="L44" i="14"/>
  <c r="L54" i="14"/>
  <c r="M24" i="14"/>
  <c r="M34" i="14"/>
  <c r="M44" i="14"/>
  <c r="M54" i="14"/>
  <c r="D39" i="14"/>
  <c r="E39" i="14"/>
  <c r="F39" i="14"/>
  <c r="G39" i="14"/>
  <c r="H39" i="14"/>
  <c r="I39" i="14"/>
  <c r="J39" i="14"/>
  <c r="K39" i="14"/>
  <c r="L39" i="14"/>
  <c r="M39" i="14"/>
  <c r="D40" i="14"/>
  <c r="E45" i="14"/>
  <c r="E41" i="14"/>
  <c r="E40" i="14"/>
  <c r="F45" i="14"/>
  <c r="F41" i="14"/>
  <c r="F40" i="14"/>
  <c r="G45" i="14"/>
  <c r="G41" i="14"/>
  <c r="G40" i="14"/>
  <c r="H45" i="14"/>
  <c r="H41" i="14"/>
  <c r="H40" i="14"/>
  <c r="I41" i="14"/>
  <c r="I40" i="14"/>
  <c r="J41" i="14"/>
  <c r="J40" i="14"/>
  <c r="K41" i="14"/>
  <c r="K40" i="14"/>
  <c r="L41" i="14"/>
  <c r="L40" i="14"/>
  <c r="M45" i="14"/>
  <c r="M41" i="14"/>
  <c r="M40" i="14"/>
  <c r="D41" i="14"/>
  <c r="D43" i="14"/>
  <c r="E43" i="14"/>
  <c r="F43" i="14"/>
  <c r="G43" i="14"/>
  <c r="H43" i="14"/>
  <c r="I43" i="14"/>
  <c r="J43" i="14"/>
  <c r="K43" i="14"/>
  <c r="L43" i="14"/>
  <c r="M43" i="14"/>
  <c r="C62" i="14"/>
  <c r="E62" i="14"/>
  <c r="F62" i="14"/>
  <c r="G62" i="14"/>
  <c r="H62" i="14"/>
  <c r="I62" i="14"/>
  <c r="J62" i="14"/>
  <c r="K62" i="14"/>
  <c r="L62" i="14"/>
  <c r="M62" i="14"/>
  <c r="D62" i="14"/>
  <c r="E25" i="14"/>
  <c r="D80" i="14"/>
  <c r="C80" i="14"/>
  <c r="E35" i="14"/>
  <c r="E31" i="14"/>
  <c r="E55" i="14"/>
  <c r="F35" i="14"/>
  <c r="F31" i="14"/>
  <c r="F55" i="14"/>
  <c r="G35" i="14"/>
  <c r="G31" i="14"/>
  <c r="G55" i="14"/>
  <c r="H31" i="14"/>
  <c r="H55" i="14"/>
  <c r="I25" i="14"/>
  <c r="I31" i="14"/>
  <c r="I55" i="14"/>
  <c r="J25" i="14"/>
  <c r="J31" i="14"/>
  <c r="K25" i="14"/>
  <c r="K35" i="14"/>
  <c r="K31" i="14"/>
  <c r="L25" i="14"/>
  <c r="L35" i="14"/>
  <c r="L31" i="14"/>
  <c r="M25" i="14"/>
  <c r="M35" i="14"/>
  <c r="M31" i="14"/>
  <c r="M55" i="14"/>
  <c r="D31" i="14"/>
  <c r="F16" i="15"/>
  <c r="G16" i="15"/>
  <c r="H16" i="15"/>
  <c r="I16" i="15"/>
  <c r="J16" i="15"/>
  <c r="K16" i="15"/>
  <c r="L16" i="15"/>
  <c r="M16" i="15"/>
  <c r="N16" i="15"/>
  <c r="E16" i="15"/>
  <c r="N92" i="29"/>
  <c r="K92" i="29"/>
  <c r="J92" i="29"/>
  <c r="I92" i="29"/>
  <c r="G91" i="29"/>
  <c r="F91" i="29"/>
  <c r="N89" i="29"/>
  <c r="M89" i="29"/>
  <c r="J89" i="29"/>
  <c r="G89" i="29"/>
  <c r="F88" i="29"/>
  <c r="E88" i="29"/>
  <c r="N87" i="29"/>
  <c r="M74" i="29"/>
  <c r="M87" i="29"/>
  <c r="L87" i="29"/>
  <c r="K87" i="29"/>
  <c r="J87" i="29"/>
  <c r="I87" i="29"/>
  <c r="H56" i="29"/>
  <c r="H87" i="29"/>
  <c r="G87" i="29"/>
  <c r="F33" i="29"/>
  <c r="F87" i="29"/>
  <c r="E33" i="29"/>
  <c r="E87" i="29"/>
  <c r="H86" i="29"/>
  <c r="F86" i="29"/>
  <c r="E86" i="29"/>
  <c r="N85" i="29"/>
  <c r="M85" i="29"/>
  <c r="L85" i="29"/>
  <c r="K85" i="29"/>
  <c r="J85" i="29"/>
  <c r="G85" i="29"/>
  <c r="F85" i="29"/>
  <c r="E85" i="29"/>
  <c r="N84" i="29"/>
  <c r="M84" i="29"/>
  <c r="L84" i="29"/>
  <c r="K84" i="29"/>
  <c r="J84" i="29"/>
  <c r="I84" i="29"/>
  <c r="H84" i="29"/>
  <c r="G84" i="29"/>
  <c r="E84" i="29"/>
  <c r="N82" i="29"/>
  <c r="M82" i="29"/>
  <c r="L82" i="29"/>
  <c r="G82" i="29"/>
  <c r="N81" i="29"/>
  <c r="M81" i="29"/>
  <c r="K81" i="29"/>
  <c r="N78" i="29"/>
  <c r="J78" i="29"/>
  <c r="G78" i="29"/>
  <c r="G81" i="29"/>
  <c r="N80" i="29"/>
  <c r="M80" i="29"/>
  <c r="H80" i="29"/>
  <c r="G80" i="29"/>
  <c r="N79" i="29"/>
  <c r="M79" i="29"/>
  <c r="K79" i="29"/>
  <c r="G79" i="29"/>
  <c r="M78" i="29"/>
  <c r="L78" i="29"/>
  <c r="K78" i="29"/>
  <c r="F78" i="29"/>
  <c r="E78" i="29"/>
  <c r="E91" i="29"/>
  <c r="E24" i="29"/>
  <c r="L89" i="29"/>
  <c r="K89" i="29"/>
  <c r="L61" i="29"/>
  <c r="K61" i="29"/>
  <c r="I89" i="29"/>
  <c r="H89" i="29"/>
  <c r="I55" i="29"/>
  <c r="H55" i="29"/>
  <c r="F23" i="29"/>
  <c r="E23" i="29"/>
  <c r="F22" i="29"/>
  <c r="E22" i="29"/>
  <c r="C22" i="29"/>
  <c r="F15" i="29"/>
  <c r="E15" i="29"/>
  <c r="C15" i="29"/>
  <c r="F11" i="29"/>
  <c r="E11" i="29"/>
  <c r="C11" i="29"/>
  <c r="E18" i="29"/>
  <c r="F18" i="29"/>
  <c r="C18" i="29"/>
  <c r="C69" i="29"/>
  <c r="M66" i="29"/>
  <c r="L66" i="29"/>
  <c r="C66" i="29"/>
  <c r="M65" i="29"/>
  <c r="L65" i="29"/>
  <c r="M92" i="29"/>
  <c r="L92" i="29"/>
  <c r="M73" i="29"/>
  <c r="L73" i="29"/>
  <c r="C73" i="29"/>
  <c r="K65" i="29"/>
  <c r="C65" i="29"/>
  <c r="H92" i="29"/>
  <c r="D33" i="23"/>
  <c r="M8" i="23"/>
  <c r="E8" i="23"/>
  <c r="F8" i="23"/>
  <c r="G8" i="23"/>
  <c r="I8" i="23"/>
  <c r="J8" i="23"/>
  <c r="K8" i="23"/>
  <c r="L8" i="23"/>
  <c r="D8" i="23"/>
  <c r="A90" i="28"/>
  <c r="A89" i="28"/>
  <c r="A88" i="28"/>
  <c r="A87" i="28"/>
  <c r="A86" i="28"/>
  <c r="F15" i="36"/>
  <c r="D6" i="36"/>
  <c r="D7" i="36"/>
  <c r="D8" i="36"/>
  <c r="F16" i="36"/>
  <c r="F18" i="36"/>
  <c r="D30" i="28"/>
  <c r="F30" i="28"/>
  <c r="G30" i="28"/>
  <c r="H30" i="28"/>
  <c r="I30" i="28"/>
  <c r="J30" i="28"/>
  <c r="K30" i="28"/>
  <c r="L30" i="28"/>
  <c r="M30" i="28"/>
  <c r="N30" i="28"/>
  <c r="F83" i="28"/>
  <c r="F25" i="29"/>
  <c r="F90" i="29"/>
  <c r="F14" i="15"/>
  <c r="D90" i="29"/>
  <c r="D14" i="15"/>
  <c r="E90" i="29"/>
  <c r="E14" i="15"/>
  <c r="G90" i="29"/>
  <c r="G14" i="15"/>
  <c r="H14" i="15"/>
  <c r="I14" i="15"/>
  <c r="J14" i="15"/>
  <c r="K14" i="15"/>
  <c r="L14" i="15"/>
  <c r="M14" i="15"/>
  <c r="N14" i="15"/>
  <c r="F88" i="28"/>
  <c r="D88" i="29"/>
  <c r="D12" i="15"/>
  <c r="E12" i="15"/>
  <c r="F12" i="15"/>
  <c r="G88" i="29"/>
  <c r="G12" i="15"/>
  <c r="H12" i="15"/>
  <c r="I12" i="15"/>
  <c r="J12" i="15"/>
  <c r="K12" i="15"/>
  <c r="L12" i="15"/>
  <c r="M12" i="15"/>
  <c r="N12" i="15"/>
  <c r="F86" i="28"/>
  <c r="D89" i="29"/>
  <c r="D13" i="15"/>
  <c r="E89" i="29"/>
  <c r="E13" i="15"/>
  <c r="F89" i="29"/>
  <c r="F13" i="15"/>
  <c r="G13" i="15"/>
  <c r="H13" i="15"/>
  <c r="I13" i="15"/>
  <c r="J13" i="15"/>
  <c r="K13" i="15"/>
  <c r="L13" i="15"/>
  <c r="M13" i="15"/>
  <c r="N13" i="15"/>
  <c r="F87" i="28"/>
  <c r="D15" i="15"/>
  <c r="E15" i="15"/>
  <c r="F15" i="15"/>
  <c r="G15" i="15"/>
  <c r="H15" i="15"/>
  <c r="I15" i="15"/>
  <c r="J15" i="15"/>
  <c r="K15" i="15"/>
  <c r="L15" i="15"/>
  <c r="M15" i="15"/>
  <c r="N15" i="15"/>
  <c r="F89" i="28"/>
  <c r="D92" i="29"/>
  <c r="D16" i="15"/>
  <c r="E92" i="29"/>
  <c r="F92" i="29"/>
  <c r="G92" i="29"/>
  <c r="F90" i="28"/>
  <c r="D87" i="29"/>
  <c r="D9" i="15"/>
  <c r="E9" i="15"/>
  <c r="F9" i="15"/>
  <c r="G9" i="15"/>
  <c r="H9" i="15"/>
  <c r="I9" i="15"/>
  <c r="J9" i="15"/>
  <c r="K9" i="15"/>
  <c r="L9" i="15"/>
  <c r="M9" i="15"/>
  <c r="N9" i="15"/>
  <c r="F91" i="28"/>
  <c r="F92" i="28"/>
  <c r="D79" i="29"/>
  <c r="C98" i="28"/>
  <c r="D98" i="28"/>
  <c r="E98" i="28"/>
  <c r="F98" i="28"/>
  <c r="C64" i="14"/>
  <c r="C66" i="14"/>
  <c r="D18" i="28"/>
  <c r="E18" i="28"/>
  <c r="F18" i="28"/>
  <c r="F64" i="14"/>
  <c r="F66" i="14"/>
  <c r="G18" i="28"/>
  <c r="G64" i="14"/>
  <c r="G66" i="14"/>
  <c r="H18" i="28"/>
  <c r="H64" i="14"/>
  <c r="H66" i="14"/>
  <c r="I18" i="28"/>
  <c r="I64" i="14"/>
  <c r="I66" i="14"/>
  <c r="J18" i="28"/>
  <c r="J64" i="14"/>
  <c r="J66" i="14"/>
  <c r="K18" i="28"/>
  <c r="L18" i="28"/>
  <c r="L64" i="14"/>
  <c r="L66" i="14"/>
  <c r="M18" i="28"/>
  <c r="M64" i="14"/>
  <c r="M66" i="14"/>
  <c r="N18" i="28"/>
  <c r="F73" i="28"/>
  <c r="D81" i="29"/>
  <c r="C39" i="19"/>
  <c r="C41" i="19"/>
  <c r="C43" i="19"/>
  <c r="D19" i="28"/>
  <c r="D39" i="19"/>
  <c r="D41" i="19"/>
  <c r="D43" i="19"/>
  <c r="E19" i="28"/>
  <c r="E39" i="19"/>
  <c r="E41" i="19"/>
  <c r="E43" i="19"/>
  <c r="F19" i="28"/>
  <c r="F39" i="19"/>
  <c r="F41" i="19"/>
  <c r="F43" i="19"/>
  <c r="G19" i="28"/>
  <c r="G39" i="19"/>
  <c r="G41" i="19"/>
  <c r="G43" i="19"/>
  <c r="H19" i="28"/>
  <c r="H39" i="19"/>
  <c r="H41" i="19"/>
  <c r="H43" i="19"/>
  <c r="I19" i="28"/>
  <c r="I39" i="19"/>
  <c r="I41" i="19"/>
  <c r="I43" i="19"/>
  <c r="J19" i="28"/>
  <c r="J39" i="19"/>
  <c r="J41" i="19"/>
  <c r="J43" i="19"/>
  <c r="K19" i="28"/>
  <c r="K39" i="19"/>
  <c r="K41" i="19"/>
  <c r="K43" i="19"/>
  <c r="L19" i="28"/>
  <c r="L39" i="19"/>
  <c r="L41" i="19"/>
  <c r="L43" i="19"/>
  <c r="M19" i="28"/>
  <c r="M39" i="19"/>
  <c r="M41" i="19"/>
  <c r="M43" i="19"/>
  <c r="N19" i="28"/>
  <c r="F74" i="28"/>
  <c r="D80" i="29"/>
  <c r="C42" i="26"/>
  <c r="C44" i="26"/>
  <c r="C46" i="26"/>
  <c r="D20" i="28"/>
  <c r="D42" i="26"/>
  <c r="E20" i="28"/>
  <c r="E42" i="26"/>
  <c r="F20" i="28"/>
  <c r="F42" i="26"/>
  <c r="F44" i="26"/>
  <c r="F46" i="26"/>
  <c r="G20" i="28"/>
  <c r="G42" i="26"/>
  <c r="G44" i="26"/>
  <c r="G46" i="26"/>
  <c r="H20" i="28"/>
  <c r="H42" i="26"/>
  <c r="H44" i="26"/>
  <c r="H46" i="26"/>
  <c r="I20" i="28"/>
  <c r="I42" i="26"/>
  <c r="I44" i="26"/>
  <c r="I46" i="26"/>
  <c r="J20" i="28"/>
  <c r="J42" i="26"/>
  <c r="K20" i="28"/>
  <c r="K42" i="26"/>
  <c r="L20" i="28"/>
  <c r="L42" i="26"/>
  <c r="L44" i="26"/>
  <c r="L46" i="26"/>
  <c r="M20" i="28"/>
  <c r="M42" i="26"/>
  <c r="M44" i="26"/>
  <c r="M46" i="26"/>
  <c r="N20" i="28"/>
  <c r="F75" i="28"/>
  <c r="C39" i="47"/>
  <c r="C41" i="47"/>
  <c r="C43" i="47"/>
  <c r="D21" i="28"/>
  <c r="D39" i="47"/>
  <c r="D41" i="47"/>
  <c r="D43" i="47"/>
  <c r="E21" i="28"/>
  <c r="E39" i="47"/>
  <c r="E41" i="47"/>
  <c r="E43" i="47"/>
  <c r="F21" i="28"/>
  <c r="F39" i="47"/>
  <c r="F41" i="47"/>
  <c r="F43" i="47"/>
  <c r="G21" i="28"/>
  <c r="G39" i="47"/>
  <c r="G41" i="47"/>
  <c r="G43" i="47"/>
  <c r="H21" i="28"/>
  <c r="H39" i="47"/>
  <c r="H41" i="47"/>
  <c r="H43" i="47"/>
  <c r="I21" i="28"/>
  <c r="I39" i="47"/>
  <c r="I41" i="47"/>
  <c r="I43" i="47"/>
  <c r="J21" i="28"/>
  <c r="J39" i="47"/>
  <c r="J41" i="47"/>
  <c r="J43" i="47"/>
  <c r="K21" i="28"/>
  <c r="K39" i="47"/>
  <c r="K41" i="47"/>
  <c r="K43" i="47"/>
  <c r="L21" i="28"/>
  <c r="L39" i="47"/>
  <c r="L41" i="47"/>
  <c r="L43" i="47"/>
  <c r="M21" i="28"/>
  <c r="M39" i="47"/>
  <c r="M41" i="47"/>
  <c r="M43" i="47"/>
  <c r="N21" i="28"/>
  <c r="F76" i="28"/>
  <c r="D84" i="29"/>
  <c r="C99" i="28"/>
  <c r="D99" i="28"/>
  <c r="E99" i="28"/>
  <c r="F99" i="28"/>
  <c r="C40" i="20"/>
  <c r="C42" i="20"/>
  <c r="C44" i="20"/>
  <c r="D22" i="28"/>
  <c r="D4" i="20"/>
  <c r="D40" i="20"/>
  <c r="D42" i="20"/>
  <c r="D44" i="20"/>
  <c r="E22" i="28"/>
  <c r="E4" i="20"/>
  <c r="E40" i="20"/>
  <c r="F22" i="28"/>
  <c r="F4" i="20"/>
  <c r="F40" i="20"/>
  <c r="F42" i="20"/>
  <c r="F44" i="20"/>
  <c r="G22" i="28"/>
  <c r="G4" i="20"/>
  <c r="G40" i="20"/>
  <c r="G42" i="20"/>
  <c r="G44" i="20"/>
  <c r="H22" i="28"/>
  <c r="I40" i="29"/>
  <c r="H4" i="20"/>
  <c r="H40" i="20"/>
  <c r="H42" i="20"/>
  <c r="H44" i="20"/>
  <c r="I22" i="28"/>
  <c r="I4" i="20"/>
  <c r="I40" i="20"/>
  <c r="I42" i="20"/>
  <c r="I44" i="20"/>
  <c r="J22" i="28"/>
  <c r="J4" i="20"/>
  <c r="J40" i="20"/>
  <c r="J42" i="20"/>
  <c r="J44" i="20"/>
  <c r="K22" i="28"/>
  <c r="K4" i="20"/>
  <c r="K40" i="20"/>
  <c r="K42" i="20"/>
  <c r="K44" i="20"/>
  <c r="L22" i="28"/>
  <c r="L4" i="20"/>
  <c r="L40" i="20"/>
  <c r="L42" i="20"/>
  <c r="L44" i="20"/>
  <c r="M22" i="28"/>
  <c r="M4" i="20"/>
  <c r="M40" i="20"/>
  <c r="M42" i="20"/>
  <c r="M44" i="20"/>
  <c r="N22" i="28"/>
  <c r="F77" i="28"/>
  <c r="D83" i="29"/>
  <c r="C105" i="28"/>
  <c r="D105" i="28"/>
  <c r="E105" i="28"/>
  <c r="F105" i="28"/>
  <c r="C40" i="46"/>
  <c r="C42" i="46"/>
  <c r="C44" i="46"/>
  <c r="D23" i="28"/>
  <c r="D40" i="46"/>
  <c r="D42" i="46"/>
  <c r="D44" i="46"/>
  <c r="E23" i="28"/>
  <c r="E40" i="46"/>
  <c r="E42" i="46"/>
  <c r="E44" i="46"/>
  <c r="F23" i="28"/>
  <c r="F40" i="46"/>
  <c r="F42" i="46"/>
  <c r="F44" i="46"/>
  <c r="G23" i="28"/>
  <c r="G40" i="46"/>
  <c r="G42" i="46"/>
  <c r="G44" i="46"/>
  <c r="H23" i="28"/>
  <c r="H40" i="46"/>
  <c r="H42" i="46"/>
  <c r="H44" i="46"/>
  <c r="I23" i="28"/>
  <c r="I40" i="46"/>
  <c r="I42" i="46"/>
  <c r="I44" i="46"/>
  <c r="J23" i="28"/>
  <c r="J40" i="46"/>
  <c r="J42" i="46"/>
  <c r="J44" i="46"/>
  <c r="K23" i="28"/>
  <c r="K40" i="46"/>
  <c r="K42" i="46"/>
  <c r="K44" i="46"/>
  <c r="L23" i="28"/>
  <c r="L40" i="46"/>
  <c r="L42" i="46"/>
  <c r="L44" i="46"/>
  <c r="M23" i="28"/>
  <c r="M40" i="46"/>
  <c r="M42" i="46"/>
  <c r="M44" i="46"/>
  <c r="N23" i="28"/>
  <c r="D78" i="29"/>
  <c r="C100" i="28"/>
  <c r="D100" i="28"/>
  <c r="E100" i="28"/>
  <c r="F100" i="28"/>
  <c r="C85" i="22"/>
  <c r="D89" i="22"/>
  <c r="D91" i="22"/>
  <c r="E24" i="28"/>
  <c r="D85" i="22"/>
  <c r="E89" i="22"/>
  <c r="E91" i="22"/>
  <c r="F24" i="28"/>
  <c r="E85" i="22"/>
  <c r="F89" i="22"/>
  <c r="F91" i="22"/>
  <c r="G24" i="28"/>
  <c r="F85" i="22"/>
  <c r="G89" i="22"/>
  <c r="G91" i="22"/>
  <c r="H24" i="28"/>
  <c r="G85" i="22"/>
  <c r="I24" i="28"/>
  <c r="H85" i="22"/>
  <c r="J24" i="28"/>
  <c r="I85" i="22"/>
  <c r="J89" i="22"/>
  <c r="J91" i="22"/>
  <c r="K24" i="28"/>
  <c r="J85" i="22"/>
  <c r="K89" i="22"/>
  <c r="K91" i="22"/>
  <c r="L24" i="28"/>
  <c r="K85" i="22"/>
  <c r="L89" i="22"/>
  <c r="L91" i="22"/>
  <c r="M24" i="28"/>
  <c r="L85" i="22"/>
  <c r="M89" i="22"/>
  <c r="M91" i="22"/>
  <c r="N24" i="28"/>
  <c r="C91" i="22"/>
  <c r="D24" i="28"/>
  <c r="F79" i="28"/>
  <c r="D77" i="29"/>
  <c r="C103" i="28"/>
  <c r="D103" i="28"/>
  <c r="E103" i="28"/>
  <c r="F103" i="28"/>
  <c r="C17" i="23"/>
  <c r="C19" i="23"/>
  <c r="C21" i="23"/>
  <c r="D25" i="28"/>
  <c r="D17" i="23"/>
  <c r="D19" i="23"/>
  <c r="D21" i="23"/>
  <c r="E25" i="28"/>
  <c r="E17" i="23"/>
  <c r="E19" i="23"/>
  <c r="E21" i="23"/>
  <c r="F25" i="28"/>
  <c r="F17" i="23"/>
  <c r="F19" i="23"/>
  <c r="F21" i="23"/>
  <c r="G25" i="28"/>
  <c r="G17" i="23"/>
  <c r="H25" i="28"/>
  <c r="H17" i="23"/>
  <c r="H19" i="23"/>
  <c r="H21" i="23"/>
  <c r="I25" i="28"/>
  <c r="I17" i="23"/>
  <c r="I19" i="23"/>
  <c r="I21" i="23"/>
  <c r="J25" i="28"/>
  <c r="J17" i="23"/>
  <c r="J19" i="23"/>
  <c r="J21" i="23"/>
  <c r="K25" i="28"/>
  <c r="K17" i="23"/>
  <c r="K19" i="23"/>
  <c r="K21" i="23"/>
  <c r="L25" i="28"/>
  <c r="L17" i="23"/>
  <c r="L19" i="23"/>
  <c r="L21" i="23"/>
  <c r="M25" i="28"/>
  <c r="M17" i="23"/>
  <c r="M19" i="23"/>
  <c r="M21" i="23"/>
  <c r="N25" i="28"/>
  <c r="F80" i="28"/>
  <c r="D85" i="29"/>
  <c r="C104" i="28"/>
  <c r="D104" i="28"/>
  <c r="E104" i="28"/>
  <c r="F104" i="28"/>
  <c r="C90" i="18"/>
  <c r="C92" i="18"/>
  <c r="C94" i="18"/>
  <c r="D26" i="28"/>
  <c r="D90" i="18"/>
  <c r="D92" i="18"/>
  <c r="D94" i="18"/>
  <c r="E26" i="28"/>
  <c r="E90" i="18"/>
  <c r="E92" i="18"/>
  <c r="E94" i="18"/>
  <c r="F26" i="28"/>
  <c r="F90" i="18"/>
  <c r="F92" i="18"/>
  <c r="F94" i="18"/>
  <c r="G26" i="28"/>
  <c r="G90" i="18"/>
  <c r="G92" i="18"/>
  <c r="G94" i="18"/>
  <c r="H26" i="28"/>
  <c r="H90" i="18"/>
  <c r="H92" i="18"/>
  <c r="H94" i="18"/>
  <c r="I26" i="28"/>
  <c r="I90" i="18"/>
  <c r="I92" i="18"/>
  <c r="I94" i="18"/>
  <c r="J26" i="28"/>
  <c r="J90" i="18"/>
  <c r="J92" i="18"/>
  <c r="J94" i="18"/>
  <c r="K26" i="28"/>
  <c r="K90" i="18"/>
  <c r="K92" i="18"/>
  <c r="K94" i="18"/>
  <c r="L26" i="28"/>
  <c r="L90" i="18"/>
  <c r="L92" i="18"/>
  <c r="L94" i="18"/>
  <c r="M26" i="28"/>
  <c r="M90" i="18"/>
  <c r="M92" i="18"/>
  <c r="M94" i="18"/>
  <c r="N26" i="28"/>
  <c r="F81" i="28"/>
  <c r="G28" i="28"/>
  <c r="H28" i="28"/>
  <c r="I28" i="28"/>
  <c r="J28" i="28"/>
  <c r="K28" i="28"/>
  <c r="L28" i="28"/>
  <c r="M28" i="28"/>
  <c r="N28" i="28"/>
  <c r="F82" i="28"/>
  <c r="E24" i="15"/>
  <c r="E26" i="15"/>
  <c r="E22" i="15"/>
  <c r="E25" i="15"/>
  <c r="E23" i="15"/>
  <c r="F124" i="28"/>
  <c r="C49" i="20"/>
  <c r="C13" i="20"/>
  <c r="C21" i="20"/>
  <c r="C22" i="20"/>
  <c r="C35" i="20"/>
  <c r="C14" i="20"/>
  <c r="C23" i="20"/>
  <c r="C36" i="20"/>
  <c r="C15" i="20"/>
  <c r="C24" i="20"/>
  <c r="C37" i="20"/>
  <c r="C38" i="20"/>
  <c r="C46" i="20"/>
  <c r="C50" i="20"/>
  <c r="D49" i="20"/>
  <c r="D12" i="20"/>
  <c r="D10" i="20"/>
  <c r="D11" i="20"/>
  <c r="D13" i="20"/>
  <c r="D21" i="20"/>
  <c r="D19" i="20"/>
  <c r="D20" i="20"/>
  <c r="D22" i="20"/>
  <c r="D35" i="20"/>
  <c r="D47" i="20"/>
  <c r="D48" i="20"/>
  <c r="E12" i="20"/>
  <c r="E10" i="20"/>
  <c r="E13" i="20"/>
  <c r="E21" i="20"/>
  <c r="E19" i="20"/>
  <c r="E20" i="20"/>
  <c r="E22" i="20"/>
  <c r="E35" i="20"/>
  <c r="E47" i="20"/>
  <c r="E48" i="20"/>
  <c r="F12" i="20"/>
  <c r="F21" i="20"/>
  <c r="D18" i="20"/>
  <c r="E18" i="20"/>
  <c r="F18" i="20"/>
  <c r="F19" i="20"/>
  <c r="F22" i="20"/>
  <c r="F49" i="20"/>
  <c r="F47" i="20"/>
  <c r="F48" i="20"/>
  <c r="G12" i="20"/>
  <c r="G11" i="20"/>
  <c r="G21" i="20"/>
  <c r="G19" i="20"/>
  <c r="G22" i="20"/>
  <c r="G49" i="20"/>
  <c r="G47" i="20"/>
  <c r="G48" i="20"/>
  <c r="H12" i="20"/>
  <c r="H11" i="20"/>
  <c r="H18" i="20"/>
  <c r="H19" i="20"/>
  <c r="H21" i="20"/>
  <c r="H22" i="20"/>
  <c r="H49" i="20"/>
  <c r="H47" i="20"/>
  <c r="H48" i="20"/>
  <c r="I12" i="20"/>
  <c r="I11" i="20"/>
  <c r="I19" i="20"/>
  <c r="I21" i="20"/>
  <c r="I22" i="20"/>
  <c r="I49" i="20"/>
  <c r="I47" i="20"/>
  <c r="I48" i="20"/>
  <c r="J12" i="20"/>
  <c r="J11" i="20"/>
  <c r="J19" i="20"/>
  <c r="J21" i="20"/>
  <c r="J20" i="20"/>
  <c r="J22" i="20"/>
  <c r="J49" i="20"/>
  <c r="J47" i="20"/>
  <c r="J48" i="20"/>
  <c r="K12" i="20"/>
  <c r="K11" i="20"/>
  <c r="K19" i="20"/>
  <c r="K21" i="20"/>
  <c r="K20" i="20"/>
  <c r="K22" i="20"/>
  <c r="K49" i="20"/>
  <c r="K47" i="20"/>
  <c r="K48" i="20"/>
  <c r="L12" i="20"/>
  <c r="L11" i="20"/>
  <c r="L19" i="20"/>
  <c r="L21" i="20"/>
  <c r="L20" i="20"/>
  <c r="L22" i="20"/>
  <c r="L49" i="20"/>
  <c r="L47" i="20"/>
  <c r="L48" i="20"/>
  <c r="M12" i="20"/>
  <c r="M11" i="20"/>
  <c r="M19" i="20"/>
  <c r="M21" i="20"/>
  <c r="M20" i="20"/>
  <c r="M22" i="20"/>
  <c r="D61" i="20"/>
  <c r="B47" i="20"/>
  <c r="B48" i="20"/>
  <c r="M49" i="20"/>
  <c r="C52" i="20"/>
  <c r="C8" i="23"/>
  <c r="C11" i="23"/>
  <c r="C13" i="23"/>
  <c r="C26" i="23"/>
  <c r="D11" i="23"/>
  <c r="D13" i="23"/>
  <c r="D26" i="23"/>
  <c r="E11" i="23"/>
  <c r="E13" i="23"/>
  <c r="E26" i="23"/>
  <c r="F11" i="23"/>
  <c r="F13" i="23"/>
  <c r="F26" i="23"/>
  <c r="G11" i="23"/>
  <c r="G13" i="23"/>
  <c r="H11" i="23"/>
  <c r="H26" i="23"/>
  <c r="I11" i="23"/>
  <c r="I26" i="23"/>
  <c r="J11" i="23"/>
  <c r="J26" i="23"/>
  <c r="K11" i="23"/>
  <c r="K26" i="23"/>
  <c r="L11" i="23"/>
  <c r="L26" i="23"/>
  <c r="M11" i="23"/>
  <c r="D36" i="23"/>
  <c r="B24" i="23"/>
  <c r="M26" i="23"/>
  <c r="C29" i="23"/>
  <c r="D96" i="22"/>
  <c r="D12" i="22"/>
  <c r="D9" i="22"/>
  <c r="D10" i="22"/>
  <c r="D13" i="22"/>
  <c r="C30" i="22"/>
  <c r="D30" i="22"/>
  <c r="D27" i="22"/>
  <c r="D28" i="22"/>
  <c r="D29" i="22"/>
  <c r="D31" i="22"/>
  <c r="C39" i="22"/>
  <c r="D39" i="22"/>
  <c r="D36" i="22"/>
  <c r="D37" i="22"/>
  <c r="D38" i="22"/>
  <c r="D40" i="22"/>
  <c r="C48" i="22"/>
  <c r="D48" i="22"/>
  <c r="D45" i="22"/>
  <c r="D46" i="22"/>
  <c r="D47" i="22"/>
  <c r="D49" i="22"/>
  <c r="C57" i="22"/>
  <c r="D57" i="22"/>
  <c r="D54" i="22"/>
  <c r="D55" i="22"/>
  <c r="D56" i="22"/>
  <c r="D58" i="22"/>
  <c r="C66" i="22"/>
  <c r="D66" i="22"/>
  <c r="D63" i="22"/>
  <c r="D64" i="22"/>
  <c r="D65" i="22"/>
  <c r="D67" i="22"/>
  <c r="C75" i="22"/>
  <c r="D75" i="22"/>
  <c r="D72" i="22"/>
  <c r="D73" i="22"/>
  <c r="D74" i="22"/>
  <c r="D76" i="22"/>
  <c r="D80" i="22"/>
  <c r="D94" i="22"/>
  <c r="D95" i="22"/>
  <c r="E9" i="22"/>
  <c r="E10" i="22"/>
  <c r="E12" i="22"/>
  <c r="E13" i="22"/>
  <c r="E30" i="22"/>
  <c r="E27" i="22"/>
  <c r="E28" i="22"/>
  <c r="E31" i="22"/>
  <c r="E39" i="22"/>
  <c r="E36" i="22"/>
  <c r="E37" i="22"/>
  <c r="E38" i="22"/>
  <c r="E40" i="22"/>
  <c r="E48" i="22"/>
  <c r="E45" i="22"/>
  <c r="E46" i="22"/>
  <c r="E47" i="22"/>
  <c r="E49" i="22"/>
  <c r="E57" i="22"/>
  <c r="E54" i="22"/>
  <c r="E55" i="22"/>
  <c r="E56" i="22"/>
  <c r="E58" i="22"/>
  <c r="E66" i="22"/>
  <c r="E63" i="22"/>
  <c r="E64" i="22"/>
  <c r="E65" i="22"/>
  <c r="E67" i="22"/>
  <c r="E75" i="22"/>
  <c r="E72" i="22"/>
  <c r="E73" i="22"/>
  <c r="E74" i="22"/>
  <c r="E76" i="22"/>
  <c r="E80" i="22"/>
  <c r="E96" i="22"/>
  <c r="E94" i="22"/>
  <c r="E95" i="22"/>
  <c r="F9" i="22"/>
  <c r="F10" i="22"/>
  <c r="F12" i="22"/>
  <c r="F13" i="22"/>
  <c r="F27" i="22"/>
  <c r="F28" i="22"/>
  <c r="F30" i="22"/>
  <c r="F31" i="22"/>
  <c r="F39" i="22"/>
  <c r="F36" i="22"/>
  <c r="F37" i="22"/>
  <c r="F38" i="22"/>
  <c r="F40" i="22"/>
  <c r="F48" i="22"/>
  <c r="F45" i="22"/>
  <c r="F46" i="22"/>
  <c r="F47" i="22"/>
  <c r="F49" i="22"/>
  <c r="F57" i="22"/>
  <c r="F54" i="22"/>
  <c r="F55" i="22"/>
  <c r="F56" i="22"/>
  <c r="F58" i="22"/>
  <c r="F66" i="22"/>
  <c r="F63" i="22"/>
  <c r="F64" i="22"/>
  <c r="F65" i="22"/>
  <c r="F67" i="22"/>
  <c r="F75" i="22"/>
  <c r="F72" i="22"/>
  <c r="F73" i="22"/>
  <c r="F74" i="22"/>
  <c r="F76" i="22"/>
  <c r="F80" i="22"/>
  <c r="F96" i="22"/>
  <c r="F94" i="22"/>
  <c r="F95" i="22"/>
  <c r="G9" i="22"/>
  <c r="G10" i="22"/>
  <c r="G12" i="22"/>
  <c r="G11" i="22"/>
  <c r="G13" i="22"/>
  <c r="G27" i="22"/>
  <c r="G28" i="22"/>
  <c r="G30" i="22"/>
  <c r="G31" i="22"/>
  <c r="G39" i="22"/>
  <c r="G36" i="22"/>
  <c r="G37" i="22"/>
  <c r="G38" i="22"/>
  <c r="G40" i="22"/>
  <c r="G48" i="22"/>
  <c r="G45" i="22"/>
  <c r="G46" i="22"/>
  <c r="G47" i="22"/>
  <c r="G49" i="22"/>
  <c r="G57" i="22"/>
  <c r="G54" i="22"/>
  <c r="G55" i="22"/>
  <c r="G56" i="22"/>
  <c r="G58" i="22"/>
  <c r="G66" i="22"/>
  <c r="G63" i="22"/>
  <c r="G64" i="22"/>
  <c r="G65" i="22"/>
  <c r="G67" i="22"/>
  <c r="G75" i="22"/>
  <c r="G72" i="22"/>
  <c r="G73" i="22"/>
  <c r="G74" i="22"/>
  <c r="G76" i="22"/>
  <c r="G80" i="22"/>
  <c r="G96" i="22"/>
  <c r="G94" i="22"/>
  <c r="G95" i="22"/>
  <c r="H9" i="22"/>
  <c r="H10" i="22"/>
  <c r="H12" i="22"/>
  <c r="H11" i="22"/>
  <c r="H13" i="22"/>
  <c r="H27" i="22"/>
  <c r="H28" i="22"/>
  <c r="H30" i="22"/>
  <c r="H29" i="22"/>
  <c r="H31" i="22"/>
  <c r="H39" i="22"/>
  <c r="H48" i="22"/>
  <c r="H45" i="22"/>
  <c r="H46" i="22"/>
  <c r="H47" i="22"/>
  <c r="H49" i="22"/>
  <c r="H57" i="22"/>
  <c r="H54" i="22"/>
  <c r="H55" i="22"/>
  <c r="H56" i="22"/>
  <c r="H58" i="22"/>
  <c r="H66" i="22"/>
  <c r="H63" i="22"/>
  <c r="H64" i="22"/>
  <c r="H65" i="22"/>
  <c r="H67" i="22"/>
  <c r="H75" i="22"/>
  <c r="H72" i="22"/>
  <c r="H73" i="22"/>
  <c r="H74" i="22"/>
  <c r="H76" i="22"/>
  <c r="H94" i="22"/>
  <c r="H95" i="22"/>
  <c r="I9" i="22"/>
  <c r="I10" i="22"/>
  <c r="I12" i="22"/>
  <c r="I11" i="22"/>
  <c r="I13" i="22"/>
  <c r="I27" i="22"/>
  <c r="I28" i="22"/>
  <c r="I30" i="22"/>
  <c r="I29" i="22"/>
  <c r="I31" i="22"/>
  <c r="I39" i="22"/>
  <c r="I45" i="22"/>
  <c r="I46" i="22"/>
  <c r="I48" i="22"/>
  <c r="I49" i="22"/>
  <c r="I57" i="22"/>
  <c r="I54" i="22"/>
  <c r="I55" i="22"/>
  <c r="I56" i="22"/>
  <c r="I58" i="22"/>
  <c r="I66" i="22"/>
  <c r="I63" i="22"/>
  <c r="I64" i="22"/>
  <c r="I65" i="22"/>
  <c r="I67" i="22"/>
  <c r="I75" i="22"/>
  <c r="I72" i="22"/>
  <c r="I73" i="22"/>
  <c r="I74" i="22"/>
  <c r="I76" i="22"/>
  <c r="I94" i="22"/>
  <c r="I95" i="22"/>
  <c r="J9" i="22"/>
  <c r="J10" i="22"/>
  <c r="J12" i="22"/>
  <c r="J11" i="22"/>
  <c r="J13" i="22"/>
  <c r="J27" i="22"/>
  <c r="J28" i="22"/>
  <c r="J30" i="22"/>
  <c r="J29" i="22"/>
  <c r="J31" i="22"/>
  <c r="J39" i="22"/>
  <c r="J38" i="22"/>
  <c r="J45" i="22"/>
  <c r="J46" i="22"/>
  <c r="J48" i="22"/>
  <c r="J49" i="22"/>
  <c r="J54" i="22"/>
  <c r="J55" i="22"/>
  <c r="J57" i="22"/>
  <c r="J58" i="22"/>
  <c r="J66" i="22"/>
  <c r="J63" i="22"/>
  <c r="J64" i="22"/>
  <c r="J65" i="22"/>
  <c r="J67" i="22"/>
  <c r="J75" i="22"/>
  <c r="J72" i="22"/>
  <c r="J73" i="22"/>
  <c r="J74" i="22"/>
  <c r="J76" i="22"/>
  <c r="J96" i="22"/>
  <c r="J94" i="22"/>
  <c r="J95" i="22"/>
  <c r="K9" i="22"/>
  <c r="K10" i="22"/>
  <c r="K12" i="22"/>
  <c r="K11" i="22"/>
  <c r="K13" i="22"/>
  <c r="K27" i="22"/>
  <c r="K28" i="22"/>
  <c r="K30" i="22"/>
  <c r="K29" i="22"/>
  <c r="K31" i="22"/>
  <c r="K39" i="22"/>
  <c r="K38" i="22"/>
  <c r="K45" i="22"/>
  <c r="K46" i="22"/>
  <c r="K48" i="22"/>
  <c r="K47" i="22"/>
  <c r="K49" i="22"/>
  <c r="K54" i="22"/>
  <c r="K55" i="22"/>
  <c r="K57" i="22"/>
  <c r="K58" i="22"/>
  <c r="K66" i="22"/>
  <c r="K63" i="22"/>
  <c r="K64" i="22"/>
  <c r="K65" i="22"/>
  <c r="K67" i="22"/>
  <c r="K75" i="22"/>
  <c r="K72" i="22"/>
  <c r="K73" i="22"/>
  <c r="K74" i="22"/>
  <c r="K76" i="22"/>
  <c r="K96" i="22"/>
  <c r="K94" i="22"/>
  <c r="K95" i="22"/>
  <c r="L9" i="22"/>
  <c r="L10" i="22"/>
  <c r="L12" i="22"/>
  <c r="L11" i="22"/>
  <c r="L13" i="22"/>
  <c r="L27" i="22"/>
  <c r="L28" i="22"/>
  <c r="L30" i="22"/>
  <c r="L29" i="22"/>
  <c r="L31" i="22"/>
  <c r="L39" i="22"/>
  <c r="L38" i="22"/>
  <c r="L45" i="22"/>
  <c r="L46" i="22"/>
  <c r="L48" i="22"/>
  <c r="L47" i="22"/>
  <c r="L49" i="22"/>
  <c r="L54" i="22"/>
  <c r="L55" i="22"/>
  <c r="L57" i="22"/>
  <c r="L56" i="22"/>
  <c r="L58" i="22"/>
  <c r="L63" i="22"/>
  <c r="L64" i="22"/>
  <c r="L66" i="22"/>
  <c r="L67" i="22"/>
  <c r="L75" i="22"/>
  <c r="L72" i="22"/>
  <c r="L73" i="22"/>
  <c r="L74" i="22"/>
  <c r="L76" i="22"/>
  <c r="L96" i="22"/>
  <c r="L94" i="22"/>
  <c r="L95" i="22"/>
  <c r="M9" i="22"/>
  <c r="M10" i="22"/>
  <c r="M12" i="22"/>
  <c r="M11" i="22"/>
  <c r="M13" i="22"/>
  <c r="M27" i="22"/>
  <c r="M28" i="22"/>
  <c r="M30" i="22"/>
  <c r="M29" i="22"/>
  <c r="M31" i="22"/>
  <c r="M39" i="22"/>
  <c r="M38" i="22"/>
  <c r="M45" i="22"/>
  <c r="M46" i="22"/>
  <c r="M48" i="22"/>
  <c r="M47" i="22"/>
  <c r="M49" i="22"/>
  <c r="M54" i="22"/>
  <c r="M55" i="22"/>
  <c r="M57" i="22"/>
  <c r="M56" i="22"/>
  <c r="M58" i="22"/>
  <c r="M63" i="22"/>
  <c r="M64" i="22"/>
  <c r="M66" i="22"/>
  <c r="M67" i="22"/>
  <c r="M72" i="22"/>
  <c r="M73" i="22"/>
  <c r="M75" i="22"/>
  <c r="M76" i="22"/>
  <c r="D114" i="22"/>
  <c r="B94" i="22"/>
  <c r="B95" i="22"/>
  <c r="M96" i="22"/>
  <c r="C10" i="22"/>
  <c r="C13" i="22"/>
  <c r="C28" i="22"/>
  <c r="C31" i="22"/>
  <c r="C37" i="22"/>
  <c r="C40" i="22"/>
  <c r="C46" i="22"/>
  <c r="C49" i="22"/>
  <c r="C55" i="22"/>
  <c r="C58" i="22"/>
  <c r="C64" i="22"/>
  <c r="C67" i="22"/>
  <c r="C73" i="22"/>
  <c r="C76" i="22"/>
  <c r="C80" i="22"/>
  <c r="C96" i="22"/>
  <c r="C99" i="22"/>
  <c r="C46" i="47"/>
  <c r="C14" i="47"/>
  <c r="C23" i="47"/>
  <c r="C34" i="47"/>
  <c r="C35" i="47"/>
  <c r="C36" i="47"/>
  <c r="C37" i="47"/>
  <c r="C45" i="47"/>
  <c r="C47" i="47"/>
  <c r="D46" i="47"/>
  <c r="D23" i="47"/>
  <c r="D34" i="47"/>
  <c r="D35" i="47"/>
  <c r="D36" i="47"/>
  <c r="D37" i="47"/>
  <c r="D45" i="47"/>
  <c r="D47" i="47"/>
  <c r="E10" i="47"/>
  <c r="E23" i="47"/>
  <c r="E34" i="47"/>
  <c r="E35" i="47"/>
  <c r="E36" i="47"/>
  <c r="E37" i="47"/>
  <c r="E45" i="47"/>
  <c r="E46" i="47"/>
  <c r="E47" i="47"/>
  <c r="F10" i="47"/>
  <c r="F23" i="47"/>
  <c r="F34" i="47"/>
  <c r="F35" i="47"/>
  <c r="F36" i="47"/>
  <c r="F37" i="47"/>
  <c r="F45" i="47"/>
  <c r="F46" i="47"/>
  <c r="F47" i="47"/>
  <c r="G10" i="47"/>
  <c r="G23" i="47"/>
  <c r="G34" i="47"/>
  <c r="G35" i="47"/>
  <c r="G36" i="47"/>
  <c r="G37" i="47"/>
  <c r="G45" i="47"/>
  <c r="G46" i="47"/>
  <c r="G47" i="47"/>
  <c r="C54" i="47"/>
  <c r="H19" i="47"/>
  <c r="H23" i="47"/>
  <c r="H34" i="47"/>
  <c r="H35" i="47"/>
  <c r="H36" i="47"/>
  <c r="H37" i="47"/>
  <c r="H45" i="47"/>
  <c r="H46" i="47"/>
  <c r="H47" i="47"/>
  <c r="I19" i="47"/>
  <c r="I23" i="47"/>
  <c r="I34" i="47"/>
  <c r="I35" i="47"/>
  <c r="I36" i="47"/>
  <c r="I37" i="47"/>
  <c r="I45" i="47"/>
  <c r="I46" i="47"/>
  <c r="I47" i="47"/>
  <c r="J19" i="47"/>
  <c r="J10" i="47"/>
  <c r="J23" i="47"/>
  <c r="J34" i="47"/>
  <c r="J35" i="47"/>
  <c r="J36" i="47"/>
  <c r="J37" i="47"/>
  <c r="J45" i="47"/>
  <c r="J46" i="47"/>
  <c r="J47" i="47"/>
  <c r="K46" i="47"/>
  <c r="K23" i="47"/>
  <c r="K34" i="47"/>
  <c r="K35" i="47"/>
  <c r="K36" i="47"/>
  <c r="K37" i="47"/>
  <c r="K45" i="47"/>
  <c r="K47" i="47"/>
  <c r="L28" i="47"/>
  <c r="L23" i="47"/>
  <c r="L34" i="47"/>
  <c r="L35" i="47"/>
  <c r="L36" i="47"/>
  <c r="L37" i="47"/>
  <c r="L45" i="47"/>
  <c r="L46" i="47"/>
  <c r="L47" i="47"/>
  <c r="M28" i="47"/>
  <c r="M23" i="47"/>
  <c r="M34" i="47"/>
  <c r="M35" i="47"/>
  <c r="M36" i="47"/>
  <c r="M37" i="47"/>
  <c r="M45" i="47"/>
  <c r="M46" i="47"/>
  <c r="M47" i="47"/>
  <c r="C49" i="47"/>
  <c r="C46" i="19"/>
  <c r="K103" i="28"/>
  <c r="C14" i="19"/>
  <c r="C23" i="19"/>
  <c r="C34" i="19"/>
  <c r="C35" i="19"/>
  <c r="C36" i="19"/>
  <c r="C37" i="19"/>
  <c r="C45" i="19"/>
  <c r="C47" i="19"/>
  <c r="D46" i="19"/>
  <c r="D23" i="19"/>
  <c r="D34" i="19"/>
  <c r="D35" i="19"/>
  <c r="D36" i="19"/>
  <c r="D37" i="19"/>
  <c r="D45" i="19"/>
  <c r="D47" i="19"/>
  <c r="C53" i="19"/>
  <c r="E10" i="19"/>
  <c r="E23" i="19"/>
  <c r="E34" i="19"/>
  <c r="E35" i="19"/>
  <c r="E36" i="19"/>
  <c r="E37" i="19"/>
  <c r="E45" i="19"/>
  <c r="E46" i="19"/>
  <c r="E47" i="19"/>
  <c r="F10" i="19"/>
  <c r="F23" i="19"/>
  <c r="F34" i="19"/>
  <c r="F35" i="19"/>
  <c r="F36" i="19"/>
  <c r="F37" i="19"/>
  <c r="F45" i="19"/>
  <c r="F46" i="19"/>
  <c r="F47" i="19"/>
  <c r="G10" i="19"/>
  <c r="G23" i="19"/>
  <c r="G34" i="19"/>
  <c r="G35" i="19"/>
  <c r="G36" i="19"/>
  <c r="G37" i="19"/>
  <c r="G45" i="19"/>
  <c r="G46" i="19"/>
  <c r="G47" i="19"/>
  <c r="C54" i="19"/>
  <c r="H19" i="19"/>
  <c r="H23" i="19"/>
  <c r="H34" i="19"/>
  <c r="H35" i="19"/>
  <c r="H36" i="19"/>
  <c r="H37" i="19"/>
  <c r="H45" i="19"/>
  <c r="H46" i="19"/>
  <c r="H47" i="19"/>
  <c r="I19" i="19"/>
  <c r="I23" i="19"/>
  <c r="I34" i="19"/>
  <c r="I35" i="19"/>
  <c r="I36" i="19"/>
  <c r="I37" i="19"/>
  <c r="I45" i="19"/>
  <c r="I46" i="19"/>
  <c r="I47" i="19"/>
  <c r="J19" i="19"/>
  <c r="J10" i="19"/>
  <c r="J23" i="19"/>
  <c r="J34" i="19"/>
  <c r="J35" i="19"/>
  <c r="J36" i="19"/>
  <c r="J37" i="19"/>
  <c r="J45" i="19"/>
  <c r="J46" i="19"/>
  <c r="J47" i="19"/>
  <c r="K46" i="19"/>
  <c r="K23" i="19"/>
  <c r="K34" i="19"/>
  <c r="K35" i="19"/>
  <c r="K36" i="19"/>
  <c r="K37" i="19"/>
  <c r="K45" i="19"/>
  <c r="K47" i="19"/>
  <c r="C55" i="19"/>
  <c r="L28" i="19"/>
  <c r="L23" i="19"/>
  <c r="L34" i="19"/>
  <c r="L35" i="19"/>
  <c r="L36" i="19"/>
  <c r="L37" i="19"/>
  <c r="L45" i="19"/>
  <c r="L46" i="19"/>
  <c r="L47" i="19"/>
  <c r="M28" i="19"/>
  <c r="M23" i="19"/>
  <c r="M34" i="19"/>
  <c r="M35" i="19"/>
  <c r="M36" i="19"/>
  <c r="M37" i="19"/>
  <c r="M45" i="19"/>
  <c r="M46" i="19"/>
  <c r="M47" i="19"/>
  <c r="C49" i="19"/>
  <c r="C49" i="46"/>
  <c r="C12" i="46"/>
  <c r="C13" i="46"/>
  <c r="C21" i="46"/>
  <c r="C30" i="46"/>
  <c r="C31" i="46"/>
  <c r="C35" i="46"/>
  <c r="D62" i="46"/>
  <c r="C14" i="46"/>
  <c r="C32" i="46"/>
  <c r="C36" i="46"/>
  <c r="C15" i="46"/>
  <c r="C33" i="46"/>
  <c r="C37" i="46"/>
  <c r="C38" i="46"/>
  <c r="C46" i="46"/>
  <c r="C50" i="46"/>
  <c r="D49" i="46"/>
  <c r="D12" i="46"/>
  <c r="D13" i="46"/>
  <c r="D30" i="46"/>
  <c r="D31" i="46"/>
  <c r="D35" i="46"/>
  <c r="D14" i="46"/>
  <c r="D32" i="46"/>
  <c r="D36" i="46"/>
  <c r="D15" i="46"/>
  <c r="D33" i="46"/>
  <c r="D37" i="46"/>
  <c r="D38" i="46"/>
  <c r="D46" i="46"/>
  <c r="D50" i="46"/>
  <c r="E49" i="46"/>
  <c r="E12" i="46"/>
  <c r="E13" i="46"/>
  <c r="E30" i="46"/>
  <c r="E31" i="46"/>
  <c r="E35" i="46"/>
  <c r="E14" i="46"/>
  <c r="E32" i="46"/>
  <c r="E36" i="46"/>
  <c r="E15" i="46"/>
  <c r="E33" i="46"/>
  <c r="E37" i="46"/>
  <c r="E38" i="46"/>
  <c r="E46" i="46"/>
  <c r="E50" i="46"/>
  <c r="C56" i="46"/>
  <c r="E9" i="46"/>
  <c r="F9" i="46"/>
  <c r="F10" i="46"/>
  <c r="F12" i="46"/>
  <c r="F13" i="46"/>
  <c r="F21" i="46"/>
  <c r="F22" i="46"/>
  <c r="F30" i="46"/>
  <c r="F31" i="46"/>
  <c r="F35" i="46"/>
  <c r="F14" i="46"/>
  <c r="F32" i="46"/>
  <c r="F23" i="46"/>
  <c r="F36" i="46"/>
  <c r="F15" i="46"/>
  <c r="F33" i="46"/>
  <c r="F24" i="46"/>
  <c r="F37" i="46"/>
  <c r="F38" i="46"/>
  <c r="F46" i="46"/>
  <c r="F49" i="46"/>
  <c r="F50" i="46"/>
  <c r="G9" i="46"/>
  <c r="G10" i="46"/>
  <c r="G12" i="46"/>
  <c r="G13" i="46"/>
  <c r="G21" i="46"/>
  <c r="G22" i="46"/>
  <c r="G30" i="46"/>
  <c r="G31" i="46"/>
  <c r="G35" i="46"/>
  <c r="G14" i="46"/>
  <c r="G32" i="46"/>
  <c r="G23" i="46"/>
  <c r="G36" i="46"/>
  <c r="G15" i="46"/>
  <c r="G33" i="46"/>
  <c r="G24" i="46"/>
  <c r="G37" i="46"/>
  <c r="G38" i="46"/>
  <c r="G46" i="46"/>
  <c r="G49" i="46"/>
  <c r="G50" i="46"/>
  <c r="H9" i="46"/>
  <c r="H10" i="46"/>
  <c r="H12" i="46"/>
  <c r="H13" i="46"/>
  <c r="H21" i="46"/>
  <c r="H22" i="46"/>
  <c r="H30" i="46"/>
  <c r="H31" i="46"/>
  <c r="H35" i="46"/>
  <c r="H14" i="46"/>
  <c r="H32" i="46"/>
  <c r="H23" i="46"/>
  <c r="H36" i="46"/>
  <c r="H15" i="46"/>
  <c r="H33" i="46"/>
  <c r="H24" i="46"/>
  <c r="H37" i="46"/>
  <c r="H38" i="46"/>
  <c r="H46" i="46"/>
  <c r="H49" i="46"/>
  <c r="H50" i="46"/>
  <c r="I9" i="46"/>
  <c r="I10" i="46"/>
  <c r="I12" i="46"/>
  <c r="I13" i="46"/>
  <c r="C57" i="46"/>
  <c r="I18" i="46"/>
  <c r="I19" i="46"/>
  <c r="I21" i="46"/>
  <c r="I22" i="46"/>
  <c r="I27" i="46"/>
  <c r="I28" i="46"/>
  <c r="I30" i="46"/>
  <c r="I31" i="46"/>
  <c r="I35" i="46"/>
  <c r="I14" i="46"/>
  <c r="I32" i="46"/>
  <c r="I23" i="46"/>
  <c r="I36" i="46"/>
  <c r="I15" i="46"/>
  <c r="I33" i="46"/>
  <c r="I24" i="46"/>
  <c r="I37" i="46"/>
  <c r="I38" i="46"/>
  <c r="I46" i="46"/>
  <c r="I49" i="46"/>
  <c r="I50" i="46"/>
  <c r="J9" i="46"/>
  <c r="J10" i="46"/>
  <c r="J12" i="46"/>
  <c r="J13" i="46"/>
  <c r="J18" i="46"/>
  <c r="J19" i="46"/>
  <c r="J21" i="46"/>
  <c r="J22" i="46"/>
  <c r="J27" i="46"/>
  <c r="J28" i="46"/>
  <c r="J30" i="46"/>
  <c r="J31" i="46"/>
  <c r="J35" i="46"/>
  <c r="J14" i="46"/>
  <c r="J32" i="46"/>
  <c r="J23" i="46"/>
  <c r="J36" i="46"/>
  <c r="J15" i="46"/>
  <c r="J33" i="46"/>
  <c r="J24" i="46"/>
  <c r="J37" i="46"/>
  <c r="J38" i="46"/>
  <c r="J46" i="46"/>
  <c r="J49" i="46"/>
  <c r="J50" i="46"/>
  <c r="K9" i="46"/>
  <c r="K10" i="46"/>
  <c r="K12" i="46"/>
  <c r="K13" i="46"/>
  <c r="K18" i="46"/>
  <c r="K19" i="46"/>
  <c r="K21" i="46"/>
  <c r="K22" i="46"/>
  <c r="K27" i="46"/>
  <c r="K28" i="46"/>
  <c r="K30" i="46"/>
  <c r="K31" i="46"/>
  <c r="K35" i="46"/>
  <c r="K14" i="46"/>
  <c r="K32" i="46"/>
  <c r="K23" i="46"/>
  <c r="K36" i="46"/>
  <c r="K15" i="46"/>
  <c r="K33" i="46"/>
  <c r="K24" i="46"/>
  <c r="K37" i="46"/>
  <c r="K38" i="46"/>
  <c r="K46" i="46"/>
  <c r="K49" i="46"/>
  <c r="K50" i="46"/>
  <c r="L9" i="46"/>
  <c r="L10" i="46"/>
  <c r="L12" i="46"/>
  <c r="L13" i="46"/>
  <c r="L18" i="46"/>
  <c r="L19" i="46"/>
  <c r="L21" i="46"/>
  <c r="L22" i="46"/>
  <c r="L27" i="46"/>
  <c r="L28" i="46"/>
  <c r="L30" i="46"/>
  <c r="L31" i="46"/>
  <c r="L35" i="46"/>
  <c r="L14" i="46"/>
  <c r="L32" i="46"/>
  <c r="L23" i="46"/>
  <c r="L36" i="46"/>
  <c r="L15" i="46"/>
  <c r="L33" i="46"/>
  <c r="L24" i="46"/>
  <c r="L37" i="46"/>
  <c r="L38" i="46"/>
  <c r="L46" i="46"/>
  <c r="L49" i="46"/>
  <c r="L50" i="46"/>
  <c r="M9" i="46"/>
  <c r="M10" i="46"/>
  <c r="M12" i="46"/>
  <c r="M13" i="46"/>
  <c r="M18" i="46"/>
  <c r="M19" i="46"/>
  <c r="M21" i="46"/>
  <c r="M22" i="46"/>
  <c r="M27" i="46"/>
  <c r="M28" i="46"/>
  <c r="M30" i="46"/>
  <c r="M31" i="46"/>
  <c r="M35" i="46"/>
  <c r="M14" i="46"/>
  <c r="M32" i="46"/>
  <c r="M23" i="46"/>
  <c r="M36" i="46"/>
  <c r="M15" i="46"/>
  <c r="M33" i="46"/>
  <c r="M24" i="46"/>
  <c r="M37" i="46"/>
  <c r="M38" i="46"/>
  <c r="M46" i="46"/>
  <c r="D63" i="46"/>
  <c r="B47" i="46"/>
  <c r="M47" i="46"/>
  <c r="M48" i="46"/>
  <c r="M49" i="46"/>
  <c r="M50" i="46"/>
  <c r="C52" i="46"/>
  <c r="C106" i="18"/>
  <c r="E9" i="18"/>
  <c r="C11" i="18"/>
  <c r="E11" i="18"/>
  <c r="E22" i="18"/>
  <c r="E30" i="18"/>
  <c r="E41" i="18"/>
  <c r="E49" i="18"/>
  <c r="E60" i="18"/>
  <c r="E68" i="18"/>
  <c r="E79" i="18"/>
  <c r="E84" i="18"/>
  <c r="C20" i="18"/>
  <c r="E20" i="18"/>
  <c r="E23" i="18"/>
  <c r="E39" i="18"/>
  <c r="E42" i="18"/>
  <c r="E58" i="18"/>
  <c r="E61" i="18"/>
  <c r="E77" i="18"/>
  <c r="E80" i="18"/>
  <c r="E85" i="18"/>
  <c r="D24" i="18"/>
  <c r="E24" i="18"/>
  <c r="E86" i="18"/>
  <c r="E10" i="18"/>
  <c r="E21" i="18"/>
  <c r="E25" i="18"/>
  <c r="E40" i="18"/>
  <c r="E44" i="18"/>
  <c r="E59" i="18"/>
  <c r="E63" i="18"/>
  <c r="E78" i="18"/>
  <c r="E82" i="18"/>
  <c r="E87" i="18"/>
  <c r="E88" i="18"/>
  <c r="E96" i="18"/>
  <c r="E99" i="18"/>
  <c r="E100" i="18"/>
  <c r="F9" i="18"/>
  <c r="F11" i="18"/>
  <c r="F22" i="18"/>
  <c r="F30" i="18"/>
  <c r="F41" i="18"/>
  <c r="F49" i="18"/>
  <c r="F60" i="18"/>
  <c r="F68" i="18"/>
  <c r="F79" i="18"/>
  <c r="F84" i="18"/>
  <c r="F20" i="18"/>
  <c r="F23" i="18"/>
  <c r="F39" i="18"/>
  <c r="F42" i="18"/>
  <c r="F58" i="18"/>
  <c r="F61" i="18"/>
  <c r="F77" i="18"/>
  <c r="F80" i="18"/>
  <c r="F85" i="18"/>
  <c r="F24" i="18"/>
  <c r="F86" i="18"/>
  <c r="F10" i="18"/>
  <c r="F21" i="18"/>
  <c r="F25" i="18"/>
  <c r="F40" i="18"/>
  <c r="F44" i="18"/>
  <c r="F59" i="18"/>
  <c r="F63" i="18"/>
  <c r="F78" i="18"/>
  <c r="F82" i="18"/>
  <c r="F87" i="18"/>
  <c r="F88" i="18"/>
  <c r="F96" i="18"/>
  <c r="F99" i="18"/>
  <c r="F100" i="18"/>
  <c r="G9" i="18"/>
  <c r="G11" i="18"/>
  <c r="G22" i="18"/>
  <c r="G30" i="18"/>
  <c r="G41" i="18"/>
  <c r="G49" i="18"/>
  <c r="G60" i="18"/>
  <c r="G68" i="18"/>
  <c r="G79" i="18"/>
  <c r="G84" i="18"/>
  <c r="G20" i="18"/>
  <c r="G23" i="18"/>
  <c r="G39" i="18"/>
  <c r="G42" i="18"/>
  <c r="G58" i="18"/>
  <c r="G61" i="18"/>
  <c r="G77" i="18"/>
  <c r="G80" i="18"/>
  <c r="G85" i="18"/>
  <c r="G24" i="18"/>
  <c r="G86" i="18"/>
  <c r="G10" i="18"/>
  <c r="G21" i="18"/>
  <c r="G25" i="18"/>
  <c r="G40" i="18"/>
  <c r="G44" i="18"/>
  <c r="G59" i="18"/>
  <c r="G63" i="18"/>
  <c r="G78" i="18"/>
  <c r="G82" i="18"/>
  <c r="G87" i="18"/>
  <c r="G88" i="18"/>
  <c r="G96" i="18"/>
  <c r="G99" i="18"/>
  <c r="G100" i="18"/>
  <c r="H9" i="18"/>
  <c r="H11" i="18"/>
  <c r="H22" i="18"/>
  <c r="H28" i="18"/>
  <c r="H30" i="18"/>
  <c r="H41" i="18"/>
  <c r="H49" i="18"/>
  <c r="H60" i="18"/>
  <c r="H68" i="18"/>
  <c r="H79" i="18"/>
  <c r="H84" i="18"/>
  <c r="H20" i="18"/>
  <c r="H23" i="18"/>
  <c r="H39" i="18"/>
  <c r="H42" i="18"/>
  <c r="H58" i="18"/>
  <c r="H61" i="18"/>
  <c r="H77" i="18"/>
  <c r="H80" i="18"/>
  <c r="H85" i="18"/>
  <c r="H24" i="18"/>
  <c r="H86" i="18"/>
  <c r="H10" i="18"/>
  <c r="H21" i="18"/>
  <c r="H25" i="18"/>
  <c r="H29" i="18"/>
  <c r="H40" i="18"/>
  <c r="H44" i="18"/>
  <c r="H59" i="18"/>
  <c r="H63" i="18"/>
  <c r="H78" i="18"/>
  <c r="H82" i="18"/>
  <c r="H87" i="18"/>
  <c r="H88" i="18"/>
  <c r="H96" i="18"/>
  <c r="H99" i="18"/>
  <c r="H100" i="18"/>
  <c r="I9" i="18"/>
  <c r="I11" i="18"/>
  <c r="I22" i="18"/>
  <c r="I28" i="18"/>
  <c r="I30" i="18"/>
  <c r="I41" i="18"/>
  <c r="I47" i="18"/>
  <c r="I49" i="18"/>
  <c r="I60" i="18"/>
  <c r="I68" i="18"/>
  <c r="I79" i="18"/>
  <c r="I84" i="18"/>
  <c r="I20" i="18"/>
  <c r="I23" i="18"/>
  <c r="I39" i="18"/>
  <c r="I42" i="18"/>
  <c r="I58" i="18"/>
  <c r="I61" i="18"/>
  <c r="I77" i="18"/>
  <c r="I80" i="18"/>
  <c r="I85" i="18"/>
  <c r="I24" i="18"/>
  <c r="I86" i="18"/>
  <c r="I10" i="18"/>
  <c r="I21" i="18"/>
  <c r="I25" i="18"/>
  <c r="I29" i="18"/>
  <c r="I40" i="18"/>
  <c r="I44" i="18"/>
  <c r="I48" i="18"/>
  <c r="I59" i="18"/>
  <c r="I63" i="18"/>
  <c r="I78" i="18"/>
  <c r="I82" i="18"/>
  <c r="I87" i="18"/>
  <c r="I88" i="18"/>
  <c r="I96" i="18"/>
  <c r="I99" i="18"/>
  <c r="I100" i="18"/>
  <c r="J9" i="18"/>
  <c r="J11" i="18"/>
  <c r="J22" i="18"/>
  <c r="J28" i="18"/>
  <c r="J30" i="18"/>
  <c r="J41" i="18"/>
  <c r="J47" i="18"/>
  <c r="J49" i="18"/>
  <c r="J60" i="18"/>
  <c r="J68" i="18"/>
  <c r="J79" i="18"/>
  <c r="J84" i="18"/>
  <c r="J20" i="18"/>
  <c r="J23" i="18"/>
  <c r="J39" i="18"/>
  <c r="J42" i="18"/>
  <c r="J58" i="18"/>
  <c r="J61" i="18"/>
  <c r="J77" i="18"/>
  <c r="J80" i="18"/>
  <c r="J85" i="18"/>
  <c r="J24" i="18"/>
  <c r="J86" i="18"/>
  <c r="J10" i="18"/>
  <c r="J21" i="18"/>
  <c r="J25" i="18"/>
  <c r="J29" i="18"/>
  <c r="J40" i="18"/>
  <c r="J44" i="18"/>
  <c r="J48" i="18"/>
  <c r="J59" i="18"/>
  <c r="J63" i="18"/>
  <c r="J78" i="18"/>
  <c r="J82" i="18"/>
  <c r="J87" i="18"/>
  <c r="J88" i="18"/>
  <c r="J96" i="18"/>
  <c r="J99" i="18"/>
  <c r="J100" i="18"/>
  <c r="K9" i="18"/>
  <c r="K11" i="18"/>
  <c r="K22" i="18"/>
  <c r="K28" i="18"/>
  <c r="K30" i="18"/>
  <c r="K41" i="18"/>
  <c r="K47" i="18"/>
  <c r="K49" i="18"/>
  <c r="K60" i="18"/>
  <c r="K68" i="18"/>
  <c r="K79" i="18"/>
  <c r="K84" i="18"/>
  <c r="K20" i="18"/>
  <c r="K23" i="18"/>
  <c r="K39" i="18"/>
  <c r="K42" i="18"/>
  <c r="K58" i="18"/>
  <c r="K61" i="18"/>
  <c r="K77" i="18"/>
  <c r="K80" i="18"/>
  <c r="K85" i="18"/>
  <c r="K24" i="18"/>
  <c r="K86" i="18"/>
  <c r="K10" i="18"/>
  <c r="K21" i="18"/>
  <c r="K25" i="18"/>
  <c r="K29" i="18"/>
  <c r="K40" i="18"/>
  <c r="K44" i="18"/>
  <c r="K48" i="18"/>
  <c r="K59" i="18"/>
  <c r="K63" i="18"/>
  <c r="K78" i="18"/>
  <c r="K82" i="18"/>
  <c r="K87" i="18"/>
  <c r="K88" i="18"/>
  <c r="K96" i="18"/>
  <c r="K99" i="18"/>
  <c r="K100" i="18"/>
  <c r="L9" i="18"/>
  <c r="L11" i="18"/>
  <c r="L22" i="18"/>
  <c r="L28" i="18"/>
  <c r="L30" i="18"/>
  <c r="L41" i="18"/>
  <c r="L47" i="18"/>
  <c r="L49" i="18"/>
  <c r="L60" i="18"/>
  <c r="L68" i="18"/>
  <c r="L79" i="18"/>
  <c r="L84" i="18"/>
  <c r="L20" i="18"/>
  <c r="L23" i="18"/>
  <c r="L39" i="18"/>
  <c r="L42" i="18"/>
  <c r="L58" i="18"/>
  <c r="L61" i="18"/>
  <c r="L77" i="18"/>
  <c r="L80" i="18"/>
  <c r="L85" i="18"/>
  <c r="L24" i="18"/>
  <c r="L86" i="18"/>
  <c r="L10" i="18"/>
  <c r="L21" i="18"/>
  <c r="L25" i="18"/>
  <c r="L29" i="18"/>
  <c r="L40" i="18"/>
  <c r="L44" i="18"/>
  <c r="L48" i="18"/>
  <c r="L59" i="18"/>
  <c r="L63" i="18"/>
  <c r="L78" i="18"/>
  <c r="L82" i="18"/>
  <c r="L87" i="18"/>
  <c r="L88" i="18"/>
  <c r="L96" i="18"/>
  <c r="L99" i="18"/>
  <c r="L100" i="18"/>
  <c r="M9" i="18"/>
  <c r="M11" i="18"/>
  <c r="M22" i="18"/>
  <c r="M28" i="18"/>
  <c r="M30" i="18"/>
  <c r="M41" i="18"/>
  <c r="M47" i="18"/>
  <c r="M49" i="18"/>
  <c r="M60" i="18"/>
  <c r="M66" i="18"/>
  <c r="M68" i="18"/>
  <c r="M79" i="18"/>
  <c r="M84" i="18"/>
  <c r="M20" i="18"/>
  <c r="M23" i="18"/>
  <c r="M39" i="18"/>
  <c r="M42" i="18"/>
  <c r="M58" i="18"/>
  <c r="M61" i="18"/>
  <c r="M77" i="18"/>
  <c r="M80" i="18"/>
  <c r="M85" i="18"/>
  <c r="M24" i="18"/>
  <c r="M86" i="18"/>
  <c r="M10" i="18"/>
  <c r="M21" i="18"/>
  <c r="M25" i="18"/>
  <c r="M29" i="18"/>
  <c r="M40" i="18"/>
  <c r="M44" i="18"/>
  <c r="M48" i="18"/>
  <c r="M59" i="18"/>
  <c r="M63" i="18"/>
  <c r="M67" i="18"/>
  <c r="M78" i="18"/>
  <c r="M82" i="18"/>
  <c r="M87" i="18"/>
  <c r="M88" i="18"/>
  <c r="M96" i="18"/>
  <c r="D113" i="18"/>
  <c r="B97" i="18"/>
  <c r="M97" i="18"/>
  <c r="M98" i="18"/>
  <c r="M99" i="18"/>
  <c r="M100" i="18"/>
  <c r="C86" i="18"/>
  <c r="C22" i="18"/>
  <c r="C30" i="18"/>
  <c r="C41" i="18"/>
  <c r="C49" i="18"/>
  <c r="C60" i="18"/>
  <c r="C68" i="18"/>
  <c r="C79" i="18"/>
  <c r="C84" i="18"/>
  <c r="C23" i="18"/>
  <c r="C39" i="18"/>
  <c r="C42" i="18"/>
  <c r="C58" i="18"/>
  <c r="C61" i="18"/>
  <c r="C77" i="18"/>
  <c r="C80" i="18"/>
  <c r="C85" i="18"/>
  <c r="C25" i="18"/>
  <c r="C40" i="18"/>
  <c r="C44" i="18"/>
  <c r="C63" i="18"/>
  <c r="C82" i="18"/>
  <c r="C87" i="18"/>
  <c r="C88" i="18"/>
  <c r="C96" i="18"/>
  <c r="C99" i="18"/>
  <c r="C100" i="18"/>
  <c r="D86" i="18"/>
  <c r="D11" i="18"/>
  <c r="D22" i="18"/>
  <c r="D30" i="18"/>
  <c r="D41" i="18"/>
  <c r="D49" i="18"/>
  <c r="D60" i="18"/>
  <c r="D68" i="18"/>
  <c r="D79" i="18"/>
  <c r="D84" i="18"/>
  <c r="D20" i="18"/>
  <c r="D23" i="18"/>
  <c r="D39" i="18"/>
  <c r="D42" i="18"/>
  <c r="D58" i="18"/>
  <c r="D61" i="18"/>
  <c r="D77" i="18"/>
  <c r="D80" i="18"/>
  <c r="D85" i="18"/>
  <c r="D21" i="18"/>
  <c r="D25" i="18"/>
  <c r="D40" i="18"/>
  <c r="D44" i="18"/>
  <c r="D59" i="18"/>
  <c r="D63" i="18"/>
  <c r="D78" i="18"/>
  <c r="D82" i="18"/>
  <c r="D87" i="18"/>
  <c r="D88" i="18"/>
  <c r="D96" i="18"/>
  <c r="D99" i="18"/>
  <c r="D100" i="18"/>
  <c r="C102" i="18"/>
  <c r="C101" i="18"/>
  <c r="C51" i="46"/>
  <c r="C48" i="19"/>
  <c r="C48" i="47"/>
  <c r="C3" i="53"/>
  <c r="C101" i="28"/>
  <c r="C11" i="53"/>
  <c r="C6" i="53"/>
  <c r="C8" i="53"/>
  <c r="C102" i="28"/>
  <c r="D8" i="34"/>
  <c r="D9" i="34"/>
  <c r="D12" i="34"/>
  <c r="D13" i="34"/>
  <c r="D16" i="34"/>
  <c r="D17" i="34"/>
  <c r="D20" i="34"/>
  <c r="D21" i="34"/>
  <c r="D22" i="34"/>
  <c r="C14" i="32"/>
  <c r="E9" i="34"/>
  <c r="E13" i="34"/>
  <c r="E17" i="34"/>
  <c r="E22" i="34"/>
  <c r="E25" i="34"/>
  <c r="D9" i="36"/>
  <c r="F14" i="36"/>
  <c r="C8" i="36"/>
  <c r="J8" i="36"/>
  <c r="C6" i="36"/>
  <c r="J6" i="36"/>
  <c r="C7" i="36"/>
  <c r="J7" i="36"/>
  <c r="J9" i="36"/>
  <c r="K8" i="36"/>
  <c r="C9" i="36"/>
  <c r="K99" i="28"/>
  <c r="F132" i="49"/>
  <c r="F134" i="49"/>
  <c r="F124" i="49"/>
  <c r="F125" i="49"/>
  <c r="F123" i="49"/>
  <c r="F122" i="49"/>
  <c r="F121" i="49"/>
  <c r="E111" i="49"/>
  <c r="D111" i="49"/>
  <c r="F111" i="49"/>
  <c r="E110" i="49"/>
  <c r="E106" i="49"/>
  <c r="D106" i="49"/>
  <c r="F106" i="49"/>
  <c r="E105" i="49"/>
  <c r="D105" i="49"/>
  <c r="F105" i="49"/>
  <c r="E104" i="49"/>
  <c r="D104" i="49"/>
  <c r="F104" i="49"/>
  <c r="N74" i="49"/>
  <c r="M74" i="49"/>
  <c r="L74" i="49"/>
  <c r="K74" i="49"/>
  <c r="J74" i="49"/>
  <c r="I74" i="49"/>
  <c r="H74" i="49"/>
  <c r="G74" i="49"/>
  <c r="F74" i="49"/>
  <c r="E74" i="49"/>
  <c r="D74" i="49"/>
  <c r="N73" i="49"/>
  <c r="M73" i="49"/>
  <c r="L73" i="49"/>
  <c r="K73" i="49"/>
  <c r="J73" i="49"/>
  <c r="I73" i="49"/>
  <c r="H73" i="49"/>
  <c r="G73" i="49"/>
  <c r="F73" i="49"/>
  <c r="E73" i="49"/>
  <c r="D73" i="49"/>
  <c r="N72" i="49"/>
  <c r="M72" i="49"/>
  <c r="L72" i="49"/>
  <c r="K72" i="49"/>
  <c r="J72" i="49"/>
  <c r="I72" i="49"/>
  <c r="H72" i="49"/>
  <c r="G72" i="49"/>
  <c r="F72" i="49"/>
  <c r="E72" i="49"/>
  <c r="D72" i="49"/>
  <c r="N71" i="49"/>
  <c r="M71" i="49"/>
  <c r="L71" i="49"/>
  <c r="K71" i="49"/>
  <c r="J71" i="49"/>
  <c r="I71" i="49"/>
  <c r="H71" i="49"/>
  <c r="G71" i="49"/>
  <c r="F71" i="49"/>
  <c r="E71" i="49"/>
  <c r="D71" i="49"/>
  <c r="N70" i="49"/>
  <c r="M70" i="49"/>
  <c r="L70" i="49"/>
  <c r="K70" i="49"/>
  <c r="J70" i="49"/>
  <c r="I70" i="49"/>
  <c r="H70" i="49"/>
  <c r="G70" i="49"/>
  <c r="F70" i="49"/>
  <c r="E70" i="49"/>
  <c r="D70" i="49"/>
  <c r="N69" i="49"/>
  <c r="M69" i="49"/>
  <c r="L69" i="49"/>
  <c r="K69" i="49"/>
  <c r="J69" i="49"/>
  <c r="I69" i="49"/>
  <c r="H69" i="49"/>
  <c r="G69" i="49"/>
  <c r="F69" i="49"/>
  <c r="E69" i="49"/>
  <c r="D69" i="49"/>
  <c r="D63" i="49"/>
  <c r="D62" i="49"/>
  <c r="D61" i="49"/>
  <c r="C33" i="23"/>
  <c r="D60" i="49"/>
  <c r="D68" i="49"/>
  <c r="D59" i="49"/>
  <c r="D67" i="49"/>
  <c r="D58" i="49"/>
  <c r="D66" i="49"/>
  <c r="D57" i="49"/>
  <c r="D65" i="49"/>
  <c r="F55" i="49"/>
  <c r="G55" i="49"/>
  <c r="H55" i="49"/>
  <c r="I55" i="49"/>
  <c r="J55" i="49"/>
  <c r="K55" i="49"/>
  <c r="L55" i="49"/>
  <c r="M55" i="49"/>
  <c r="N55" i="49"/>
  <c r="F36" i="49"/>
  <c r="G36" i="49"/>
  <c r="H36" i="49"/>
  <c r="I36" i="49"/>
  <c r="J36" i="49"/>
  <c r="K36" i="49"/>
  <c r="L36" i="49"/>
  <c r="M36" i="49"/>
  <c r="N36" i="49"/>
  <c r="G34" i="49"/>
  <c r="H34" i="49"/>
  <c r="I34" i="49"/>
  <c r="J34" i="49"/>
  <c r="K34" i="49"/>
  <c r="L34" i="49"/>
  <c r="M34" i="49"/>
  <c r="N34" i="49"/>
  <c r="C69" i="32"/>
  <c r="C71" i="32"/>
  <c r="D33" i="49"/>
  <c r="D32" i="49"/>
  <c r="D31" i="49"/>
  <c r="E30" i="49"/>
  <c r="D30" i="49"/>
  <c r="D29" i="49"/>
  <c r="D28" i="49"/>
  <c r="D27" i="49"/>
  <c r="D26" i="49"/>
  <c r="D25" i="49"/>
  <c r="D24" i="49"/>
  <c r="D21" i="49"/>
  <c r="D14" i="49"/>
  <c r="D12" i="49"/>
  <c r="F10" i="49"/>
  <c r="G10" i="49"/>
  <c r="H10" i="49"/>
  <c r="I10" i="49"/>
  <c r="J10" i="49"/>
  <c r="K10" i="49"/>
  <c r="L10" i="49"/>
  <c r="M10" i="49"/>
  <c r="N10" i="49"/>
  <c r="D75" i="49"/>
  <c r="D107" i="49"/>
  <c r="D108" i="49"/>
  <c r="E108" i="49"/>
  <c r="F108" i="49"/>
  <c r="D109" i="49"/>
  <c r="E109" i="49"/>
  <c r="F109" i="49"/>
  <c r="E107" i="49"/>
  <c r="F107" i="49"/>
  <c r="D110" i="49"/>
  <c r="F110" i="49"/>
  <c r="C32" i="37"/>
  <c r="E32" i="37"/>
  <c r="F32" i="37"/>
  <c r="G32" i="37"/>
  <c r="H32" i="37"/>
  <c r="I32" i="37"/>
  <c r="J32" i="37"/>
  <c r="K32" i="37"/>
  <c r="E117" i="48"/>
  <c r="E119" i="48"/>
  <c r="F119" i="48"/>
  <c r="D117" i="48"/>
  <c r="F117" i="48"/>
  <c r="D116" i="48"/>
  <c r="F116" i="48"/>
  <c r="D115" i="48"/>
  <c r="F115" i="48"/>
  <c r="D114" i="48"/>
  <c r="C104" i="48"/>
  <c r="D104" i="48"/>
  <c r="E103" i="48"/>
  <c r="F103" i="48"/>
  <c r="D103" i="48"/>
  <c r="E102" i="48"/>
  <c r="D102" i="48"/>
  <c r="F102" i="48"/>
  <c r="C102" i="48"/>
  <c r="C101" i="48"/>
  <c r="E101" i="48"/>
  <c r="C100" i="48"/>
  <c r="E100" i="48"/>
  <c r="K99" i="48"/>
  <c r="E99" i="48"/>
  <c r="C99" i="48"/>
  <c r="D99" i="48"/>
  <c r="F99" i="48"/>
  <c r="C98" i="48"/>
  <c r="D98" i="48"/>
  <c r="C97" i="48"/>
  <c r="D97" i="48"/>
  <c r="K95" i="48"/>
  <c r="K91" i="48"/>
  <c r="M80" i="48"/>
  <c r="M79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C61" i="48"/>
  <c r="C59" i="48"/>
  <c r="N56" i="48"/>
  <c r="M56" i="48"/>
  <c r="L56" i="48"/>
  <c r="K56" i="48"/>
  <c r="J56" i="48"/>
  <c r="I56" i="48"/>
  <c r="H56" i="48"/>
  <c r="G56" i="48"/>
  <c r="F56" i="48"/>
  <c r="E56" i="48"/>
  <c r="D56" i="48"/>
  <c r="N55" i="48"/>
  <c r="M55" i="48"/>
  <c r="L55" i="48"/>
  <c r="K55" i="48"/>
  <c r="J55" i="48"/>
  <c r="I55" i="48"/>
  <c r="H55" i="48"/>
  <c r="G55" i="48"/>
  <c r="F55" i="48"/>
  <c r="E55" i="48"/>
  <c r="D55" i="48"/>
  <c r="N54" i="48"/>
  <c r="M54" i="48"/>
  <c r="L54" i="48"/>
  <c r="K54" i="48"/>
  <c r="J54" i="48"/>
  <c r="I54" i="48"/>
  <c r="H54" i="48"/>
  <c r="G54" i="48"/>
  <c r="F54" i="48"/>
  <c r="E54" i="48"/>
  <c r="D54" i="48"/>
  <c r="C54" i="48"/>
  <c r="D53" i="48"/>
  <c r="D61" i="48"/>
  <c r="D52" i="48"/>
  <c r="D60" i="48"/>
  <c r="D51" i="48"/>
  <c r="D59" i="48"/>
  <c r="D50" i="48"/>
  <c r="D58" i="48"/>
  <c r="F48" i="48"/>
  <c r="G48" i="48"/>
  <c r="H48" i="48"/>
  <c r="I48" i="48"/>
  <c r="J48" i="48"/>
  <c r="K48" i="48"/>
  <c r="L48" i="48"/>
  <c r="M48" i="48"/>
  <c r="N48" i="48"/>
  <c r="F29" i="48"/>
  <c r="G29" i="48"/>
  <c r="H29" i="48"/>
  <c r="I29" i="48"/>
  <c r="J29" i="48"/>
  <c r="K29" i="48"/>
  <c r="L29" i="48"/>
  <c r="M29" i="48"/>
  <c r="N29" i="48"/>
  <c r="G27" i="48"/>
  <c r="H27" i="48"/>
  <c r="I27" i="48"/>
  <c r="J27" i="48"/>
  <c r="K27" i="48"/>
  <c r="L27" i="48"/>
  <c r="M27" i="48"/>
  <c r="N27" i="48"/>
  <c r="D26" i="48"/>
  <c r="D23" i="48"/>
  <c r="D14" i="48"/>
  <c r="D7" i="48"/>
  <c r="D5" i="48"/>
  <c r="F3" i="48"/>
  <c r="G3" i="48"/>
  <c r="H3" i="48"/>
  <c r="I3" i="48"/>
  <c r="J3" i="48"/>
  <c r="K3" i="48"/>
  <c r="L3" i="48"/>
  <c r="M3" i="48"/>
  <c r="N3" i="48"/>
  <c r="D68" i="48"/>
  <c r="F98" i="48"/>
  <c r="E98" i="48"/>
  <c r="D101" i="48"/>
  <c r="F101" i="48"/>
  <c r="E104" i="48"/>
  <c r="F104" i="48"/>
  <c r="D100" i="48"/>
  <c r="F100" i="48"/>
  <c r="D119" i="48"/>
  <c r="E97" i="48"/>
  <c r="F97" i="48"/>
  <c r="E34" i="48"/>
  <c r="E35" i="48"/>
  <c r="F114" i="48"/>
  <c r="M74" i="48"/>
  <c r="D59" i="46"/>
  <c r="D102" i="28"/>
  <c r="D101" i="28"/>
  <c r="D54" i="28"/>
  <c r="D62" i="28"/>
  <c r="D52" i="28"/>
  <c r="M27" i="47"/>
  <c r="K27" i="47"/>
  <c r="J27" i="47"/>
  <c r="I27" i="47"/>
  <c r="H27" i="47"/>
  <c r="G27" i="47"/>
  <c r="F27" i="47"/>
  <c r="E27" i="47"/>
  <c r="D27" i="47"/>
  <c r="M18" i="47"/>
  <c r="L18" i="47"/>
  <c r="K18" i="47"/>
  <c r="J18" i="47"/>
  <c r="G18" i="47"/>
  <c r="F18" i="47"/>
  <c r="E18" i="47"/>
  <c r="D18" i="47"/>
  <c r="M9" i="47"/>
  <c r="L9" i="47"/>
  <c r="K9" i="47"/>
  <c r="J9" i="47"/>
  <c r="I9" i="47"/>
  <c r="H9" i="47"/>
  <c r="G9" i="47"/>
  <c r="F9" i="47"/>
  <c r="E9" i="47"/>
  <c r="D9" i="47"/>
  <c r="H54" i="28"/>
  <c r="H62" i="28"/>
  <c r="H68" i="49"/>
  <c r="H53" i="48"/>
  <c r="H61" i="48"/>
  <c r="E54" i="28"/>
  <c r="E62" i="28"/>
  <c r="E68" i="49"/>
  <c r="E53" i="48"/>
  <c r="E61" i="48"/>
  <c r="K54" i="28"/>
  <c r="K62" i="28"/>
  <c r="L68" i="49"/>
  <c r="L53" i="48"/>
  <c r="L61" i="48"/>
  <c r="F54" i="28"/>
  <c r="F62" i="28"/>
  <c r="F68" i="49"/>
  <c r="F53" i="48"/>
  <c r="F61" i="48"/>
  <c r="I18" i="47"/>
  <c r="J53" i="48"/>
  <c r="J61" i="48"/>
  <c r="N54" i="28"/>
  <c r="N62" i="28"/>
  <c r="N68" i="49"/>
  <c r="N53" i="48"/>
  <c r="N61" i="48"/>
  <c r="L54" i="28"/>
  <c r="L62" i="28"/>
  <c r="G54" i="28"/>
  <c r="G62" i="28"/>
  <c r="G68" i="49"/>
  <c r="G53" i="48"/>
  <c r="G61" i="48"/>
  <c r="K68" i="49"/>
  <c r="K53" i="48"/>
  <c r="K61" i="48"/>
  <c r="C62" i="28"/>
  <c r="D82" i="29"/>
  <c r="L27" i="47"/>
  <c r="M54" i="28"/>
  <c r="M62" i="28"/>
  <c r="J54" i="28"/>
  <c r="J62" i="28"/>
  <c r="H18" i="47"/>
  <c r="I54" i="28"/>
  <c r="I62" i="28"/>
  <c r="B36" i="47"/>
  <c r="B35" i="47"/>
  <c r="E29" i="47"/>
  <c r="D29" i="47"/>
  <c r="F28" i="47"/>
  <c r="E28" i="47"/>
  <c r="D20" i="47"/>
  <c r="L19" i="47"/>
  <c r="M19" i="47"/>
  <c r="E19" i="47"/>
  <c r="D11" i="47"/>
  <c r="M10" i="47"/>
  <c r="L10" i="47"/>
  <c r="E5" i="47"/>
  <c r="F5" i="47"/>
  <c r="G5" i="47"/>
  <c r="H5" i="47"/>
  <c r="I5" i="47"/>
  <c r="J5" i="47"/>
  <c r="K5" i="47"/>
  <c r="L5" i="47"/>
  <c r="M5" i="47"/>
  <c r="D4" i="47"/>
  <c r="E4" i="47"/>
  <c r="F4" i="47"/>
  <c r="M53" i="48"/>
  <c r="M61" i="48"/>
  <c r="M68" i="49"/>
  <c r="I53" i="48"/>
  <c r="I61" i="48"/>
  <c r="I68" i="49"/>
  <c r="J68" i="49"/>
  <c r="J31" i="47"/>
  <c r="E22" i="47"/>
  <c r="G4" i="47"/>
  <c r="F29" i="47"/>
  <c r="I31" i="47"/>
  <c r="E31" i="47"/>
  <c r="H31" i="47"/>
  <c r="D31" i="47"/>
  <c r="G31" i="47"/>
  <c r="G28" i="47"/>
  <c r="F22" i="47"/>
  <c r="D22" i="47"/>
  <c r="F31" i="47"/>
  <c r="F19" i="47"/>
  <c r="E20" i="47"/>
  <c r="M20" i="47"/>
  <c r="F20" i="47"/>
  <c r="G19" i="47"/>
  <c r="G20" i="47"/>
  <c r="H28" i="47"/>
  <c r="G29" i="47"/>
  <c r="L20" i="47"/>
  <c r="I20" i="47"/>
  <c r="H20" i="47"/>
  <c r="H4" i="47"/>
  <c r="J20" i="47"/>
  <c r="K20" i="47"/>
  <c r="I28" i="47"/>
  <c r="H29" i="47"/>
  <c r="I4" i="47"/>
  <c r="J4" i="47"/>
  <c r="J28" i="47"/>
  <c r="K4" i="47"/>
  <c r="K28" i="47"/>
  <c r="L29" i="47"/>
  <c r="J29" i="47"/>
  <c r="M29" i="47"/>
  <c r="L4" i="47"/>
  <c r="K29" i="47"/>
  <c r="I29" i="47"/>
  <c r="M4" i="47"/>
  <c r="D85" i="14"/>
  <c r="D63" i="26"/>
  <c r="C14" i="26"/>
  <c r="F21" i="34"/>
  <c r="E119" i="28"/>
  <c r="D117" i="28"/>
  <c r="D116" i="28"/>
  <c r="D115" i="28"/>
  <c r="E14" i="47"/>
  <c r="F14" i="47"/>
  <c r="D14" i="47"/>
  <c r="G14" i="47"/>
  <c r="H14" i="47"/>
  <c r="I14" i="47"/>
  <c r="J14" i="47"/>
  <c r="K14" i="47"/>
  <c r="L14" i="47"/>
  <c r="M14" i="47"/>
  <c r="G32" i="47"/>
  <c r="F32" i="47"/>
  <c r="C32" i="47"/>
  <c r="J32" i="47"/>
  <c r="D11" i="19"/>
  <c r="M9" i="19"/>
  <c r="L9" i="19"/>
  <c r="K9" i="19"/>
  <c r="J9" i="19"/>
  <c r="I9" i="19"/>
  <c r="H9" i="19"/>
  <c r="G9" i="19"/>
  <c r="F9" i="19"/>
  <c r="E9" i="19"/>
  <c r="L10" i="19"/>
  <c r="M10" i="19"/>
  <c r="L32" i="47"/>
  <c r="H32" i="47"/>
  <c r="M32" i="47"/>
  <c r="I32" i="47"/>
  <c r="K32" i="47"/>
  <c r="E32" i="47"/>
  <c r="D32" i="47"/>
  <c r="D14" i="19"/>
  <c r="N68" i="28"/>
  <c r="M68" i="28"/>
  <c r="L68" i="28"/>
  <c r="K68" i="28"/>
  <c r="J68" i="28"/>
  <c r="I68" i="28"/>
  <c r="H68" i="28"/>
  <c r="G68" i="28"/>
  <c r="F68" i="28"/>
  <c r="E68" i="28"/>
  <c r="H64" i="28"/>
  <c r="D68" i="28"/>
  <c r="D53" i="28"/>
  <c r="D61" i="28"/>
  <c r="D60" i="28"/>
  <c r="D51" i="28"/>
  <c r="D59" i="28"/>
  <c r="E55" i="28"/>
  <c r="G11" i="46"/>
  <c r="N67" i="28"/>
  <c r="K67" i="28"/>
  <c r="J67" i="28"/>
  <c r="G67" i="28"/>
  <c r="N63" i="28"/>
  <c r="M63" i="28"/>
  <c r="L63" i="28"/>
  <c r="K63" i="28"/>
  <c r="J63" i="28"/>
  <c r="H63" i="28"/>
  <c r="G63" i="28"/>
  <c r="N64" i="28"/>
  <c r="L64" i="28"/>
  <c r="K64" i="28"/>
  <c r="G64" i="28"/>
  <c r="E64" i="28"/>
  <c r="N65" i="28"/>
  <c r="K65" i="28"/>
  <c r="N66" i="28"/>
  <c r="M66" i="28"/>
  <c r="L66" i="28"/>
  <c r="K66" i="28"/>
  <c r="J66" i="28"/>
  <c r="I66" i="28"/>
  <c r="H66" i="28"/>
  <c r="G66" i="28"/>
  <c r="D15" i="28"/>
  <c r="D8" i="28"/>
  <c r="D6" i="28"/>
  <c r="J8" i="48"/>
  <c r="J15" i="49"/>
  <c r="D8" i="48"/>
  <c r="D15" i="49"/>
  <c r="N15" i="49"/>
  <c r="J9" i="28"/>
  <c r="D9" i="28"/>
  <c r="I45" i="32"/>
  <c r="H27" i="32"/>
  <c r="D27" i="32"/>
  <c r="C68" i="28"/>
  <c r="B98" i="18"/>
  <c r="L8" i="48"/>
  <c r="L15" i="49"/>
  <c r="E8" i="48"/>
  <c r="E15" i="49"/>
  <c r="I8" i="48"/>
  <c r="I15" i="49"/>
  <c r="M8" i="48"/>
  <c r="M15" i="49"/>
  <c r="N9" i="28"/>
  <c r="N8" i="48"/>
  <c r="I9" i="28"/>
  <c r="M9" i="28"/>
  <c r="L9" i="28"/>
  <c r="E9" i="28"/>
  <c r="E34" i="37"/>
  <c r="D34" i="37"/>
  <c r="C34" i="37"/>
  <c r="B34" i="37"/>
  <c r="K33" i="37"/>
  <c r="J33" i="37"/>
  <c r="I33" i="37"/>
  <c r="H33" i="37"/>
  <c r="G33" i="37"/>
  <c r="F33" i="37"/>
  <c r="E33" i="37"/>
  <c r="D33" i="37"/>
  <c r="B33" i="37"/>
  <c r="B32" i="37"/>
  <c r="F21" i="37"/>
  <c r="F34" i="37"/>
  <c r="C21" i="37"/>
  <c r="L10" i="37"/>
  <c r="K10" i="37"/>
  <c r="J10" i="37"/>
  <c r="I10" i="37"/>
  <c r="H10" i="37"/>
  <c r="G10" i="37"/>
  <c r="F10" i="37"/>
  <c r="E10" i="37"/>
  <c r="D10" i="37"/>
  <c r="C8" i="37"/>
  <c r="F6" i="37"/>
  <c r="G6" i="37"/>
  <c r="H6" i="37"/>
  <c r="I6" i="37"/>
  <c r="J6" i="37"/>
  <c r="K6" i="37"/>
  <c r="L6" i="37"/>
  <c r="E6" i="37"/>
  <c r="D6" i="37"/>
  <c r="L5" i="37"/>
  <c r="K5" i="37"/>
  <c r="J5" i="37"/>
  <c r="I5" i="37"/>
  <c r="H5" i="37"/>
  <c r="G5" i="37"/>
  <c r="F5" i="37"/>
  <c r="E5" i="37"/>
  <c r="D5" i="37"/>
  <c r="C5" i="37"/>
  <c r="E29" i="31"/>
  <c r="D29" i="31"/>
  <c r="C29" i="31"/>
  <c r="E28" i="31"/>
  <c r="D28" i="31"/>
  <c r="C28" i="31"/>
  <c r="E27" i="31"/>
  <c r="D27" i="31"/>
  <c r="C27" i="31"/>
  <c r="E26" i="31"/>
  <c r="D26" i="31"/>
  <c r="C26" i="31"/>
  <c r="E25" i="31"/>
  <c r="D25" i="31"/>
  <c r="C25" i="31"/>
  <c r="E24" i="31"/>
  <c r="D24" i="31"/>
  <c r="C24" i="31"/>
  <c r="E23" i="31"/>
  <c r="D23" i="31"/>
  <c r="C23" i="31"/>
  <c r="E22" i="31"/>
  <c r="D22" i="31"/>
  <c r="C22" i="31"/>
  <c r="E21" i="31"/>
  <c r="D21" i="31"/>
  <c r="C21" i="31"/>
  <c r="E20" i="31"/>
  <c r="D20" i="31"/>
  <c r="C20" i="31"/>
  <c r="E19" i="31"/>
  <c r="D19" i="31"/>
  <c r="C19" i="31"/>
  <c r="E18" i="31"/>
  <c r="D18" i="31"/>
  <c r="C18" i="31"/>
  <c r="E17" i="31"/>
  <c r="D17" i="31"/>
  <c r="C17" i="31"/>
  <c r="E16" i="31"/>
  <c r="D16" i="31"/>
  <c r="C16" i="31"/>
  <c r="E15" i="31"/>
  <c r="D15" i="31"/>
  <c r="C15" i="31"/>
  <c r="E14" i="31"/>
  <c r="D14" i="31"/>
  <c r="C14" i="31"/>
  <c r="E13" i="31"/>
  <c r="D13" i="31"/>
  <c r="C13" i="31"/>
  <c r="E12" i="31"/>
  <c r="D12" i="31"/>
  <c r="C12" i="31"/>
  <c r="E11" i="31"/>
  <c r="D11" i="31"/>
  <c r="C11" i="31"/>
  <c r="E10" i="31"/>
  <c r="D10" i="31"/>
  <c r="C10" i="31"/>
  <c r="E9" i="31"/>
  <c r="D9" i="31"/>
  <c r="C9" i="31"/>
  <c r="E8" i="31"/>
  <c r="D8" i="31"/>
  <c r="C8" i="31"/>
  <c r="E7" i="31"/>
  <c r="D7" i="31"/>
  <c r="C7" i="31"/>
  <c r="E6" i="31"/>
  <c r="D6" i="31"/>
  <c r="C6" i="31"/>
  <c r="E5" i="31"/>
  <c r="D5" i="31"/>
  <c r="C5" i="31"/>
  <c r="F20" i="34"/>
  <c r="F16" i="34"/>
  <c r="F17" i="34"/>
  <c r="G17" i="34"/>
  <c r="F12" i="34"/>
  <c r="F8" i="34"/>
  <c r="F9" i="34"/>
  <c r="G9" i="34"/>
  <c r="D67" i="28"/>
  <c r="D56" i="28"/>
  <c r="D63" i="28"/>
  <c r="D64" i="28"/>
  <c r="D65" i="28"/>
  <c r="N93" i="29"/>
  <c r="D66" i="28"/>
  <c r="M64" i="28"/>
  <c r="M65" i="28"/>
  <c r="M67" i="28"/>
  <c r="M56" i="28"/>
  <c r="L67" i="28"/>
  <c r="L56" i="28"/>
  <c r="J65" i="28"/>
  <c r="J64" i="28"/>
  <c r="I64" i="28"/>
  <c r="I67" i="28"/>
  <c r="I56" i="28"/>
  <c r="I18" i="19"/>
  <c r="H67" i="28"/>
  <c r="H56" i="28"/>
  <c r="H65" i="28"/>
  <c r="F67" i="28"/>
  <c r="F56" i="28"/>
  <c r="F65" i="28"/>
  <c r="F64" i="28"/>
  <c r="E63" i="28"/>
  <c r="F5" i="29"/>
  <c r="G5" i="29"/>
  <c r="H5" i="29"/>
  <c r="I5" i="29"/>
  <c r="J5" i="29"/>
  <c r="K5" i="29"/>
  <c r="L5" i="29"/>
  <c r="M5" i="29"/>
  <c r="N5" i="29"/>
  <c r="L75" i="32"/>
  <c r="K75" i="32"/>
  <c r="J75" i="32"/>
  <c r="I75" i="32"/>
  <c r="H75" i="32"/>
  <c r="G75" i="32"/>
  <c r="F75" i="32"/>
  <c r="E75" i="32"/>
  <c r="D75" i="32"/>
  <c r="B75" i="32"/>
  <c r="L74" i="32"/>
  <c r="K74" i="32"/>
  <c r="J74" i="32"/>
  <c r="I74" i="32"/>
  <c r="H74" i="32"/>
  <c r="G74" i="32"/>
  <c r="F74" i="32"/>
  <c r="E74" i="32"/>
  <c r="D74" i="32"/>
  <c r="B74" i="32"/>
  <c r="M67" i="32"/>
  <c r="M69" i="32"/>
  <c r="D69" i="32"/>
  <c r="E69" i="32"/>
  <c r="F69" i="32"/>
  <c r="G69" i="32"/>
  <c r="H69" i="32"/>
  <c r="I69" i="32"/>
  <c r="J69" i="32"/>
  <c r="K69" i="32"/>
  <c r="L69" i="32"/>
  <c r="M68" i="32"/>
  <c r="L67" i="32"/>
  <c r="K67" i="32"/>
  <c r="K68" i="32"/>
  <c r="J67" i="32"/>
  <c r="J68" i="32"/>
  <c r="I67" i="32"/>
  <c r="I68" i="32"/>
  <c r="H67" i="32"/>
  <c r="G67" i="32"/>
  <c r="G68" i="32"/>
  <c r="F67" i="32"/>
  <c r="H68" i="32"/>
  <c r="E67" i="32"/>
  <c r="E68" i="32"/>
  <c r="D67" i="32"/>
  <c r="C68" i="32"/>
  <c r="J46" i="32"/>
  <c r="I46" i="32"/>
  <c r="H46" i="32"/>
  <c r="G46" i="32"/>
  <c r="F46" i="32"/>
  <c r="E46" i="32"/>
  <c r="D46" i="32"/>
  <c r="H45" i="32"/>
  <c r="G45" i="32"/>
  <c r="F45" i="32"/>
  <c r="E45" i="32"/>
  <c r="D45" i="32"/>
  <c r="I28" i="32"/>
  <c r="H28" i="32"/>
  <c r="G28" i="32"/>
  <c r="F28" i="32"/>
  <c r="E28" i="32"/>
  <c r="D28" i="32"/>
  <c r="G27" i="32"/>
  <c r="F27" i="32"/>
  <c r="E27" i="32"/>
  <c r="D10" i="32"/>
  <c r="E5" i="32"/>
  <c r="F5" i="32"/>
  <c r="G5" i="32"/>
  <c r="H5" i="32"/>
  <c r="I5" i="32"/>
  <c r="J5" i="32"/>
  <c r="K5" i="32"/>
  <c r="L5" i="32"/>
  <c r="M5" i="32"/>
  <c r="M4" i="32"/>
  <c r="L4" i="32"/>
  <c r="K4" i="32"/>
  <c r="J4" i="32"/>
  <c r="I4" i="32"/>
  <c r="H4" i="32"/>
  <c r="G4" i="32"/>
  <c r="F4" i="32"/>
  <c r="E4" i="32"/>
  <c r="D4" i="32"/>
  <c r="E98" i="18"/>
  <c r="F98" i="18"/>
  <c r="G98" i="18"/>
  <c r="H98" i="18"/>
  <c r="I98" i="18"/>
  <c r="J98" i="18"/>
  <c r="K98" i="18"/>
  <c r="L98" i="18"/>
  <c r="D98" i="18"/>
  <c r="K97" i="18"/>
  <c r="L97" i="18"/>
  <c r="G97" i="18"/>
  <c r="H97" i="18"/>
  <c r="I97" i="18"/>
  <c r="J97" i="18"/>
  <c r="F97" i="18"/>
  <c r="E97" i="18"/>
  <c r="D97" i="18"/>
  <c r="D81" i="18"/>
  <c r="E81" i="18"/>
  <c r="F81" i="18"/>
  <c r="G81" i="18"/>
  <c r="H81" i="18"/>
  <c r="I81" i="18"/>
  <c r="J81" i="18"/>
  <c r="K81" i="18"/>
  <c r="L81" i="18"/>
  <c r="M81" i="18"/>
  <c r="C74" i="18"/>
  <c r="F67" i="18"/>
  <c r="D67" i="18"/>
  <c r="F66" i="18"/>
  <c r="D66" i="18"/>
  <c r="E62" i="18"/>
  <c r="F62" i="18"/>
  <c r="G62" i="18"/>
  <c r="H62" i="18"/>
  <c r="I62" i="18"/>
  <c r="J62" i="18"/>
  <c r="K62" i="18"/>
  <c r="L62" i="18"/>
  <c r="M62" i="18"/>
  <c r="D62" i="18"/>
  <c r="D48" i="18"/>
  <c r="E48" i="18"/>
  <c r="D47" i="18"/>
  <c r="G43" i="18"/>
  <c r="H43" i="18"/>
  <c r="I43" i="18"/>
  <c r="J43" i="18"/>
  <c r="K43" i="18"/>
  <c r="L43" i="18"/>
  <c r="M43" i="18"/>
  <c r="E43" i="18"/>
  <c r="F43" i="18"/>
  <c r="D43" i="18"/>
  <c r="D29" i="18"/>
  <c r="E29" i="18"/>
  <c r="D28" i="18"/>
  <c r="D10" i="18"/>
  <c r="D9" i="18"/>
  <c r="E5" i="18"/>
  <c r="F5" i="18"/>
  <c r="G5" i="18"/>
  <c r="H5" i="18"/>
  <c r="I5" i="18"/>
  <c r="J5" i="18"/>
  <c r="K5" i="18"/>
  <c r="L5" i="18"/>
  <c r="M5" i="18"/>
  <c r="E4" i="18"/>
  <c r="D4" i="18"/>
  <c r="L25" i="23"/>
  <c r="K25" i="23"/>
  <c r="J25" i="23"/>
  <c r="I25" i="23"/>
  <c r="H25" i="23"/>
  <c r="G25" i="23"/>
  <c r="F25" i="23"/>
  <c r="E25" i="23"/>
  <c r="D25" i="23"/>
  <c r="B25" i="23"/>
  <c r="L24" i="23"/>
  <c r="K24" i="23"/>
  <c r="J24" i="23"/>
  <c r="I24" i="23"/>
  <c r="H24" i="23"/>
  <c r="G24" i="23"/>
  <c r="F24" i="23"/>
  <c r="E24" i="23"/>
  <c r="D24" i="23"/>
  <c r="M10" i="23"/>
  <c r="L10" i="23"/>
  <c r="K10" i="23"/>
  <c r="J10" i="23"/>
  <c r="I10" i="23"/>
  <c r="H10" i="23"/>
  <c r="G10" i="23"/>
  <c r="F10" i="23"/>
  <c r="E10" i="23"/>
  <c r="D10" i="23"/>
  <c r="C10" i="23"/>
  <c r="M9" i="23"/>
  <c r="L9" i="23"/>
  <c r="K9" i="23"/>
  <c r="J9" i="23"/>
  <c r="I9" i="23"/>
  <c r="H9" i="23"/>
  <c r="G9" i="23"/>
  <c r="D9" i="23"/>
  <c r="N55" i="28"/>
  <c r="M55" i="28"/>
  <c r="L55" i="28"/>
  <c r="K55" i="28"/>
  <c r="J55" i="28"/>
  <c r="I55" i="28"/>
  <c r="H55" i="28"/>
  <c r="D55" i="28"/>
  <c r="E5" i="23"/>
  <c r="F5" i="23"/>
  <c r="G5" i="23"/>
  <c r="H5" i="23"/>
  <c r="I5" i="23"/>
  <c r="J5" i="23"/>
  <c r="K5" i="23"/>
  <c r="L5" i="23"/>
  <c r="M5" i="23"/>
  <c r="M4" i="23"/>
  <c r="L4" i="23"/>
  <c r="K4" i="23"/>
  <c r="J4" i="23"/>
  <c r="I4" i="23"/>
  <c r="H4" i="23"/>
  <c r="G4" i="23"/>
  <c r="F4" i="23"/>
  <c r="E4" i="23"/>
  <c r="D4" i="23"/>
  <c r="D109" i="22"/>
  <c r="E5" i="22"/>
  <c r="F5" i="22"/>
  <c r="G5" i="22"/>
  <c r="H5" i="22"/>
  <c r="I5" i="22"/>
  <c r="J5" i="22"/>
  <c r="K5" i="22"/>
  <c r="L5" i="22"/>
  <c r="M5" i="22"/>
  <c r="E48" i="46"/>
  <c r="F48" i="46"/>
  <c r="G48" i="46"/>
  <c r="H48" i="46"/>
  <c r="I48" i="46"/>
  <c r="J48" i="46"/>
  <c r="K48" i="46"/>
  <c r="L48" i="46"/>
  <c r="D48" i="46"/>
  <c r="B48" i="46"/>
  <c r="D47" i="46"/>
  <c r="E47" i="46"/>
  <c r="F47" i="46"/>
  <c r="G47" i="46"/>
  <c r="H47" i="46"/>
  <c r="I47" i="46"/>
  <c r="J47" i="46"/>
  <c r="K47" i="46"/>
  <c r="L47" i="46"/>
  <c r="D29" i="46"/>
  <c r="E29" i="46"/>
  <c r="F29" i="46"/>
  <c r="G29" i="46"/>
  <c r="H29" i="46"/>
  <c r="I29" i="46"/>
  <c r="J29" i="46"/>
  <c r="K29" i="46"/>
  <c r="L29" i="46"/>
  <c r="E28" i="46"/>
  <c r="D28" i="46"/>
  <c r="F27" i="46"/>
  <c r="F28" i="46"/>
  <c r="E27" i="46"/>
  <c r="D27" i="46"/>
  <c r="C22" i="46"/>
  <c r="K20" i="46"/>
  <c r="L20" i="46"/>
  <c r="M20" i="46"/>
  <c r="D20" i="46"/>
  <c r="E20" i="46"/>
  <c r="F20" i="46"/>
  <c r="G20" i="46"/>
  <c r="H20" i="46"/>
  <c r="D19" i="46"/>
  <c r="E18" i="46"/>
  <c r="E19" i="46"/>
  <c r="D18" i="46"/>
  <c r="H11" i="46"/>
  <c r="I11" i="46"/>
  <c r="J11" i="46"/>
  <c r="K11" i="46"/>
  <c r="L11" i="46"/>
  <c r="M11" i="46"/>
  <c r="D10" i="46"/>
  <c r="E10" i="46"/>
  <c r="C10" i="46"/>
  <c r="D9" i="46"/>
  <c r="E5" i="46"/>
  <c r="F5" i="46"/>
  <c r="G5" i="46"/>
  <c r="H5" i="46"/>
  <c r="I5" i="46"/>
  <c r="J5" i="46"/>
  <c r="K5" i="46"/>
  <c r="L5" i="46"/>
  <c r="M5" i="46"/>
  <c r="D4" i="46"/>
  <c r="D21" i="46"/>
  <c r="D22" i="46"/>
  <c r="G18" i="20"/>
  <c r="D9" i="20"/>
  <c r="E5" i="20"/>
  <c r="F5" i="20"/>
  <c r="G5" i="20"/>
  <c r="H5" i="20"/>
  <c r="I5" i="20"/>
  <c r="J5" i="20"/>
  <c r="K5" i="20"/>
  <c r="L5" i="20"/>
  <c r="M5" i="20"/>
  <c r="C59" i="26"/>
  <c r="L50" i="26"/>
  <c r="K50" i="26"/>
  <c r="J50" i="26"/>
  <c r="I50" i="26"/>
  <c r="H50" i="26"/>
  <c r="G50" i="26"/>
  <c r="F50" i="26"/>
  <c r="E50" i="26"/>
  <c r="D50" i="26"/>
  <c r="B50" i="26"/>
  <c r="L49" i="26"/>
  <c r="K49" i="26"/>
  <c r="J49" i="26"/>
  <c r="I49" i="26"/>
  <c r="H49" i="26"/>
  <c r="G49" i="26"/>
  <c r="F49" i="26"/>
  <c r="E49" i="26"/>
  <c r="D49" i="26"/>
  <c r="B49" i="26"/>
  <c r="M35" i="26"/>
  <c r="L35" i="26"/>
  <c r="K35" i="26"/>
  <c r="G35" i="26"/>
  <c r="F35" i="26"/>
  <c r="E35" i="26"/>
  <c r="M29" i="26"/>
  <c r="K29" i="26"/>
  <c r="I29" i="26"/>
  <c r="H29" i="26"/>
  <c r="G29" i="26"/>
  <c r="F29" i="26"/>
  <c r="E29" i="26"/>
  <c r="D29" i="26"/>
  <c r="D33" i="26"/>
  <c r="M25" i="26"/>
  <c r="L25" i="26"/>
  <c r="K25" i="26"/>
  <c r="J25" i="26"/>
  <c r="F25" i="26"/>
  <c r="E25" i="26"/>
  <c r="C24" i="26"/>
  <c r="C34" i="26"/>
  <c r="M19" i="26"/>
  <c r="L19" i="26"/>
  <c r="K19" i="26"/>
  <c r="J19" i="26"/>
  <c r="I19" i="26"/>
  <c r="G19" i="26"/>
  <c r="F19" i="26"/>
  <c r="E19" i="26"/>
  <c r="D19" i="26"/>
  <c r="M15" i="26"/>
  <c r="L15" i="26"/>
  <c r="K15" i="26"/>
  <c r="J15" i="26"/>
  <c r="I15" i="26"/>
  <c r="H15" i="26"/>
  <c r="M14" i="26"/>
  <c r="M24" i="26"/>
  <c r="M34" i="26"/>
  <c r="L14" i="26"/>
  <c r="L24" i="26"/>
  <c r="L34" i="26"/>
  <c r="K14" i="26"/>
  <c r="K24" i="26"/>
  <c r="K34" i="26"/>
  <c r="J14" i="26"/>
  <c r="J24" i="26"/>
  <c r="J34" i="26"/>
  <c r="I14" i="26"/>
  <c r="I24" i="26"/>
  <c r="I34" i="26"/>
  <c r="H14" i="26"/>
  <c r="H24" i="26"/>
  <c r="H34" i="26"/>
  <c r="G14" i="26"/>
  <c r="G24" i="26"/>
  <c r="G34" i="26"/>
  <c r="F14" i="26"/>
  <c r="F24" i="26"/>
  <c r="F34" i="26"/>
  <c r="E14" i="26"/>
  <c r="E24" i="26"/>
  <c r="E34" i="26"/>
  <c r="D14" i="26"/>
  <c r="D24" i="26"/>
  <c r="D34" i="26"/>
  <c r="M9" i="26"/>
  <c r="L9" i="26"/>
  <c r="K9" i="26"/>
  <c r="L67" i="49"/>
  <c r="J9" i="26"/>
  <c r="I9" i="26"/>
  <c r="H9" i="26"/>
  <c r="G9" i="26"/>
  <c r="D9" i="26"/>
  <c r="F5" i="26"/>
  <c r="G5" i="26"/>
  <c r="H5" i="26"/>
  <c r="I5" i="26"/>
  <c r="J5" i="26"/>
  <c r="K5" i="26"/>
  <c r="L5" i="26"/>
  <c r="M5" i="26"/>
  <c r="E5" i="26"/>
  <c r="M4" i="26"/>
  <c r="L4" i="26"/>
  <c r="K4" i="26"/>
  <c r="J4" i="26"/>
  <c r="I4" i="26"/>
  <c r="H4" i="26"/>
  <c r="G4" i="26"/>
  <c r="F4" i="26"/>
  <c r="E4" i="26"/>
  <c r="D4" i="26"/>
  <c r="B36" i="19"/>
  <c r="B35" i="19"/>
  <c r="C32" i="19"/>
  <c r="D29" i="19"/>
  <c r="E28" i="19"/>
  <c r="M27" i="19"/>
  <c r="J27" i="19"/>
  <c r="I27" i="19"/>
  <c r="H27" i="19"/>
  <c r="G27" i="19"/>
  <c r="F27" i="19"/>
  <c r="E27" i="19"/>
  <c r="D27" i="19"/>
  <c r="D31" i="19"/>
  <c r="D20" i="19"/>
  <c r="L19" i="19"/>
  <c r="M19" i="19"/>
  <c r="F19" i="19"/>
  <c r="F20" i="19"/>
  <c r="E19" i="19"/>
  <c r="M18" i="19"/>
  <c r="L18" i="19"/>
  <c r="K18" i="19"/>
  <c r="J18" i="19"/>
  <c r="G18" i="19"/>
  <c r="F18" i="19"/>
  <c r="E18" i="19"/>
  <c r="D18" i="19"/>
  <c r="F5" i="19"/>
  <c r="G5" i="19"/>
  <c r="H5" i="19"/>
  <c r="I5" i="19"/>
  <c r="J5" i="19"/>
  <c r="K5" i="19"/>
  <c r="L5" i="19"/>
  <c r="M5" i="19"/>
  <c r="E5" i="19"/>
  <c r="D4" i="19"/>
  <c r="E4" i="19"/>
  <c r="E14" i="19"/>
  <c r="D70" i="14"/>
  <c r="E70" i="14"/>
  <c r="F70" i="14"/>
  <c r="G70" i="14"/>
  <c r="H70" i="14"/>
  <c r="I70" i="14"/>
  <c r="J70" i="14"/>
  <c r="K70" i="14"/>
  <c r="L70" i="14"/>
  <c r="B70" i="14"/>
  <c r="D69" i="14"/>
  <c r="E69" i="14"/>
  <c r="F69" i="14"/>
  <c r="G69" i="14"/>
  <c r="H69" i="14"/>
  <c r="I69" i="14"/>
  <c r="J69" i="14"/>
  <c r="K69" i="14"/>
  <c r="L69" i="14"/>
  <c r="B69" i="14"/>
  <c r="M49" i="14"/>
  <c r="L49" i="14"/>
  <c r="I49" i="14"/>
  <c r="H49" i="14"/>
  <c r="G49" i="14"/>
  <c r="F49" i="14"/>
  <c r="E49" i="14"/>
  <c r="D49" i="14"/>
  <c r="E53" i="14"/>
  <c r="M29" i="14"/>
  <c r="L29" i="14"/>
  <c r="K29" i="14"/>
  <c r="J29" i="14"/>
  <c r="I29" i="14"/>
  <c r="H29" i="14"/>
  <c r="F29" i="14"/>
  <c r="E29" i="14"/>
  <c r="D29" i="14"/>
  <c r="D33" i="14"/>
  <c r="M19" i="14"/>
  <c r="L19" i="14"/>
  <c r="K19" i="14"/>
  <c r="J19" i="14"/>
  <c r="I19" i="14"/>
  <c r="H19" i="14"/>
  <c r="G19" i="14"/>
  <c r="E19" i="14"/>
  <c r="D19" i="14"/>
  <c r="E5" i="14"/>
  <c r="F5" i="14"/>
  <c r="G5" i="14"/>
  <c r="H5" i="14"/>
  <c r="I5" i="14"/>
  <c r="J5" i="14"/>
  <c r="K5" i="14"/>
  <c r="L5" i="14"/>
  <c r="M5" i="14"/>
  <c r="F5" i="15"/>
  <c r="G5" i="15"/>
  <c r="H5" i="15"/>
  <c r="I5" i="15"/>
  <c r="J5" i="15"/>
  <c r="K5" i="15"/>
  <c r="L5" i="15"/>
  <c r="M5" i="15"/>
  <c r="N5" i="15"/>
  <c r="N4" i="15"/>
  <c r="M4" i="15"/>
  <c r="L4" i="15"/>
  <c r="K4" i="15"/>
  <c r="J4" i="15"/>
  <c r="I4" i="15"/>
  <c r="H4" i="15"/>
  <c r="G4" i="15"/>
  <c r="F4" i="15"/>
  <c r="E4" i="15"/>
  <c r="F126" i="28"/>
  <c r="F128" i="28"/>
  <c r="F119" i="28"/>
  <c r="N57" i="28"/>
  <c r="M57" i="28"/>
  <c r="L57" i="28"/>
  <c r="K57" i="28"/>
  <c r="J57" i="28"/>
  <c r="I57" i="28"/>
  <c r="H57" i="28"/>
  <c r="G57" i="28"/>
  <c r="F57" i="28"/>
  <c r="E57" i="28"/>
  <c r="D57" i="28"/>
  <c r="N56" i="28"/>
  <c r="K56" i="28"/>
  <c r="J56" i="28"/>
  <c r="G56" i="28"/>
  <c r="F49" i="28"/>
  <c r="G49" i="28"/>
  <c r="H49" i="28"/>
  <c r="I49" i="28"/>
  <c r="J49" i="28"/>
  <c r="K49" i="28"/>
  <c r="L49" i="28"/>
  <c r="M49" i="28"/>
  <c r="N49" i="28"/>
  <c r="D8" i="37"/>
  <c r="D7" i="37"/>
  <c r="F4" i="28"/>
  <c r="G4" i="28"/>
  <c r="H4" i="28"/>
  <c r="I4" i="28"/>
  <c r="J4" i="28"/>
  <c r="K4" i="28"/>
  <c r="L4" i="28"/>
  <c r="M4" i="28"/>
  <c r="N4" i="28"/>
  <c r="E86" i="48"/>
  <c r="F90" i="48"/>
  <c r="F91" i="48"/>
  <c r="E88" i="48"/>
  <c r="E87" i="48"/>
  <c r="E85" i="48"/>
  <c r="E89" i="48"/>
  <c r="F65" i="49"/>
  <c r="E65" i="49"/>
  <c r="E50" i="48"/>
  <c r="E58" i="48"/>
  <c r="F50" i="48"/>
  <c r="F58" i="48"/>
  <c r="L52" i="48"/>
  <c r="L60" i="48"/>
  <c r="H67" i="49"/>
  <c r="H52" i="48"/>
  <c r="H60" i="48"/>
  <c r="E67" i="49"/>
  <c r="E52" i="48"/>
  <c r="E60" i="48"/>
  <c r="H19" i="26"/>
  <c r="I52" i="48"/>
  <c r="I60" i="48"/>
  <c r="L29" i="26"/>
  <c r="M67" i="49"/>
  <c r="J67" i="49"/>
  <c r="J52" i="48"/>
  <c r="J60" i="48"/>
  <c r="N67" i="49"/>
  <c r="N52" i="48"/>
  <c r="N60" i="48"/>
  <c r="G52" i="28"/>
  <c r="G66" i="49"/>
  <c r="G51" i="48"/>
  <c r="G59" i="48"/>
  <c r="H66" i="49"/>
  <c r="H51" i="48"/>
  <c r="H59" i="48"/>
  <c r="N52" i="28"/>
  <c r="N60" i="28"/>
  <c r="N66" i="49"/>
  <c r="N51" i="48"/>
  <c r="N59" i="48"/>
  <c r="J66" i="49"/>
  <c r="J51" i="48"/>
  <c r="J59" i="48"/>
  <c r="K66" i="49"/>
  <c r="K51" i="48"/>
  <c r="K59" i="48"/>
  <c r="F52" i="28"/>
  <c r="F60" i="28"/>
  <c r="F66" i="49"/>
  <c r="F51" i="48"/>
  <c r="F59" i="48"/>
  <c r="K27" i="19"/>
  <c r="L51" i="48"/>
  <c r="L59" i="48"/>
  <c r="L68" i="32"/>
  <c r="D68" i="32"/>
  <c r="F68" i="32"/>
  <c r="C56" i="48"/>
  <c r="J44" i="28"/>
  <c r="D27" i="48"/>
  <c r="K8" i="48"/>
  <c r="K15" i="49"/>
  <c r="N65" i="49"/>
  <c r="N50" i="48"/>
  <c r="N58" i="48"/>
  <c r="F19" i="14"/>
  <c r="G50" i="48"/>
  <c r="G58" i="48"/>
  <c r="G29" i="14"/>
  <c r="H65" i="49"/>
  <c r="H75" i="49"/>
  <c r="M65" i="49"/>
  <c r="M50" i="48"/>
  <c r="M58" i="48"/>
  <c r="G21" i="37"/>
  <c r="C60" i="48"/>
  <c r="J52" i="28"/>
  <c r="J60" i="28"/>
  <c r="K52" i="28"/>
  <c r="K60" i="28"/>
  <c r="H52" i="28"/>
  <c r="H60" i="28"/>
  <c r="I65" i="28"/>
  <c r="E4" i="46"/>
  <c r="F18" i="46"/>
  <c r="G27" i="46"/>
  <c r="K9" i="28"/>
  <c r="F66" i="28"/>
  <c r="C66" i="28"/>
  <c r="F63" i="28"/>
  <c r="H18" i="19"/>
  <c r="K21" i="26"/>
  <c r="M21" i="26"/>
  <c r="I65" i="49"/>
  <c r="E66" i="28"/>
  <c r="F55" i="28"/>
  <c r="E65" i="28"/>
  <c r="D93" i="29"/>
  <c r="M52" i="48"/>
  <c r="M60" i="48"/>
  <c r="G65" i="28"/>
  <c r="G23" i="14"/>
  <c r="K31" i="19"/>
  <c r="I63" i="28"/>
  <c r="K23" i="26"/>
  <c r="J29" i="26"/>
  <c r="K67" i="49"/>
  <c r="E67" i="28"/>
  <c r="E56" i="28"/>
  <c r="G22" i="47"/>
  <c r="L65" i="28"/>
  <c r="G21" i="26"/>
  <c r="H21" i="26"/>
  <c r="N51" i="28"/>
  <c r="N59" i="28"/>
  <c r="E53" i="28"/>
  <c r="E61" i="28"/>
  <c r="L21" i="26"/>
  <c r="M33" i="14"/>
  <c r="H53" i="28"/>
  <c r="H61" i="28"/>
  <c r="C65" i="28"/>
  <c r="E51" i="28"/>
  <c r="E59" i="28"/>
  <c r="I53" i="28"/>
  <c r="I61" i="28"/>
  <c r="M53" i="28"/>
  <c r="M61" i="28"/>
  <c r="D21" i="26"/>
  <c r="I21" i="26"/>
  <c r="D103" i="22"/>
  <c r="J53" i="28"/>
  <c r="J61" i="28"/>
  <c r="N53" i="28"/>
  <c r="N61" i="28"/>
  <c r="E21" i="26"/>
  <c r="I33" i="26"/>
  <c r="H17" i="15"/>
  <c r="L17" i="15"/>
  <c r="M17" i="15"/>
  <c r="F17" i="15"/>
  <c r="N17" i="15"/>
  <c r="E33" i="14"/>
  <c r="G53" i="14"/>
  <c r="L53" i="28"/>
  <c r="L61" i="28"/>
  <c r="E33" i="26"/>
  <c r="C61" i="28"/>
  <c r="D56" i="46"/>
  <c r="J13" i="47"/>
  <c r="E13" i="47"/>
  <c r="K13" i="47"/>
  <c r="L13" i="47"/>
  <c r="G13" i="47"/>
  <c r="H13" i="47"/>
  <c r="F13" i="47"/>
  <c r="I13" i="47"/>
  <c r="M13" i="47"/>
  <c r="D13" i="47"/>
  <c r="G22" i="19"/>
  <c r="L10" i="15"/>
  <c r="D10" i="15"/>
  <c r="D53" i="14"/>
  <c r="I53" i="14"/>
  <c r="L27" i="19"/>
  <c r="M51" i="48"/>
  <c r="M59" i="48"/>
  <c r="D9" i="19"/>
  <c r="E52" i="28"/>
  <c r="E60" i="28"/>
  <c r="D58" i="46"/>
  <c r="C64" i="28"/>
  <c r="M51" i="28"/>
  <c r="M59" i="28"/>
  <c r="C24" i="46"/>
  <c r="D24" i="46"/>
  <c r="C23" i="46"/>
  <c r="D23" i="46"/>
  <c r="E10" i="28"/>
  <c r="E101" i="28"/>
  <c r="F101" i="28"/>
  <c r="C86" i="22"/>
  <c r="E102" i="28"/>
  <c r="F102" i="28"/>
  <c r="C87" i="22"/>
  <c r="F4" i="19"/>
  <c r="G4" i="19"/>
  <c r="H29" i="19"/>
  <c r="F22" i="19"/>
  <c r="G19" i="19"/>
  <c r="G20" i="19"/>
  <c r="E20" i="19"/>
  <c r="F28" i="19"/>
  <c r="G28" i="19"/>
  <c r="H28" i="19"/>
  <c r="I28" i="19"/>
  <c r="J28" i="19"/>
  <c r="K28" i="19"/>
  <c r="G29" i="19"/>
  <c r="E29" i="19"/>
  <c r="G60" i="28"/>
  <c r="I29" i="19"/>
  <c r="H20" i="19"/>
  <c r="F13" i="34"/>
  <c r="G13" i="34"/>
  <c r="K6" i="36"/>
  <c r="E7" i="37"/>
  <c r="F22" i="34"/>
  <c r="G22" i="34"/>
  <c r="D30" i="26"/>
  <c r="K49" i="14"/>
  <c r="L65" i="49"/>
  <c r="E9" i="26"/>
  <c r="F9" i="26"/>
  <c r="D20" i="14"/>
  <c r="E23" i="14"/>
  <c r="F51" i="28"/>
  <c r="F59" i="28"/>
  <c r="E17" i="15"/>
  <c r="D69" i="28"/>
  <c r="F10" i="28"/>
  <c r="I17" i="15"/>
  <c r="J17" i="15"/>
  <c r="H10" i="15"/>
  <c r="G17" i="15"/>
  <c r="K17" i="15"/>
  <c r="I71" i="32"/>
  <c r="I31" i="19"/>
  <c r="H31" i="19"/>
  <c r="F71" i="32"/>
  <c r="D17" i="15"/>
  <c r="E31" i="19"/>
  <c r="D23" i="26"/>
  <c r="F23" i="26"/>
  <c r="E23" i="26"/>
  <c r="F10" i="15"/>
  <c r="K10" i="15"/>
  <c r="F31" i="19"/>
  <c r="G23" i="26"/>
  <c r="F33" i="26"/>
  <c r="E71" i="32"/>
  <c r="M71" i="32"/>
  <c r="N10" i="15"/>
  <c r="J71" i="32"/>
  <c r="J10" i="15"/>
  <c r="D71" i="32"/>
  <c r="E10" i="15"/>
  <c r="H71" i="32"/>
  <c r="I10" i="15"/>
  <c r="L71" i="32"/>
  <c r="M10" i="15"/>
  <c r="G10" i="15"/>
  <c r="E22" i="19"/>
  <c r="J31" i="19"/>
  <c r="D13" i="26"/>
  <c r="D57" i="46"/>
  <c r="G71" i="32"/>
  <c r="K71" i="32"/>
  <c r="H53" i="14"/>
  <c r="G33" i="26"/>
  <c r="H33" i="26"/>
  <c r="J21" i="26"/>
  <c r="F21" i="26"/>
  <c r="D20" i="26"/>
  <c r="D106" i="22"/>
  <c r="D23" i="14"/>
  <c r="F33" i="14"/>
  <c r="F53" i="14"/>
  <c r="D22" i="19"/>
  <c r="G31" i="19"/>
  <c r="J45" i="32"/>
  <c r="K46" i="32"/>
  <c r="I27" i="32"/>
  <c r="J28" i="32"/>
  <c r="E10" i="32"/>
  <c r="F29" i="18"/>
  <c r="G66" i="18"/>
  <c r="E67" i="18"/>
  <c r="F48" i="18"/>
  <c r="G67" i="18"/>
  <c r="E47" i="18"/>
  <c r="F4" i="18"/>
  <c r="E28" i="18"/>
  <c r="E66" i="18"/>
  <c r="E91" i="48"/>
  <c r="E98" i="49"/>
  <c r="F98" i="49"/>
  <c r="I50" i="48"/>
  <c r="I58" i="48"/>
  <c r="I51" i="28"/>
  <c r="I59" i="28"/>
  <c r="H50" i="48"/>
  <c r="H58" i="48"/>
  <c r="H68" i="48"/>
  <c r="G65" i="49"/>
  <c r="C53" i="48"/>
  <c r="I67" i="49"/>
  <c r="G53" i="28"/>
  <c r="G61" i="28"/>
  <c r="G67" i="49"/>
  <c r="G52" i="48"/>
  <c r="G60" i="48"/>
  <c r="C52" i="48"/>
  <c r="F53" i="28"/>
  <c r="F61" i="28"/>
  <c r="F67" i="49"/>
  <c r="F75" i="49"/>
  <c r="F52" i="48"/>
  <c r="F60" i="48"/>
  <c r="F68" i="48"/>
  <c r="G68" i="48"/>
  <c r="N68" i="48"/>
  <c r="M66" i="49"/>
  <c r="M68" i="48"/>
  <c r="L66" i="49"/>
  <c r="L75" i="49"/>
  <c r="E66" i="49"/>
  <c r="E75" i="49"/>
  <c r="I52" i="28"/>
  <c r="I60" i="28"/>
  <c r="I66" i="49"/>
  <c r="I51" i="48"/>
  <c r="I59" i="48"/>
  <c r="M75" i="49"/>
  <c r="N75" i="49"/>
  <c r="E51" i="48"/>
  <c r="E59" i="48"/>
  <c r="E68" i="48"/>
  <c r="E16" i="49"/>
  <c r="E9" i="48"/>
  <c r="D16" i="49"/>
  <c r="D9" i="48"/>
  <c r="F16" i="49"/>
  <c r="F9" i="48"/>
  <c r="D10" i="28"/>
  <c r="C55" i="48"/>
  <c r="I33" i="49"/>
  <c r="I26" i="48"/>
  <c r="M33" i="49"/>
  <c r="M26" i="48"/>
  <c r="J33" i="49"/>
  <c r="J26" i="48"/>
  <c r="K33" i="49"/>
  <c r="K26" i="48"/>
  <c r="L33" i="49"/>
  <c r="L26" i="48"/>
  <c r="E26" i="48"/>
  <c r="N33" i="49"/>
  <c r="N26" i="48"/>
  <c r="H33" i="49"/>
  <c r="H26" i="48"/>
  <c r="F33" i="49"/>
  <c r="F26" i="48"/>
  <c r="G33" i="49"/>
  <c r="G26" i="48"/>
  <c r="E15" i="28"/>
  <c r="E21" i="49"/>
  <c r="E14" i="48"/>
  <c r="J50" i="49"/>
  <c r="D36" i="49"/>
  <c r="F124" i="48"/>
  <c r="F126" i="48"/>
  <c r="F128" i="48"/>
  <c r="J43" i="48"/>
  <c r="D6" i="48"/>
  <c r="D13" i="49"/>
  <c r="G34" i="37"/>
  <c r="H21" i="37"/>
  <c r="D50" i="14"/>
  <c r="C58" i="48"/>
  <c r="L51" i="28"/>
  <c r="L59" i="28"/>
  <c r="L50" i="48"/>
  <c r="L58" i="48"/>
  <c r="L68" i="48"/>
  <c r="L33" i="26"/>
  <c r="K52" i="48"/>
  <c r="K60" i="48"/>
  <c r="E30" i="26"/>
  <c r="C54" i="28"/>
  <c r="K33" i="26"/>
  <c r="L18" i="15"/>
  <c r="M22" i="19"/>
  <c r="I22" i="19"/>
  <c r="L22" i="19"/>
  <c r="H22" i="19"/>
  <c r="J22" i="19"/>
  <c r="K22" i="19"/>
  <c r="E92" i="28"/>
  <c r="G28" i="46"/>
  <c r="H27" i="46"/>
  <c r="F4" i="46"/>
  <c r="E21" i="46"/>
  <c r="E22" i="46"/>
  <c r="E23" i="46"/>
  <c r="E24" i="46"/>
  <c r="F19" i="46"/>
  <c r="G18" i="46"/>
  <c r="L93" i="29"/>
  <c r="M33" i="26"/>
  <c r="J33" i="26"/>
  <c r="K53" i="28"/>
  <c r="K61" i="28"/>
  <c r="L31" i="19"/>
  <c r="M52" i="28"/>
  <c r="M60" i="28"/>
  <c r="M69" i="28"/>
  <c r="L52" i="28"/>
  <c r="L60" i="28"/>
  <c r="C60" i="28"/>
  <c r="C55" i="28"/>
  <c r="G55" i="28"/>
  <c r="K28" i="49"/>
  <c r="D20" i="49"/>
  <c r="G24" i="49"/>
  <c r="J23" i="26"/>
  <c r="I23" i="26"/>
  <c r="M23" i="26"/>
  <c r="L23" i="26"/>
  <c r="H23" i="26"/>
  <c r="L23" i="14"/>
  <c r="F18" i="15"/>
  <c r="F35" i="49"/>
  <c r="H23" i="14"/>
  <c r="M18" i="15"/>
  <c r="J33" i="14"/>
  <c r="M23" i="14"/>
  <c r="G51" i="28"/>
  <c r="G59" i="28"/>
  <c r="H93" i="29"/>
  <c r="K23" i="14"/>
  <c r="F23" i="14"/>
  <c r="F93" i="29"/>
  <c r="J23" i="14"/>
  <c r="I23" i="14"/>
  <c r="K13" i="26"/>
  <c r="J18" i="15"/>
  <c r="M31" i="19"/>
  <c r="I69" i="28"/>
  <c r="H51" i="28"/>
  <c r="H59" i="28"/>
  <c r="H69" i="28"/>
  <c r="K31" i="47"/>
  <c r="M31" i="47"/>
  <c r="L31" i="47"/>
  <c r="F19" i="49"/>
  <c r="G33" i="14"/>
  <c r="D18" i="15"/>
  <c r="M93" i="29"/>
  <c r="K33" i="14"/>
  <c r="L33" i="14"/>
  <c r="C59" i="28"/>
  <c r="G18" i="15"/>
  <c r="I18" i="15"/>
  <c r="I33" i="14"/>
  <c r="H33" i="14"/>
  <c r="G93" i="29"/>
  <c r="E69" i="28"/>
  <c r="D30" i="14"/>
  <c r="N18" i="15"/>
  <c r="H18" i="15"/>
  <c r="F30" i="26"/>
  <c r="D10" i="26"/>
  <c r="N69" i="28"/>
  <c r="I93" i="29"/>
  <c r="H22" i="47"/>
  <c r="K22" i="47"/>
  <c r="M22" i="47"/>
  <c r="J22" i="47"/>
  <c r="I22" i="47"/>
  <c r="L22" i="47"/>
  <c r="J93" i="29"/>
  <c r="I18" i="20"/>
  <c r="J18" i="20"/>
  <c r="K18" i="20"/>
  <c r="L18" i="20"/>
  <c r="M18" i="20"/>
  <c r="G76" i="32"/>
  <c r="H27" i="28"/>
  <c r="C76" i="32"/>
  <c r="D27" i="28"/>
  <c r="M76" i="32"/>
  <c r="N27" i="28"/>
  <c r="E76" i="32"/>
  <c r="F27" i="28"/>
  <c r="M31" i="49"/>
  <c r="E93" i="29"/>
  <c r="F76" i="32"/>
  <c r="G27" i="28"/>
  <c r="I76" i="32"/>
  <c r="J27" i="28"/>
  <c r="K76" i="32"/>
  <c r="L27" i="28"/>
  <c r="L76" i="32"/>
  <c r="M27" i="28"/>
  <c r="H76" i="32"/>
  <c r="I27" i="28"/>
  <c r="D76" i="32"/>
  <c r="E27" i="28"/>
  <c r="J76" i="32"/>
  <c r="K27" i="28"/>
  <c r="G9" i="20"/>
  <c r="H9" i="20"/>
  <c r="I9" i="20"/>
  <c r="J9" i="20"/>
  <c r="K9" i="20"/>
  <c r="L9" i="20"/>
  <c r="M9" i="20"/>
  <c r="J13" i="19"/>
  <c r="F13" i="19"/>
  <c r="M13" i="19"/>
  <c r="I13" i="19"/>
  <c r="E13" i="19"/>
  <c r="L13" i="19"/>
  <c r="H13" i="19"/>
  <c r="D13" i="19"/>
  <c r="K13" i="19"/>
  <c r="G13" i="19"/>
  <c r="E29" i="49"/>
  <c r="J31" i="49"/>
  <c r="F31" i="49"/>
  <c r="D25" i="34"/>
  <c r="D118" i="28"/>
  <c r="D24" i="48"/>
  <c r="D86" i="22"/>
  <c r="E86" i="22"/>
  <c r="F86" i="22"/>
  <c r="F30" i="49"/>
  <c r="E87" i="22"/>
  <c r="F87" i="22"/>
  <c r="D87" i="22"/>
  <c r="F28" i="49"/>
  <c r="L28" i="49"/>
  <c r="E8" i="37"/>
  <c r="F8" i="37"/>
  <c r="D18" i="48"/>
  <c r="G7" i="37"/>
  <c r="D25" i="48"/>
  <c r="G31" i="49"/>
  <c r="G28" i="49"/>
  <c r="G14" i="19"/>
  <c r="L29" i="19"/>
  <c r="E32" i="19"/>
  <c r="F14" i="19"/>
  <c r="D7" i="28"/>
  <c r="K29" i="19"/>
  <c r="M29" i="19"/>
  <c r="F29" i="19"/>
  <c r="D32" i="19"/>
  <c r="H4" i="19"/>
  <c r="H14" i="19"/>
  <c r="J29" i="19"/>
  <c r="F25" i="34"/>
  <c r="G25" i="34"/>
  <c r="K93" i="29"/>
  <c r="J49" i="14"/>
  <c r="F69" i="28"/>
  <c r="E13" i="26"/>
  <c r="G13" i="26"/>
  <c r="J13" i="26"/>
  <c r="H13" i="26"/>
  <c r="I13" i="26"/>
  <c r="M13" i="26"/>
  <c r="F13" i="26"/>
  <c r="L13" i="26"/>
  <c r="C51" i="28"/>
  <c r="E20" i="14"/>
  <c r="C53" i="28"/>
  <c r="G8" i="37"/>
  <c r="K18" i="15"/>
  <c r="E20" i="26"/>
  <c r="F20" i="26"/>
  <c r="E18" i="15"/>
  <c r="E19" i="49"/>
  <c r="K45" i="32"/>
  <c r="L46" i="32"/>
  <c r="K28" i="32"/>
  <c r="J27" i="32"/>
  <c r="F10" i="32"/>
  <c r="F28" i="18"/>
  <c r="G4" i="18"/>
  <c r="F47" i="18"/>
  <c r="H67" i="18"/>
  <c r="G48" i="18"/>
  <c r="G29" i="18"/>
  <c r="H66" i="18"/>
  <c r="D29" i="48"/>
  <c r="I29" i="28"/>
  <c r="I35" i="49"/>
  <c r="I28" i="48"/>
  <c r="K29" i="28"/>
  <c r="K35" i="49"/>
  <c r="K28" i="48"/>
  <c r="G29" i="28"/>
  <c r="G35" i="49"/>
  <c r="G28" i="48"/>
  <c r="D29" i="28"/>
  <c r="D35" i="49"/>
  <c r="D28" i="48"/>
  <c r="H29" i="28"/>
  <c r="H35" i="49"/>
  <c r="H28" i="48"/>
  <c r="J29" i="28"/>
  <c r="J35" i="49"/>
  <c r="J28" i="48"/>
  <c r="L29" i="28"/>
  <c r="L35" i="49"/>
  <c r="L28" i="48"/>
  <c r="N29" i="28"/>
  <c r="N35" i="49"/>
  <c r="N28" i="48"/>
  <c r="M29" i="28"/>
  <c r="M35" i="49"/>
  <c r="M28" i="48"/>
  <c r="K50" i="48"/>
  <c r="K58" i="48"/>
  <c r="K68" i="48"/>
  <c r="K65" i="49"/>
  <c r="K75" i="49"/>
  <c r="I68" i="48"/>
  <c r="J65" i="49"/>
  <c r="J75" i="49"/>
  <c r="J50" i="48"/>
  <c r="J58" i="48"/>
  <c r="J68" i="48"/>
  <c r="G75" i="49"/>
  <c r="H7" i="48"/>
  <c r="G30" i="26"/>
  <c r="G69" i="28"/>
  <c r="I75" i="49"/>
  <c r="C51" i="48"/>
  <c r="K19" i="48"/>
  <c r="K26" i="49"/>
  <c r="I21" i="48"/>
  <c r="I28" i="49"/>
  <c r="H21" i="48"/>
  <c r="H28" i="49"/>
  <c r="E21" i="48"/>
  <c r="E28" i="49"/>
  <c r="N21" i="48"/>
  <c r="N28" i="49"/>
  <c r="F22" i="48"/>
  <c r="F29" i="49"/>
  <c r="H23" i="48"/>
  <c r="H30" i="49"/>
  <c r="G23" i="48"/>
  <c r="G30" i="49"/>
  <c r="E24" i="48"/>
  <c r="E31" i="49"/>
  <c r="L24" i="48"/>
  <c r="L31" i="49"/>
  <c r="I24" i="48"/>
  <c r="I31" i="49"/>
  <c r="K24" i="48"/>
  <c r="K31" i="49"/>
  <c r="N24" i="48"/>
  <c r="N31" i="49"/>
  <c r="F25" i="48"/>
  <c r="F32" i="49"/>
  <c r="E25" i="48"/>
  <c r="F15" i="28"/>
  <c r="F21" i="49"/>
  <c r="F14" i="48"/>
  <c r="B8" i="37"/>
  <c r="H14" i="49"/>
  <c r="N7" i="48"/>
  <c r="N14" i="49"/>
  <c r="E7" i="48"/>
  <c r="E14" i="49"/>
  <c r="D12" i="48"/>
  <c r="D19" i="49"/>
  <c r="H34" i="37"/>
  <c r="L69" i="28"/>
  <c r="E29" i="28"/>
  <c r="E28" i="48"/>
  <c r="F29" i="28"/>
  <c r="F28" i="48"/>
  <c r="M81" i="48"/>
  <c r="E50" i="14"/>
  <c r="C50" i="48"/>
  <c r="F13" i="28"/>
  <c r="F12" i="48"/>
  <c r="F71" i="14"/>
  <c r="G17" i="48"/>
  <c r="E22" i="48"/>
  <c r="K21" i="48"/>
  <c r="G21" i="48"/>
  <c r="E23" i="48"/>
  <c r="F24" i="48"/>
  <c r="J24" i="48"/>
  <c r="M24" i="48"/>
  <c r="F23" i="48"/>
  <c r="D21" i="48"/>
  <c r="E13" i="28"/>
  <c r="E12" i="48"/>
  <c r="G24" i="48"/>
  <c r="F21" i="48"/>
  <c r="L21" i="48"/>
  <c r="D13" i="48"/>
  <c r="F82" i="48"/>
  <c r="E11" i="47"/>
  <c r="F11" i="47"/>
  <c r="D18" i="49"/>
  <c r="M24" i="49"/>
  <c r="G19" i="46"/>
  <c r="H18" i="46"/>
  <c r="H19" i="46"/>
  <c r="G4" i="46"/>
  <c r="G29" i="49"/>
  <c r="H28" i="46"/>
  <c r="E17" i="49"/>
  <c r="F50" i="14"/>
  <c r="C52" i="28"/>
  <c r="H19" i="49"/>
  <c r="J19" i="49"/>
  <c r="M19" i="49"/>
  <c r="I19" i="49"/>
  <c r="K19" i="49"/>
  <c r="L19" i="49"/>
  <c r="N19" i="49"/>
  <c r="J24" i="49"/>
  <c r="D17" i="49"/>
  <c r="I24" i="49"/>
  <c r="H24" i="49"/>
  <c r="N24" i="49"/>
  <c r="F24" i="49"/>
  <c r="D20" i="48"/>
  <c r="K24" i="49"/>
  <c r="E10" i="26"/>
  <c r="F10" i="26"/>
  <c r="F12" i="49"/>
  <c r="E30" i="14"/>
  <c r="F30" i="14"/>
  <c r="H12" i="49"/>
  <c r="G12" i="49"/>
  <c r="J51" i="28"/>
  <c r="J59" i="28"/>
  <c r="J69" i="28"/>
  <c r="K12" i="49"/>
  <c r="M11" i="47"/>
  <c r="G50" i="14"/>
  <c r="H50" i="14"/>
  <c r="I50" i="14"/>
  <c r="J12" i="49"/>
  <c r="D14" i="28"/>
  <c r="M18" i="23"/>
  <c r="H25" i="49"/>
  <c r="I18" i="23"/>
  <c r="F25" i="49"/>
  <c r="G18" i="23"/>
  <c r="C18" i="23"/>
  <c r="F18" i="23"/>
  <c r="D119" i="28"/>
  <c r="H31" i="49"/>
  <c r="F26" i="49"/>
  <c r="J18" i="23"/>
  <c r="C41" i="20"/>
  <c r="E18" i="23"/>
  <c r="L18" i="23"/>
  <c r="G25" i="49"/>
  <c r="L41" i="20"/>
  <c r="I41" i="20"/>
  <c r="F41" i="20"/>
  <c r="L12" i="49"/>
  <c r="G41" i="20"/>
  <c r="D41" i="20"/>
  <c r="D18" i="23"/>
  <c r="M28" i="49"/>
  <c r="M41" i="20"/>
  <c r="E41" i="20"/>
  <c r="J41" i="20"/>
  <c r="K18" i="23"/>
  <c r="H41" i="20"/>
  <c r="H18" i="23"/>
  <c r="K41" i="20"/>
  <c r="J26" i="49"/>
  <c r="N26" i="49"/>
  <c r="I26" i="49"/>
  <c r="F7" i="37"/>
  <c r="M12" i="49"/>
  <c r="N12" i="49"/>
  <c r="F32" i="19"/>
  <c r="G32" i="19"/>
  <c r="I20" i="19"/>
  <c r="K20" i="19"/>
  <c r="I4" i="19"/>
  <c r="I14" i="19"/>
  <c r="K51" i="28"/>
  <c r="K59" i="28"/>
  <c r="K69" i="28"/>
  <c r="L53" i="14"/>
  <c r="J53" i="14"/>
  <c r="K53" i="14"/>
  <c r="M53" i="14"/>
  <c r="F20" i="14"/>
  <c r="G20" i="14"/>
  <c r="H8" i="37"/>
  <c r="D19" i="15"/>
  <c r="H8" i="28"/>
  <c r="G10" i="26"/>
  <c r="N8" i="28"/>
  <c r="H30" i="26"/>
  <c r="G20" i="26"/>
  <c r="E8" i="28"/>
  <c r="D13" i="28"/>
  <c r="L45" i="32"/>
  <c r="M46" i="32"/>
  <c r="K27" i="32"/>
  <c r="L28" i="32"/>
  <c r="G10" i="32"/>
  <c r="H48" i="18"/>
  <c r="H4" i="18"/>
  <c r="G28" i="18"/>
  <c r="I67" i="18"/>
  <c r="I66" i="18"/>
  <c r="G47" i="18"/>
  <c r="G19" i="48"/>
  <c r="G26" i="49"/>
  <c r="E19" i="48"/>
  <c r="L19" i="48"/>
  <c r="L26" i="49"/>
  <c r="M19" i="48"/>
  <c r="M26" i="49"/>
  <c r="E20" i="48"/>
  <c r="M20" i="48"/>
  <c r="M27" i="49"/>
  <c r="I20" i="48"/>
  <c r="I27" i="49"/>
  <c r="G20" i="48"/>
  <c r="G27" i="49"/>
  <c r="N20" i="48"/>
  <c r="N27" i="49"/>
  <c r="L20" i="48"/>
  <c r="L27" i="49"/>
  <c r="F20" i="48"/>
  <c r="F27" i="49"/>
  <c r="F38" i="49"/>
  <c r="F43" i="49"/>
  <c r="J20" i="48"/>
  <c r="J27" i="49"/>
  <c r="K20" i="48"/>
  <c r="K27" i="49"/>
  <c r="H20" i="48"/>
  <c r="F75" i="48"/>
  <c r="E75" i="48"/>
  <c r="H27" i="49"/>
  <c r="J21" i="48"/>
  <c r="J28" i="49"/>
  <c r="D22" i="49"/>
  <c r="D40" i="49"/>
  <c r="G25" i="48"/>
  <c r="G32" i="49"/>
  <c r="G38" i="49"/>
  <c r="G43" i="49"/>
  <c r="G15" i="28"/>
  <c r="G21" i="49"/>
  <c r="G14" i="48"/>
  <c r="E27" i="48"/>
  <c r="F81" i="48"/>
  <c r="E81" i="48"/>
  <c r="J7" i="48"/>
  <c r="J14" i="49"/>
  <c r="L7" i="48"/>
  <c r="L14" i="49"/>
  <c r="K7" i="48"/>
  <c r="K14" i="49"/>
  <c r="G7" i="48"/>
  <c r="G14" i="49"/>
  <c r="I7" i="48"/>
  <c r="I14" i="49"/>
  <c r="F7" i="48"/>
  <c r="F14" i="49"/>
  <c r="M7" i="48"/>
  <c r="M14" i="49"/>
  <c r="E6" i="48"/>
  <c r="E13" i="49"/>
  <c r="I5" i="48"/>
  <c r="I12" i="49"/>
  <c r="L17" i="48"/>
  <c r="L24" i="49"/>
  <c r="E5" i="48"/>
  <c r="E12" i="49"/>
  <c r="I34" i="37"/>
  <c r="G18" i="48"/>
  <c r="F18" i="48"/>
  <c r="F6" i="28"/>
  <c r="F5" i="48"/>
  <c r="M71" i="14"/>
  <c r="N17" i="48"/>
  <c r="I17" i="48"/>
  <c r="D11" i="28"/>
  <c r="D10" i="48"/>
  <c r="J13" i="28"/>
  <c r="J12" i="48"/>
  <c r="E11" i="28"/>
  <c r="E10" i="48"/>
  <c r="G22" i="48"/>
  <c r="L71" i="14"/>
  <c r="M17" i="48"/>
  <c r="N6" i="28"/>
  <c r="N5" i="48"/>
  <c r="N19" i="48"/>
  <c r="M21" i="48"/>
  <c r="F76" i="48"/>
  <c r="E76" i="48"/>
  <c r="F19" i="48"/>
  <c r="D22" i="48"/>
  <c r="H18" i="48"/>
  <c r="G6" i="28"/>
  <c r="G5" i="48"/>
  <c r="G71" i="14"/>
  <c r="H17" i="48"/>
  <c r="J17" i="48"/>
  <c r="K13" i="28"/>
  <c r="K12" i="48"/>
  <c r="H13" i="28"/>
  <c r="H12" i="48"/>
  <c r="D12" i="28"/>
  <c r="D11" i="48"/>
  <c r="M6" i="28"/>
  <c r="M5" i="48"/>
  <c r="J19" i="48"/>
  <c r="H24" i="48"/>
  <c r="F79" i="48"/>
  <c r="E79" i="48"/>
  <c r="J6" i="28"/>
  <c r="J5" i="48"/>
  <c r="H6" i="28"/>
  <c r="H5" i="48"/>
  <c r="K17" i="48"/>
  <c r="E17" i="48"/>
  <c r="N13" i="28"/>
  <c r="N12" i="48"/>
  <c r="I13" i="28"/>
  <c r="I12" i="48"/>
  <c r="L6" i="28"/>
  <c r="L5" i="48"/>
  <c r="H51" i="26"/>
  <c r="I19" i="48"/>
  <c r="E18" i="48"/>
  <c r="K6" i="28"/>
  <c r="K5" i="48"/>
  <c r="F17" i="48"/>
  <c r="F31" i="48"/>
  <c r="F36" i="48"/>
  <c r="C71" i="14"/>
  <c r="D17" i="48"/>
  <c r="L13" i="28"/>
  <c r="L12" i="48"/>
  <c r="M13" i="28"/>
  <c r="M12" i="48"/>
  <c r="G30" i="14"/>
  <c r="H30" i="14"/>
  <c r="G19" i="49"/>
  <c r="G87" i="22"/>
  <c r="G86" i="22"/>
  <c r="I71" i="14"/>
  <c r="F17" i="49"/>
  <c r="C7" i="37"/>
  <c r="H4" i="46"/>
  <c r="E11" i="19"/>
  <c r="H71" i="14"/>
  <c r="H63" i="14"/>
  <c r="J71" i="14"/>
  <c r="C63" i="14"/>
  <c r="D63" i="14"/>
  <c r="D40" i="47"/>
  <c r="C40" i="47"/>
  <c r="K40" i="47"/>
  <c r="K63" i="14"/>
  <c r="E63" i="14"/>
  <c r="F40" i="47"/>
  <c r="G63" i="14"/>
  <c r="M40" i="47"/>
  <c r="L40" i="47"/>
  <c r="J63" i="14"/>
  <c r="L63" i="14"/>
  <c r="J40" i="47"/>
  <c r="G40" i="47"/>
  <c r="I40" i="47"/>
  <c r="F63" i="14"/>
  <c r="M63" i="14"/>
  <c r="I63" i="14"/>
  <c r="E40" i="47"/>
  <c r="H40" i="47"/>
  <c r="J11" i="47"/>
  <c r="H11" i="47"/>
  <c r="G11" i="47"/>
  <c r="K11" i="47"/>
  <c r="L11" i="47"/>
  <c r="I11" i="47"/>
  <c r="F20" i="49"/>
  <c r="J50" i="14"/>
  <c r="K50" i="14"/>
  <c r="L50" i="14"/>
  <c r="I51" i="26"/>
  <c r="M51" i="26"/>
  <c r="E80" i="28"/>
  <c r="L51" i="26"/>
  <c r="I43" i="26"/>
  <c r="E43" i="26"/>
  <c r="M43" i="26"/>
  <c r="D43" i="26"/>
  <c r="K43" i="26"/>
  <c r="G43" i="26"/>
  <c r="F43" i="26"/>
  <c r="J43" i="26"/>
  <c r="F51" i="26"/>
  <c r="H43" i="26"/>
  <c r="D19" i="48"/>
  <c r="L43" i="26"/>
  <c r="C43" i="26"/>
  <c r="H7" i="37"/>
  <c r="J20" i="19"/>
  <c r="L20" i="19"/>
  <c r="E7" i="28"/>
  <c r="M20" i="19"/>
  <c r="H32" i="19"/>
  <c r="J4" i="19"/>
  <c r="J14" i="19"/>
  <c r="K7" i="36"/>
  <c r="H20" i="14"/>
  <c r="I20" i="14"/>
  <c r="I8" i="37"/>
  <c r="L8" i="28"/>
  <c r="M8" i="28"/>
  <c r="G8" i="28"/>
  <c r="F8" i="28"/>
  <c r="I6" i="28"/>
  <c r="I30" i="26"/>
  <c r="K8" i="28"/>
  <c r="H20" i="26"/>
  <c r="I20" i="26"/>
  <c r="I8" i="28"/>
  <c r="J8" i="28"/>
  <c r="H10" i="26"/>
  <c r="I10" i="26"/>
  <c r="E6" i="28"/>
  <c r="M45" i="32"/>
  <c r="M28" i="32"/>
  <c r="L27" i="32"/>
  <c r="H10" i="32"/>
  <c r="J66" i="18"/>
  <c r="J67" i="18"/>
  <c r="I4" i="18"/>
  <c r="H47" i="18"/>
  <c r="I18" i="48"/>
  <c r="I25" i="49"/>
  <c r="H19" i="48"/>
  <c r="H26" i="49"/>
  <c r="G16" i="49"/>
  <c r="G9" i="48"/>
  <c r="H25" i="48"/>
  <c r="H32" i="49"/>
  <c r="H15" i="28"/>
  <c r="H21" i="49"/>
  <c r="H14" i="48"/>
  <c r="E38" i="49"/>
  <c r="E43" i="49"/>
  <c r="F8" i="48"/>
  <c r="F15" i="49"/>
  <c r="E11" i="48"/>
  <c r="E18" i="49"/>
  <c r="E77" i="28"/>
  <c r="D16" i="28"/>
  <c r="B25" i="37"/>
  <c r="J34" i="37"/>
  <c r="K34" i="37"/>
  <c r="F74" i="48"/>
  <c r="E74" i="48"/>
  <c r="G31" i="48"/>
  <c r="G36" i="48"/>
  <c r="F13" i="48"/>
  <c r="E31" i="48"/>
  <c r="E36" i="48"/>
  <c r="F11" i="28"/>
  <c r="F10" i="48"/>
  <c r="F72" i="48"/>
  <c r="G13" i="28"/>
  <c r="G12" i="48"/>
  <c r="D15" i="48"/>
  <c r="D33" i="48"/>
  <c r="I30" i="14"/>
  <c r="J30" i="14"/>
  <c r="H87" i="22"/>
  <c r="H86" i="22"/>
  <c r="G17" i="49"/>
  <c r="I4" i="46"/>
  <c r="G11" i="19"/>
  <c r="F11" i="19"/>
  <c r="C9" i="37"/>
  <c r="C11" i="37"/>
  <c r="E76" i="28"/>
  <c r="G20" i="49"/>
  <c r="E32" i="28"/>
  <c r="E37" i="28"/>
  <c r="F9" i="28"/>
  <c r="F18" i="49"/>
  <c r="E12" i="28"/>
  <c r="F14" i="28"/>
  <c r="G10" i="28"/>
  <c r="F32" i="28"/>
  <c r="F37" i="28"/>
  <c r="M50" i="14"/>
  <c r="E20" i="49"/>
  <c r="D9" i="37"/>
  <c r="D11" i="37"/>
  <c r="G51" i="26"/>
  <c r="C51" i="26"/>
  <c r="I7" i="37"/>
  <c r="K4" i="19"/>
  <c r="K14" i="19"/>
  <c r="I32" i="19"/>
  <c r="K9" i="36"/>
  <c r="J20" i="14"/>
  <c r="K20" i="14"/>
  <c r="J8" i="37"/>
  <c r="E9" i="37"/>
  <c r="E11" i="37"/>
  <c r="J30" i="26"/>
  <c r="K30" i="26"/>
  <c r="L30" i="26"/>
  <c r="J10" i="26"/>
  <c r="G32" i="28"/>
  <c r="G37" i="28"/>
  <c r="J20" i="26"/>
  <c r="K20" i="26"/>
  <c r="L20" i="26"/>
  <c r="M20" i="26"/>
  <c r="M27" i="32"/>
  <c r="I10" i="32"/>
  <c r="K67" i="18"/>
  <c r="K66" i="18"/>
  <c r="J4" i="18"/>
  <c r="J18" i="48"/>
  <c r="J25" i="49"/>
  <c r="H16" i="49"/>
  <c r="H9" i="48"/>
  <c r="H22" i="48"/>
  <c r="H29" i="49"/>
  <c r="H38" i="49"/>
  <c r="H43" i="49"/>
  <c r="I23" i="48"/>
  <c r="I30" i="49"/>
  <c r="I25" i="48"/>
  <c r="I32" i="49"/>
  <c r="I15" i="28"/>
  <c r="I21" i="49"/>
  <c r="I14" i="48"/>
  <c r="G8" i="48"/>
  <c r="G15" i="49"/>
  <c r="E22" i="49"/>
  <c r="E40" i="49"/>
  <c r="E45" i="49"/>
  <c r="D34" i="28"/>
  <c r="F11" i="48"/>
  <c r="G11" i="28"/>
  <c r="G10" i="48"/>
  <c r="H31" i="48"/>
  <c r="H36" i="48"/>
  <c r="E72" i="48"/>
  <c r="E13" i="48"/>
  <c r="E15" i="48"/>
  <c r="E33" i="48"/>
  <c r="E37" i="48"/>
  <c r="G13" i="48"/>
  <c r="K30" i="14"/>
  <c r="L30" i="14"/>
  <c r="M30" i="14"/>
  <c r="I86" i="22"/>
  <c r="I87" i="22"/>
  <c r="H17" i="49"/>
  <c r="J4" i="46"/>
  <c r="F9" i="37"/>
  <c r="F11" i="37"/>
  <c r="F13" i="49"/>
  <c r="F22" i="49"/>
  <c r="F40" i="49"/>
  <c r="F45" i="49"/>
  <c r="G14" i="28"/>
  <c r="I11" i="19"/>
  <c r="H11" i="19"/>
  <c r="K11" i="19"/>
  <c r="M11" i="19"/>
  <c r="L11" i="19"/>
  <c r="J11" i="19"/>
  <c r="E73" i="28"/>
  <c r="G9" i="28"/>
  <c r="F12" i="28"/>
  <c r="G18" i="49"/>
  <c r="E75" i="28"/>
  <c r="H10" i="28"/>
  <c r="E14" i="28"/>
  <c r="E16" i="28"/>
  <c r="C25" i="37"/>
  <c r="C54" i="26"/>
  <c r="B9" i="37"/>
  <c r="J7" i="37"/>
  <c r="J32" i="19"/>
  <c r="L4" i="19"/>
  <c r="L14" i="19"/>
  <c r="B7" i="37"/>
  <c r="L20" i="14"/>
  <c r="M20" i="14"/>
  <c r="K8" i="37"/>
  <c r="M30" i="26"/>
  <c r="K10" i="26"/>
  <c r="L10" i="26"/>
  <c r="M10" i="26"/>
  <c r="C74" i="14"/>
  <c r="J10" i="32"/>
  <c r="L66" i="18"/>
  <c r="L67" i="18"/>
  <c r="K4" i="18"/>
  <c r="K18" i="48"/>
  <c r="K25" i="49"/>
  <c r="I16" i="49"/>
  <c r="I9" i="48"/>
  <c r="I22" i="48"/>
  <c r="I31" i="48"/>
  <c r="I36" i="48"/>
  <c r="I29" i="49"/>
  <c r="I38" i="49"/>
  <c r="I43" i="49"/>
  <c r="J23" i="48"/>
  <c r="J30" i="49"/>
  <c r="J25" i="48"/>
  <c r="J32" i="49"/>
  <c r="J15" i="28"/>
  <c r="J21" i="49"/>
  <c r="J14" i="48"/>
  <c r="H8" i="48"/>
  <c r="H15" i="49"/>
  <c r="H13" i="48"/>
  <c r="H20" i="49"/>
  <c r="I6" i="48"/>
  <c r="I13" i="49"/>
  <c r="G12" i="28"/>
  <c r="G11" i="48"/>
  <c r="H10" i="48"/>
  <c r="F6" i="48"/>
  <c r="F15" i="48"/>
  <c r="F33" i="48"/>
  <c r="F37" i="48"/>
  <c r="H11" i="28"/>
  <c r="H32" i="28"/>
  <c r="H37" i="28"/>
  <c r="J87" i="22"/>
  <c r="J86" i="22"/>
  <c r="F7" i="28"/>
  <c r="F16" i="28"/>
  <c r="F34" i="28"/>
  <c r="F39" i="28"/>
  <c r="K4" i="46"/>
  <c r="I32" i="28"/>
  <c r="I37" i="28"/>
  <c r="G13" i="49"/>
  <c r="G22" i="49"/>
  <c r="G40" i="49"/>
  <c r="G45" i="49"/>
  <c r="H9" i="28"/>
  <c r="H14" i="28"/>
  <c r="H18" i="49"/>
  <c r="I10" i="28"/>
  <c r="E34" i="28"/>
  <c r="E39" i="28"/>
  <c r="K7" i="37"/>
  <c r="J13" i="49"/>
  <c r="M4" i="19"/>
  <c r="M14" i="19"/>
  <c r="I7" i="28"/>
  <c r="K32" i="19"/>
  <c r="L8" i="37"/>
  <c r="M8" i="37"/>
  <c r="K10" i="32"/>
  <c r="L4" i="18"/>
  <c r="L18" i="48"/>
  <c r="L25" i="49"/>
  <c r="J16" i="49"/>
  <c r="J9" i="48"/>
  <c r="J22" i="48"/>
  <c r="J31" i="48"/>
  <c r="J36" i="48"/>
  <c r="J29" i="49"/>
  <c r="J38" i="49"/>
  <c r="J43" i="49"/>
  <c r="K23" i="48"/>
  <c r="K30" i="49"/>
  <c r="K25" i="48"/>
  <c r="K32" i="49"/>
  <c r="K15" i="28"/>
  <c r="K21" i="49"/>
  <c r="K14" i="48"/>
  <c r="I17" i="49"/>
  <c r="J7" i="28"/>
  <c r="J6" i="48"/>
  <c r="G6" i="48"/>
  <c r="G15" i="48"/>
  <c r="G33" i="48"/>
  <c r="G37" i="48"/>
  <c r="H11" i="48"/>
  <c r="I11" i="28"/>
  <c r="I10" i="48"/>
  <c r="K87" i="22"/>
  <c r="K86" i="22"/>
  <c r="J17" i="49"/>
  <c r="G7" i="28"/>
  <c r="G16" i="28"/>
  <c r="G34" i="28"/>
  <c r="G39" i="28"/>
  <c r="G9" i="37"/>
  <c r="G11" i="37"/>
  <c r="J32" i="28"/>
  <c r="J37" i="28"/>
  <c r="L4" i="46"/>
  <c r="H13" i="49"/>
  <c r="H22" i="49"/>
  <c r="H40" i="49"/>
  <c r="H45" i="49"/>
  <c r="D25" i="37"/>
  <c r="I20" i="49"/>
  <c r="H12" i="28"/>
  <c r="I18" i="49"/>
  <c r="J10" i="28"/>
  <c r="L7" i="37"/>
  <c r="M7" i="37"/>
  <c r="K13" i="49"/>
  <c r="L40" i="19"/>
  <c r="L32" i="19"/>
  <c r="L10" i="32"/>
  <c r="M4" i="18"/>
  <c r="M18" i="48"/>
  <c r="M25" i="49"/>
  <c r="K16" i="49"/>
  <c r="K9" i="48"/>
  <c r="K22" i="48"/>
  <c r="K31" i="48"/>
  <c r="K36" i="48"/>
  <c r="K29" i="49"/>
  <c r="K38" i="49"/>
  <c r="K43" i="49"/>
  <c r="L23" i="48"/>
  <c r="L30" i="49"/>
  <c r="L25" i="48"/>
  <c r="L32" i="49"/>
  <c r="I22" i="49"/>
  <c r="I40" i="49"/>
  <c r="I45" i="49"/>
  <c r="L15" i="28"/>
  <c r="L21" i="49"/>
  <c r="L14" i="48"/>
  <c r="I12" i="28"/>
  <c r="I11" i="48"/>
  <c r="I13" i="48"/>
  <c r="H7" i="28"/>
  <c r="H16" i="28"/>
  <c r="F25" i="37"/>
  <c r="H6" i="48"/>
  <c r="H15" i="48"/>
  <c r="H33" i="48"/>
  <c r="H37" i="48"/>
  <c r="K6" i="48"/>
  <c r="J10" i="48"/>
  <c r="H9" i="37"/>
  <c r="H11" i="37"/>
  <c r="J11" i="28"/>
  <c r="L86" i="22"/>
  <c r="E88" i="22"/>
  <c r="L87" i="22"/>
  <c r="E25" i="37"/>
  <c r="K17" i="49"/>
  <c r="M4" i="46"/>
  <c r="I9" i="37"/>
  <c r="I11" i="37"/>
  <c r="I14" i="28"/>
  <c r="J18" i="49"/>
  <c r="K10" i="28"/>
  <c r="E82" i="28"/>
  <c r="K7" i="28"/>
  <c r="L13" i="49"/>
  <c r="H40" i="19"/>
  <c r="C40" i="19"/>
  <c r="D40" i="19"/>
  <c r="I40" i="19"/>
  <c r="E40" i="19"/>
  <c r="K40" i="19"/>
  <c r="G40" i="19"/>
  <c r="M32" i="19"/>
  <c r="M40" i="19"/>
  <c r="F40" i="19"/>
  <c r="J40" i="19"/>
  <c r="M10" i="32"/>
  <c r="L91" i="18"/>
  <c r="N18" i="48"/>
  <c r="N25" i="49"/>
  <c r="L16" i="49"/>
  <c r="L9" i="48"/>
  <c r="L22" i="48"/>
  <c r="L31" i="48"/>
  <c r="L36" i="48"/>
  <c r="L29" i="49"/>
  <c r="L38" i="49"/>
  <c r="L43" i="49"/>
  <c r="M23" i="48"/>
  <c r="M30" i="49"/>
  <c r="M25" i="48"/>
  <c r="M32" i="49"/>
  <c r="N15" i="28"/>
  <c r="N21" i="49"/>
  <c r="N14" i="48"/>
  <c r="M15" i="28"/>
  <c r="M21" i="49"/>
  <c r="M14" i="48"/>
  <c r="J13" i="48"/>
  <c r="J20" i="49"/>
  <c r="J22" i="49"/>
  <c r="J40" i="49"/>
  <c r="J45" i="49"/>
  <c r="I16" i="28"/>
  <c r="G25" i="37"/>
  <c r="I15" i="48"/>
  <c r="I33" i="48"/>
  <c r="I37" i="48"/>
  <c r="F73" i="48"/>
  <c r="K11" i="28"/>
  <c r="K10" i="48"/>
  <c r="L6" i="48"/>
  <c r="J12" i="28"/>
  <c r="J11" i="48"/>
  <c r="K32" i="28"/>
  <c r="K37" i="28"/>
  <c r="J88" i="22"/>
  <c r="L88" i="22"/>
  <c r="D88" i="22"/>
  <c r="M88" i="22"/>
  <c r="H88" i="22"/>
  <c r="I88" i="22"/>
  <c r="K88" i="22"/>
  <c r="F88" i="22"/>
  <c r="M85" i="22"/>
  <c r="M87" i="22"/>
  <c r="M86" i="22"/>
  <c r="G88" i="22"/>
  <c r="C88" i="22"/>
  <c r="L7" i="28"/>
  <c r="L17" i="49"/>
  <c r="L32" i="28"/>
  <c r="L37" i="28"/>
  <c r="D41" i="46"/>
  <c r="H34" i="28"/>
  <c r="H39" i="28"/>
  <c r="K18" i="49"/>
  <c r="L10" i="28"/>
  <c r="K20" i="49"/>
  <c r="M13" i="49"/>
  <c r="J14" i="28"/>
  <c r="I91" i="18"/>
  <c r="K91" i="18"/>
  <c r="H91" i="18"/>
  <c r="M91" i="18"/>
  <c r="G91" i="18"/>
  <c r="F91" i="18"/>
  <c r="D91" i="18"/>
  <c r="C91" i="18"/>
  <c r="E91" i="18"/>
  <c r="J91" i="18"/>
  <c r="M16" i="49"/>
  <c r="M9" i="48"/>
  <c r="M22" i="48"/>
  <c r="M31" i="48"/>
  <c r="M36" i="48"/>
  <c r="M29" i="49"/>
  <c r="M38" i="49"/>
  <c r="M43" i="49"/>
  <c r="N23" i="48"/>
  <c r="F78" i="48"/>
  <c r="E78" i="48"/>
  <c r="N30" i="49"/>
  <c r="N25" i="48"/>
  <c r="F80" i="48"/>
  <c r="E80" i="48"/>
  <c r="N32" i="49"/>
  <c r="J15" i="48"/>
  <c r="J33" i="48"/>
  <c r="J37" i="48"/>
  <c r="K22" i="49"/>
  <c r="K40" i="49"/>
  <c r="K45" i="49"/>
  <c r="I34" i="28"/>
  <c r="I39" i="28"/>
  <c r="J16" i="28"/>
  <c r="H25" i="37"/>
  <c r="K12" i="28"/>
  <c r="K11" i="48"/>
  <c r="E73" i="48"/>
  <c r="L11" i="28"/>
  <c r="L10" i="48"/>
  <c r="M7" i="28"/>
  <c r="M6" i="48"/>
  <c r="K14" i="28"/>
  <c r="K13" i="48"/>
  <c r="E79" i="28"/>
  <c r="J9" i="37"/>
  <c r="J11" i="37"/>
  <c r="F41" i="46"/>
  <c r="L41" i="46"/>
  <c r="M17" i="49"/>
  <c r="K41" i="46"/>
  <c r="J41" i="46"/>
  <c r="M41" i="46"/>
  <c r="I41" i="46"/>
  <c r="H41" i="46"/>
  <c r="E41" i="46"/>
  <c r="G41" i="46"/>
  <c r="M32" i="28"/>
  <c r="M37" i="28"/>
  <c r="C41" i="46"/>
  <c r="E74" i="28"/>
  <c r="L18" i="49"/>
  <c r="M10" i="28"/>
  <c r="L20" i="49"/>
  <c r="N13" i="49"/>
  <c r="N10" i="28"/>
  <c r="N16" i="49"/>
  <c r="N9" i="48"/>
  <c r="N22" i="48"/>
  <c r="N29" i="49"/>
  <c r="N38" i="49"/>
  <c r="N43" i="49"/>
  <c r="L22" i="49"/>
  <c r="L40" i="49"/>
  <c r="L45" i="49"/>
  <c r="J34" i="28"/>
  <c r="J39" i="28"/>
  <c r="K15" i="48"/>
  <c r="K33" i="48"/>
  <c r="K37" i="48"/>
  <c r="K16" i="28"/>
  <c r="K34" i="28"/>
  <c r="K39" i="28"/>
  <c r="F77" i="48"/>
  <c r="N31" i="48"/>
  <c r="N36" i="48"/>
  <c r="L14" i="28"/>
  <c r="L13" i="48"/>
  <c r="N7" i="28"/>
  <c r="N6" i="48"/>
  <c r="L11" i="48"/>
  <c r="M11" i="28"/>
  <c r="M10" i="48"/>
  <c r="K9" i="37"/>
  <c r="K11" i="37"/>
  <c r="L12" i="28"/>
  <c r="N18" i="49"/>
  <c r="M18" i="49"/>
  <c r="M20" i="49"/>
  <c r="L15" i="48"/>
  <c r="L33" i="48"/>
  <c r="L37" i="48"/>
  <c r="M22" i="49"/>
  <c r="M40" i="49"/>
  <c r="M45" i="49"/>
  <c r="N10" i="48"/>
  <c r="N17" i="49"/>
  <c r="I25" i="37"/>
  <c r="M13" i="48"/>
  <c r="N11" i="48"/>
  <c r="M11" i="48"/>
  <c r="M15" i="48"/>
  <c r="M33" i="48"/>
  <c r="M37" i="48"/>
  <c r="L16" i="28"/>
  <c r="L34" i="28"/>
  <c r="L39" i="28"/>
  <c r="E77" i="48"/>
  <c r="L9" i="37"/>
  <c r="L11" i="37"/>
  <c r="N32" i="28"/>
  <c r="N37" i="28"/>
  <c r="N11" i="28"/>
  <c r="N12" i="28"/>
  <c r="M12" i="28"/>
  <c r="N20" i="49"/>
  <c r="M14" i="28"/>
  <c r="C78" i="32"/>
  <c r="N22" i="49"/>
  <c r="N40" i="49"/>
  <c r="J25" i="37"/>
  <c r="N14" i="28"/>
  <c r="N16" i="28"/>
  <c r="L25" i="37"/>
  <c r="N13" i="48"/>
  <c r="N15" i="48"/>
  <c r="N33" i="48"/>
  <c r="M9" i="37"/>
  <c r="M16" i="28"/>
  <c r="M34" i="28"/>
  <c r="M39" i="28"/>
  <c r="N41" i="49"/>
  <c r="N42" i="49"/>
  <c r="N45" i="49"/>
  <c r="N34" i="48"/>
  <c r="N34" i="28"/>
  <c r="N35" i="28"/>
  <c r="K25" i="37"/>
  <c r="M25" i="37"/>
  <c r="J51" i="49"/>
  <c r="C41" i="49"/>
  <c r="J44" i="48"/>
  <c r="N35" i="48"/>
  <c r="N37" i="48"/>
  <c r="C34" i="48"/>
  <c r="C35" i="28"/>
  <c r="J45" i="28"/>
  <c r="N36" i="28"/>
  <c r="L33" i="37"/>
  <c r="M33" i="37"/>
  <c r="L32" i="37"/>
  <c r="M32" i="37"/>
  <c r="N39" i="28"/>
  <c r="M85" i="28"/>
  <c r="N78" i="28"/>
  <c r="B10" i="37"/>
  <c r="B11" i="37"/>
  <c r="B14" i="37"/>
  <c r="B16" i="37"/>
  <c r="B17" i="37"/>
  <c r="B20" i="37"/>
  <c r="D44" i="49"/>
  <c r="D38" i="28"/>
  <c r="D38" i="48"/>
  <c r="B30" i="37"/>
  <c r="B26" i="37"/>
  <c r="B27" i="37"/>
  <c r="B31" i="37"/>
  <c r="B35" i="37"/>
  <c r="D46" i="49"/>
  <c r="B22" i="37"/>
  <c r="D40" i="28"/>
  <c r="D39" i="48"/>
  <c r="F90" i="49"/>
  <c r="F99" i="49"/>
  <c r="F84" i="28"/>
  <c r="F93" i="28"/>
  <c r="F83" i="48"/>
  <c r="F92" i="48"/>
  <c r="M10" i="37"/>
  <c r="M11" i="37"/>
  <c r="D37" i="49"/>
  <c r="D38" i="49"/>
  <c r="D43" i="49"/>
  <c r="D45" i="49"/>
  <c r="C48" i="49"/>
  <c r="C50" i="49"/>
  <c r="C20" i="38"/>
  <c r="C49" i="49"/>
  <c r="M76" i="48"/>
  <c r="C42" i="48"/>
  <c r="C43" i="28"/>
  <c r="N84" i="49"/>
  <c r="C14" i="37"/>
  <c r="D14" i="37"/>
  <c r="D16" i="37"/>
  <c r="C16" i="37"/>
  <c r="N90" i="49"/>
  <c r="N87" i="49"/>
  <c r="N81" i="49"/>
  <c r="N88" i="49"/>
  <c r="N89" i="49"/>
  <c r="N80" i="28"/>
  <c r="D30" i="48"/>
  <c r="D31" i="48"/>
  <c r="D36" i="48"/>
  <c r="D37" i="48"/>
  <c r="C43" i="48"/>
  <c r="C41" i="48"/>
  <c r="M73" i="48"/>
  <c r="M83" i="48"/>
  <c r="N79" i="48"/>
  <c r="N80" i="48"/>
  <c r="N74" i="48"/>
  <c r="N81" i="48"/>
  <c r="N76" i="48"/>
  <c r="C17" i="37"/>
  <c r="C20" i="37"/>
  <c r="C22" i="37"/>
  <c r="E14" i="37"/>
  <c r="F14" i="37"/>
  <c r="F16" i="37"/>
  <c r="E38" i="28"/>
  <c r="N80" i="49"/>
  <c r="N92" i="49"/>
  <c r="E38" i="48"/>
  <c r="E44" i="49"/>
  <c r="N83" i="28"/>
  <c r="N82" i="28"/>
  <c r="N81" i="28"/>
  <c r="N75" i="28"/>
  <c r="N77" i="28"/>
  <c r="D31" i="28"/>
  <c r="D32" i="28"/>
  <c r="D37" i="28"/>
  <c r="D39" i="28"/>
  <c r="C44" i="28"/>
  <c r="C42" i="28"/>
  <c r="N73" i="48"/>
  <c r="N83" i="48"/>
  <c r="C26" i="37"/>
  <c r="C27" i="37"/>
  <c r="C31" i="37"/>
  <c r="C30" i="37"/>
  <c r="C35" i="37"/>
  <c r="E46" i="49"/>
  <c r="E16" i="37"/>
  <c r="N74" i="28"/>
  <c r="N85" i="28"/>
  <c r="E40" i="28"/>
  <c r="E39" i="48"/>
  <c r="G14" i="37"/>
  <c r="G16" i="37"/>
  <c r="H14" i="37"/>
  <c r="H16" i="37"/>
  <c r="I14" i="37"/>
  <c r="I16" i="37"/>
  <c r="E17" i="37"/>
  <c r="E20" i="37"/>
  <c r="G44" i="49"/>
  <c r="F17" i="37"/>
  <c r="F20" i="37"/>
  <c r="H44" i="49"/>
  <c r="G17" i="37"/>
  <c r="G20" i="37"/>
  <c r="I44" i="49"/>
  <c r="I17" i="37"/>
  <c r="I20" i="37"/>
  <c r="I22" i="37"/>
  <c r="J14" i="37"/>
  <c r="J16" i="37"/>
  <c r="J17" i="37"/>
  <c r="J20" i="37"/>
  <c r="L44" i="49"/>
  <c r="K14" i="37"/>
  <c r="L14" i="37"/>
  <c r="M14" i="37"/>
  <c r="K16" i="37"/>
  <c r="L16" i="37"/>
  <c r="H17" i="37"/>
  <c r="H20" i="37"/>
  <c r="J38" i="48"/>
  <c r="J44" i="49"/>
  <c r="D17" i="37"/>
  <c r="D20" i="37"/>
  <c r="F38" i="48"/>
  <c r="F44" i="49"/>
  <c r="E22" i="37"/>
  <c r="G38" i="48"/>
  <c r="I38" i="28"/>
  <c r="I38" i="48"/>
  <c r="F22" i="37"/>
  <c r="H38" i="48"/>
  <c r="G38" i="28"/>
  <c r="F26" i="37"/>
  <c r="F27" i="37"/>
  <c r="F31" i="37"/>
  <c r="F30" i="37"/>
  <c r="F35" i="37"/>
  <c r="H46" i="49"/>
  <c r="H38" i="28"/>
  <c r="G22" i="37"/>
  <c r="E26" i="37"/>
  <c r="E27" i="37"/>
  <c r="E31" i="37"/>
  <c r="E30" i="37"/>
  <c r="E35" i="37"/>
  <c r="G46" i="49"/>
  <c r="D22" i="37"/>
  <c r="F38" i="28"/>
  <c r="H22" i="37"/>
  <c r="H26" i="37"/>
  <c r="H27" i="37"/>
  <c r="H31" i="37"/>
  <c r="H30" i="37"/>
  <c r="H35" i="37"/>
  <c r="J46" i="49"/>
  <c r="J38" i="28"/>
  <c r="G26" i="37"/>
  <c r="G27" i="37"/>
  <c r="G31" i="37"/>
  <c r="G30" i="37"/>
  <c r="G35" i="37"/>
  <c r="I46" i="49"/>
  <c r="K38" i="28"/>
  <c r="L38" i="48"/>
  <c r="I26" i="37"/>
  <c r="I27" i="37"/>
  <c r="I31" i="37"/>
  <c r="I30" i="37"/>
  <c r="I35" i="37"/>
  <c r="K46" i="49"/>
  <c r="K44" i="49"/>
  <c r="K38" i="48"/>
  <c r="L17" i="37"/>
  <c r="L20" i="37"/>
  <c r="N38" i="48"/>
  <c r="J26" i="37"/>
  <c r="J27" i="37"/>
  <c r="J31" i="37"/>
  <c r="J30" i="37"/>
  <c r="J35" i="37"/>
  <c r="L46" i="49"/>
  <c r="J22" i="37"/>
  <c r="L38" i="28"/>
  <c r="M16" i="37"/>
  <c r="K17" i="37"/>
  <c r="K20" i="37"/>
  <c r="M38" i="48"/>
  <c r="M44" i="49"/>
  <c r="K22" i="37"/>
  <c r="K26" i="37"/>
  <c r="K27" i="37"/>
  <c r="K31" i="37"/>
  <c r="M38" i="28"/>
  <c r="I40" i="28"/>
  <c r="I39" i="48"/>
  <c r="J39" i="48"/>
  <c r="J40" i="28"/>
  <c r="G40" i="28"/>
  <c r="G39" i="48"/>
  <c r="K39" i="48"/>
  <c r="H39" i="48"/>
  <c r="H40" i="28"/>
  <c r="D26" i="37"/>
  <c r="D27" i="37"/>
  <c r="D31" i="37"/>
  <c r="K40" i="28"/>
  <c r="L26" i="37"/>
  <c r="L27" i="37"/>
  <c r="L31" i="37"/>
  <c r="M31" i="37"/>
  <c r="L21" i="37"/>
  <c r="M21" i="37"/>
  <c r="N44" i="49"/>
  <c r="L40" i="28"/>
  <c r="N38" i="28"/>
  <c r="L39" i="48"/>
  <c r="K30" i="37"/>
  <c r="K35" i="37"/>
  <c r="M40" i="28"/>
  <c r="M46" i="49"/>
  <c r="M39" i="48"/>
  <c r="D30" i="37"/>
  <c r="D35" i="37"/>
  <c r="F46" i="49"/>
  <c r="M20" i="37"/>
  <c r="M22" i="37"/>
  <c r="M26" i="37"/>
  <c r="M27" i="37"/>
  <c r="L22" i="37"/>
  <c r="L34" i="37"/>
  <c r="M34" i="37"/>
  <c r="L30" i="37"/>
  <c r="M30" i="37"/>
  <c r="M35" i="37"/>
  <c r="F40" i="28"/>
  <c r="F39" i="48"/>
  <c r="L35" i="37"/>
  <c r="N46" i="49"/>
  <c r="B37" i="37"/>
  <c r="C44" i="48"/>
  <c r="B36" i="37"/>
  <c r="N39" i="48"/>
  <c r="N40" i="28"/>
  <c r="C51" i="49"/>
  <c r="C45" i="28"/>
</calcChain>
</file>

<file path=xl/comments1.xml><?xml version="1.0" encoding="utf-8"?>
<comments xmlns="http://schemas.openxmlformats.org/spreadsheetml/2006/main">
  <authors>
    <author>Mason Rathe</author>
  </authors>
  <commentList>
    <comment ref="I80" author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Could also reinvest cash
</t>
        </r>
      </text>
    </comment>
  </commentList>
</comments>
</file>

<file path=xl/comments2.xml><?xml version="1.0" encoding="utf-8"?>
<comments xmlns="http://schemas.openxmlformats.org/spreadsheetml/2006/main">
  <authors>
    <author>Mason Rathe</author>
  </authors>
  <commentList>
    <comment ref="C65" author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this will link total landscaping costs, so make sure to divide by a certain number</t>
        </r>
      </text>
    </comment>
  </commentList>
</comments>
</file>

<file path=xl/comments3.xml><?xml version="1.0" encoding="utf-8"?>
<comments xmlns="http://schemas.openxmlformats.org/spreadsheetml/2006/main">
  <authors>
    <author>Mason Rathe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Delete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Gross</t>
        </r>
      </text>
    </comment>
  </commentList>
</comments>
</file>

<file path=xl/comments4.xml><?xml version="1.0" encoding="utf-8"?>
<comments xmlns="http://schemas.openxmlformats.org/spreadsheetml/2006/main">
  <authors>
    <author>Mason Rathe</author>
  </authors>
  <commentList>
    <comment ref="A85" authorId="0">
      <text>
        <r>
          <rPr>
            <b/>
            <sz val="9"/>
            <color indexed="81"/>
            <rFont val="Tahoma"/>
            <family val="2"/>
          </rPr>
          <t>Mason Rathe:</t>
        </r>
        <r>
          <rPr>
            <sz val="9"/>
            <color indexed="81"/>
            <rFont val="Tahoma"/>
            <family val="2"/>
          </rPr>
          <t xml:space="preserve">
I didn’t differentitate between retail, restaurant, etc.
all retail
</t>
        </r>
      </text>
    </comment>
  </commentList>
</comments>
</file>

<file path=xl/sharedStrings.xml><?xml version="1.0" encoding="utf-8"?>
<sst xmlns="http://schemas.openxmlformats.org/spreadsheetml/2006/main" count="1873" uniqueCount="558">
  <si>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</si>
  <si>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</si>
  <si>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</si>
  <si>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</si>
  <si>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</si>
  <si>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</si>
  <si>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</si>
  <si>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 xml:space="preserve">Commercial Infrastructure </t>
  </si>
  <si>
    <t xml:space="preserve">Other Infrastructure </t>
  </si>
  <si>
    <t xml:space="preserve">Total Infrastructure Costs </t>
  </si>
  <si>
    <t>Revenue Assumptions</t>
  </si>
  <si>
    <t>Inflation Factor</t>
  </si>
  <si>
    <t>Gross Lease Revenues</t>
  </si>
  <si>
    <t>Percent Built by Year</t>
  </si>
  <si>
    <t>Infrastructure Costs</t>
  </si>
  <si>
    <t>Assumptions</t>
  </si>
  <si>
    <t>Sale Revenues</t>
  </si>
  <si>
    <t>Leasing Revenues</t>
  </si>
  <si>
    <t>Room Revenues</t>
  </si>
  <si>
    <t>Monthly Parking Fee</t>
  </si>
  <si>
    <t>Allocation to Monthly Use</t>
  </si>
  <si>
    <t>Percent Occupancy by Monthly Contracts</t>
  </si>
  <si>
    <t>Nonwork Days</t>
  </si>
  <si>
    <t>Daily Parking Hours</t>
  </si>
  <si>
    <t>Percent Utilization</t>
  </si>
  <si>
    <t>Work Days</t>
  </si>
  <si>
    <t>Hourly Parking Rate</t>
  </si>
  <si>
    <t>Net Present Value</t>
  </si>
  <si>
    <t>Structured Parking Spaces</t>
  </si>
  <si>
    <t>Total Costs of Sale</t>
  </si>
  <si>
    <t>Total Buildout</t>
  </si>
  <si>
    <t>Project Buildout by Area</t>
  </si>
  <si>
    <t>Total</t>
  </si>
  <si>
    <t>Subtotal</t>
  </si>
  <si>
    <t>Total Infrastructure Costs</t>
  </si>
  <si>
    <t>Total Costs</t>
  </si>
  <si>
    <t>Net Present Value of Costs</t>
  </si>
  <si>
    <t>Phase I</t>
  </si>
  <si>
    <t>Projected Unit Absorption</t>
  </si>
  <si>
    <t>Average Unit Size</t>
  </si>
  <si>
    <t>Net Rentable Area</t>
  </si>
  <si>
    <t>Occupancy Factor</t>
  </si>
  <si>
    <t>Net Usable Area</t>
  </si>
  <si>
    <t>Builder Profit</t>
  </si>
  <si>
    <t>Cost of Sales</t>
  </si>
  <si>
    <t>Vacancy Factor</t>
  </si>
  <si>
    <t>Rooms Completed</t>
  </si>
  <si>
    <t>Average Daily Room Rate</t>
  </si>
  <si>
    <t>Retail</t>
  </si>
  <si>
    <t>Hotel</t>
  </si>
  <si>
    <t>Structured Parking</t>
  </si>
  <si>
    <t>Surface Parking</t>
  </si>
  <si>
    <t>Amount</t>
  </si>
  <si>
    <t>Unit Cost</t>
  </si>
  <si>
    <t>Landscaping</t>
  </si>
  <si>
    <t>Public</t>
  </si>
  <si>
    <t>Private</t>
  </si>
  <si>
    <t>Roads</t>
  </si>
  <si>
    <t>Year 0</t>
  </si>
  <si>
    <t xml:space="preserve">Total Asset Value </t>
  </si>
  <si>
    <t>Asset Value</t>
  </si>
  <si>
    <t>Costs of Sale</t>
  </si>
  <si>
    <t>Unleveraged IRR Before Taxes</t>
  </si>
  <si>
    <t>1. Summary Proforma</t>
  </si>
  <si>
    <t>Market-Rate Rental Housing</t>
  </si>
  <si>
    <t>Market-Rate For-Sale Housing</t>
  </si>
  <si>
    <t>Affordable Rental Housing</t>
  </si>
  <si>
    <t>Office</t>
  </si>
  <si>
    <t>Market-Rate Retail</t>
  </si>
  <si>
    <t>Land Acquisition Costs</t>
  </si>
  <si>
    <t>Loan to Value (LTV)</t>
  </si>
  <si>
    <t>Unleveraged IRR (Before Taxes)</t>
  </si>
  <si>
    <t>Current Site Value (Start of Year 0)</t>
  </si>
  <si>
    <t>Projected Site Value (End of Year 10)</t>
  </si>
  <si>
    <t>2. Multi-Year Development Program</t>
  </si>
  <si>
    <t>% of Total</t>
  </si>
  <si>
    <t>Equity Sources (Total)</t>
  </si>
  <si>
    <t>Financing Sources (Total)</t>
  </si>
  <si>
    <t>Public Subsidies (Total, If Any)</t>
  </si>
  <si>
    <t>Phase II</t>
  </si>
  <si>
    <t>Phase III</t>
  </si>
  <si>
    <t>Development Schedule</t>
  </si>
  <si>
    <t>ULI Urban Design Competition</t>
  </si>
  <si>
    <t>Total SF</t>
  </si>
  <si>
    <t>Product Type</t>
  </si>
  <si>
    <t>Parking Garage</t>
  </si>
  <si>
    <t>Garage 1st Floor Retail</t>
  </si>
  <si>
    <t>Apartment Retail</t>
  </si>
  <si>
    <t>Grocery Store</t>
  </si>
  <si>
    <t>Condos</t>
  </si>
  <si>
    <t>Total (Hotel)</t>
  </si>
  <si>
    <t>Total (Retail)</t>
  </si>
  <si>
    <t>Total (Structured Parking)</t>
  </si>
  <si>
    <t>Total (Surface Parking)</t>
  </si>
  <si>
    <t>Inflation Factor:</t>
  </si>
  <si>
    <t>Discount Rate</t>
  </si>
  <si>
    <t>Team:</t>
  </si>
  <si>
    <t>Units</t>
  </si>
  <si>
    <t>SF</t>
  </si>
  <si>
    <t>Development Assumptions</t>
  </si>
  <si>
    <t>Units Completed</t>
  </si>
  <si>
    <t>Cumulative Units Leased</t>
  </si>
  <si>
    <t>Monthly Rent PSF</t>
  </si>
  <si>
    <t>Annual Operating Expenses PSF</t>
  </si>
  <si>
    <t>Development Costs PSF</t>
  </si>
  <si>
    <t>(Less) Development Costs</t>
  </si>
  <si>
    <t>Other Assumptions</t>
  </si>
  <si>
    <t>Exit Cap Rate</t>
  </si>
  <si>
    <t>Cost of Sale</t>
  </si>
  <si>
    <t>Totals</t>
  </si>
  <si>
    <t>Projected Units Sold</t>
  </si>
  <si>
    <t>Cumulative Units Sold</t>
  </si>
  <si>
    <t>Sale Price PSF</t>
  </si>
  <si>
    <t>GLA Absorbed (SF)</t>
  </si>
  <si>
    <t>Net Lease Revenue PSF</t>
  </si>
  <si>
    <t>Gross SF</t>
  </si>
  <si>
    <t>Net SF</t>
  </si>
  <si>
    <t>Operating Expenses PSF</t>
  </si>
  <si>
    <t>Expenses Reimbursements</t>
  </si>
  <si>
    <t>(Less) Operating Expenses</t>
  </si>
  <si>
    <t>Development Costs PSF (Retail)</t>
  </si>
  <si>
    <t>Development Costs PSF (Restaurant)</t>
  </si>
  <si>
    <t>Development Costs PSF (Grocery Store)</t>
  </si>
  <si>
    <t>Market-Rate Retail (Gross)</t>
  </si>
  <si>
    <t>Landscaping Costs PSF</t>
  </si>
  <si>
    <t>Infrastructure Costs (All to Be Performed By Developer)</t>
  </si>
  <si>
    <t>3. Unit Development &amp; Infrastructure Costs</t>
  </si>
  <si>
    <t>Projected Construction Costs</t>
  </si>
  <si>
    <t>Hard</t>
  </si>
  <si>
    <t>Soft</t>
  </si>
  <si>
    <t>Hard Cost</t>
  </si>
  <si>
    <t>Property Type</t>
  </si>
  <si>
    <r>
      <t xml:space="preserve">Costs PSF </t>
    </r>
    <r>
      <rPr>
        <b/>
        <vertAlign val="superscript"/>
        <sz val="10"/>
        <rFont val="Arial"/>
        <family val="2"/>
      </rPr>
      <t>(1)</t>
    </r>
  </si>
  <si>
    <t>Costs PSF</t>
  </si>
  <si>
    <t>Contingency</t>
  </si>
  <si>
    <t>Apartments (1-3 Stories)</t>
  </si>
  <si>
    <t>Apartments (4-7 Stories)</t>
  </si>
  <si>
    <t>Apartments (8-24 Stories)</t>
  </si>
  <si>
    <t>Assisted Senior Living</t>
  </si>
  <si>
    <t>Bus Terminal (Train Station)</t>
  </si>
  <si>
    <t>Community Center</t>
  </si>
  <si>
    <t>Day Care Center</t>
  </si>
  <si>
    <t>Department Store (1 Story)</t>
  </si>
  <si>
    <t>Hotel (4-7 Stories)</t>
  </si>
  <si>
    <t>Hotel (8-24 Stories)</t>
  </si>
  <si>
    <t>Library</t>
  </si>
  <si>
    <t>Medical Office</t>
  </si>
  <si>
    <t>Movie Theater</t>
  </si>
  <si>
    <t>Office (2-4 Stories)</t>
  </si>
  <si>
    <t>Office (5-10 Stories)</t>
  </si>
  <si>
    <t>Office (11-20 Stories)</t>
  </si>
  <si>
    <t>Restaurant</t>
  </si>
  <si>
    <t>Restaurant (Fast Food)</t>
  </si>
  <si>
    <t>Retail Center</t>
  </si>
  <si>
    <t>Student Housing (2-3 Stories)</t>
  </si>
  <si>
    <t>Student Housing (4-8 Stories)</t>
  </si>
  <si>
    <t>Supermarket</t>
  </si>
  <si>
    <t>Warehouse</t>
  </si>
  <si>
    <t>(1) Source: RS Means Online Data (2013)</t>
  </si>
  <si>
    <t>Soft Costs (As a % of Hard Costs)</t>
  </si>
  <si>
    <t>Hard Cost Contingency</t>
  </si>
  <si>
    <t>Other Infrastructure Costs</t>
  </si>
  <si>
    <t>Item</t>
  </si>
  <si>
    <t>Hard Costs PSF</t>
  </si>
  <si>
    <t>Plaza/Landscaping/Parks</t>
  </si>
  <si>
    <t>Streetscape</t>
  </si>
  <si>
    <t>Pavillion</t>
  </si>
  <si>
    <t>Bank</t>
  </si>
  <si>
    <t>Department Store (3 Stories)</t>
  </si>
  <si>
    <t>Expense Reimbursements</t>
  </si>
  <si>
    <t>Operating Expenses</t>
  </si>
  <si>
    <t>Spaces</t>
  </si>
  <si>
    <t>SF Per Parking Space</t>
  </si>
  <si>
    <t>Operating Exenses PSF</t>
  </si>
  <si>
    <t>Parking Revenue (Monthly)</t>
  </si>
  <si>
    <t>Parking Revenue (Hourly)</t>
  </si>
  <si>
    <t>City Reimbursement</t>
  </si>
  <si>
    <t>Structured Parking (Excludes City-Built Garage)</t>
  </si>
  <si>
    <t>Land Costs</t>
  </si>
  <si>
    <t>Developable</t>
  </si>
  <si>
    <t>Current Land</t>
  </si>
  <si>
    <t>Assessed</t>
  </si>
  <si>
    <t>Parking</t>
  </si>
  <si>
    <t>Value</t>
  </si>
  <si>
    <t>Parcel</t>
  </si>
  <si>
    <t>Status</t>
  </si>
  <si>
    <t>Use</t>
  </si>
  <si>
    <t>PSF</t>
  </si>
  <si>
    <t>Block A</t>
  </si>
  <si>
    <t>Total (Block A)</t>
  </si>
  <si>
    <t>Block B</t>
  </si>
  <si>
    <t>Total (Block B)</t>
  </si>
  <si>
    <t>Block C</t>
  </si>
  <si>
    <t>Total (Block C)</t>
  </si>
  <si>
    <t>Total (All Parcels)</t>
  </si>
  <si>
    <t>Daily Parking Income Per Space</t>
  </si>
  <si>
    <t>Daily Parking Occupancy</t>
  </si>
  <si>
    <t>Industrial</t>
  </si>
  <si>
    <t>Office Vacancy</t>
  </si>
  <si>
    <t>Retail Vacancy</t>
  </si>
  <si>
    <t>Industrial Vacancy</t>
  </si>
  <si>
    <t>Block</t>
  </si>
  <si>
    <t>Parcels</t>
  </si>
  <si>
    <t>Purchased</t>
  </si>
  <si>
    <t xml:space="preserve">Assessed </t>
  </si>
  <si>
    <t xml:space="preserve">Total </t>
  </si>
  <si>
    <t>A</t>
  </si>
  <si>
    <t>B</t>
  </si>
  <si>
    <t>C</t>
  </si>
  <si>
    <t>Total Demolition Costs</t>
  </si>
  <si>
    <t>Total SF Requiring Demolition</t>
  </si>
  <si>
    <t>*</t>
  </si>
  <si>
    <t>(1) All demolition costs are to occur in Year 0 (2013-2014).</t>
  </si>
  <si>
    <t>Summary of Land Acquisition</t>
  </si>
  <si>
    <t>Demolition Costs</t>
  </si>
  <si>
    <t>(Less) Total Development Costs</t>
  </si>
  <si>
    <t>Net Present Value (9.00% Rate)</t>
  </si>
  <si>
    <t>Land Acquisition</t>
  </si>
  <si>
    <t>Equity Funding</t>
  </si>
  <si>
    <t>Debt Funding</t>
  </si>
  <si>
    <t>Cumulative Debt Funding</t>
  </si>
  <si>
    <t>Construction Costs</t>
  </si>
  <si>
    <t>Development Budget</t>
  </si>
  <si>
    <t>Equity Contribution</t>
  </si>
  <si>
    <t>Total Financing</t>
  </si>
  <si>
    <t>Loan Fee (1.00%)</t>
  </si>
  <si>
    <t>Financing</t>
  </si>
  <si>
    <t>Syndicated Construction to Mini-Perm Facility (Led By U.S. Bank &amp; Wells Fargo)</t>
  </si>
  <si>
    <t>4. Equity &amp; Financing Sources</t>
  </si>
  <si>
    <t>Financing Analysis</t>
  </si>
  <si>
    <t>Loan Repayment</t>
  </si>
  <si>
    <t>Debt &amp; Equity Funding</t>
  </si>
  <si>
    <t>Debt Service Calculation</t>
  </si>
  <si>
    <t>Total Debt Service</t>
  </si>
  <si>
    <t>Interest Rate</t>
  </si>
  <si>
    <t>Financing Assumptions</t>
  </si>
  <si>
    <t>Leveraged IRR Calculation</t>
  </si>
  <si>
    <t>Equity Outlays</t>
  </si>
  <si>
    <t>CFADS</t>
  </si>
  <si>
    <t>Cash Flow After Debt Service</t>
  </si>
  <si>
    <t>Total CFADS</t>
  </si>
  <si>
    <t>(Less) Interest Expense</t>
  </si>
  <si>
    <t>Asset Sale</t>
  </si>
  <si>
    <t>(Less) Cost of Sale</t>
  </si>
  <si>
    <t>(Less) Debt Repayment</t>
  </si>
  <si>
    <t>Leveraged Cash Flows</t>
  </si>
  <si>
    <t>Leveraged IRR Before Taxes</t>
  </si>
  <si>
    <t>* Assumes all equity is contributed before the loan funds</t>
  </si>
  <si>
    <t>Leveraged IRR (Before Taxes) *</t>
  </si>
  <si>
    <t>Blended Cap Rate:</t>
  </si>
  <si>
    <t>Year 1 Construction Cost Assumptions</t>
  </si>
  <si>
    <r>
      <t xml:space="preserve">Costs PSF </t>
    </r>
    <r>
      <rPr>
        <b/>
        <vertAlign val="superscript"/>
        <sz val="12"/>
        <rFont val="Arial"/>
        <family val="2"/>
      </rPr>
      <t>(1)</t>
    </r>
  </si>
  <si>
    <r>
      <t xml:space="preserve">Costs PSF </t>
    </r>
    <r>
      <rPr>
        <b/>
        <vertAlign val="superscript"/>
        <sz val="12"/>
        <rFont val="Arial"/>
        <family val="2"/>
      </rPr>
      <t>(2)</t>
    </r>
  </si>
  <si>
    <r>
      <t xml:space="preserve">Contingency </t>
    </r>
    <r>
      <rPr>
        <b/>
        <vertAlign val="superscript"/>
        <sz val="12"/>
        <rFont val="Arial"/>
        <family val="2"/>
      </rPr>
      <t>(3)</t>
    </r>
  </si>
  <si>
    <t>Office Space</t>
  </si>
  <si>
    <t>Rental &amp; For-Sale Housing</t>
  </si>
  <si>
    <t>Retail Space</t>
  </si>
  <si>
    <t>Restaurant Space</t>
  </si>
  <si>
    <r>
      <t xml:space="preserve">Costs PSF </t>
    </r>
    <r>
      <rPr>
        <b/>
        <vertAlign val="superscript"/>
        <sz val="12"/>
        <rFont val="Arial"/>
        <family val="2"/>
      </rPr>
      <t>(4)</t>
    </r>
  </si>
  <si>
    <t>(3) Hard Cost Contingency has been estimated as 4.00% of Hard Costs.</t>
  </si>
  <si>
    <t>Market Assumptions</t>
  </si>
  <si>
    <t>Input</t>
  </si>
  <si>
    <t>Assumption</t>
  </si>
  <si>
    <r>
      <t xml:space="preserve">Used </t>
    </r>
    <r>
      <rPr>
        <b/>
        <vertAlign val="superscript"/>
        <sz val="12"/>
        <rFont val="Arial"/>
        <family val="2"/>
      </rPr>
      <t>(1)</t>
    </r>
  </si>
  <si>
    <t>Source</t>
  </si>
  <si>
    <t>Apartment Vacancy</t>
  </si>
  <si>
    <t>Condo Sales Prices PSF</t>
  </si>
  <si>
    <t>Office Rents PSF</t>
  </si>
  <si>
    <t>Retail Rents PSF</t>
  </si>
  <si>
    <t>Restaurant Rents PSF</t>
  </si>
  <si>
    <t>Grocery Store Rents PSF</t>
  </si>
  <si>
    <t>Hotel ADR</t>
  </si>
  <si>
    <t>Hotel Occupancy</t>
  </si>
  <si>
    <t>Hotel EBITDA Margin</t>
  </si>
  <si>
    <t>Apartment Cap Rates</t>
  </si>
  <si>
    <t>Office Cap Rates</t>
  </si>
  <si>
    <t>Retail Cap Rates</t>
  </si>
  <si>
    <t>Hotel Cap Rates</t>
  </si>
  <si>
    <t>Parking Cap Rates</t>
  </si>
  <si>
    <t>inflation of 3.00% was assumed.</t>
  </si>
  <si>
    <t xml:space="preserve">(4) Please note that these figures are current cost estimates, and that for purposes of estimating Development Costs, annual </t>
  </si>
  <si>
    <r>
      <t xml:space="preserve">Total Demolition Costs </t>
    </r>
    <r>
      <rPr>
        <b/>
        <vertAlign val="superscript"/>
        <sz val="12"/>
        <rFont val="Arial"/>
        <family val="2"/>
      </rPr>
      <t>(1)</t>
    </r>
  </si>
  <si>
    <t>Debt Service (Interest Expense)</t>
  </si>
  <si>
    <t>(1) Please note that these rent/sales price figures are current estimates, and that for purposes of calculating Net Operating Income, annual inflation of 3.00% was assumed.</t>
  </si>
  <si>
    <t>2017-2018</t>
  </si>
  <si>
    <t xml:space="preserve">Current rents on available units at Walton on the Park, SoNo East, Cobble Square Loft, Xavier Apartments </t>
  </si>
  <si>
    <t>CBRE &amp; Real Capital Analytics Reports for the Chicago CBD</t>
  </si>
  <si>
    <t>Current sales prices on available units at various Chicago condo projects, including 860 W Blackhawk St and 1611 N Hermitage Avenue</t>
  </si>
  <si>
    <t>CBRE and Cushman Wakefield estimates for similar submarket spaces in Chicago, including River North and West Loop</t>
  </si>
  <si>
    <t>Cushman and Wakefield reports for Chicago CBD area</t>
  </si>
  <si>
    <t>(1) Source: RS Means Online Data, and conversations with Cohen Financial and Momark Development</t>
  </si>
  <si>
    <t>(Less) Any existing structures to remain</t>
  </si>
  <si>
    <t>Manufacturing Center</t>
  </si>
  <si>
    <t>Manufacturing Center #2</t>
  </si>
  <si>
    <t>Industrial Cap Rates</t>
  </si>
  <si>
    <t>Industrial Rents PSF</t>
  </si>
  <si>
    <t>Residential</t>
  </si>
  <si>
    <t>Boat Dock</t>
  </si>
  <si>
    <t xml:space="preserve">Hotel </t>
  </si>
  <si>
    <t>Residential/ Office Parking</t>
  </si>
  <si>
    <t>Manufacturing</t>
  </si>
  <si>
    <t>Condo Retail</t>
  </si>
  <si>
    <t>Office (7)</t>
  </si>
  <si>
    <t xml:space="preserve">Retail </t>
  </si>
  <si>
    <t>Train Platform</t>
  </si>
  <si>
    <t>Street Renovation</t>
  </si>
  <si>
    <t>Landscape</t>
  </si>
  <si>
    <t>Total (Landscaping)</t>
  </si>
  <si>
    <t>Total (Industrial)</t>
  </si>
  <si>
    <t>Phase IA</t>
  </si>
  <si>
    <t>Phase II Office</t>
  </si>
  <si>
    <t>Phase I Office</t>
  </si>
  <si>
    <t>Amenity/Institution</t>
  </si>
  <si>
    <t>(Less) City Reimbursement</t>
  </si>
  <si>
    <t>Total Surface Parking</t>
  </si>
  <si>
    <t xml:space="preserve">Structured Parking </t>
  </si>
  <si>
    <t xml:space="preserve">Office </t>
  </si>
  <si>
    <t>(1) Value PSF was derived through comparabe property sales, and discussions with Cohen Financial</t>
  </si>
  <si>
    <t>Majority of Home Depot Lot (2)</t>
  </si>
  <si>
    <t>(2) Property includes additional year of appreciation, as property is purchased in 2019</t>
  </si>
  <si>
    <t>Affordable Rents PSF</t>
  </si>
  <si>
    <t>Apartment Rents PSF (Monthly)</t>
  </si>
  <si>
    <t>Parking Structure Monthly Rate</t>
  </si>
  <si>
    <t>From comparable structures in River North</t>
  </si>
  <si>
    <t>Hourly Parking Rates</t>
  </si>
  <si>
    <t>(1) All demolition costs are to occur in Year 0 (2017-2018).</t>
  </si>
  <si>
    <t>From CoStar and JLL Industrial Reports</t>
  </si>
  <si>
    <t>From CBRE and Real Capital Analytics Retail Reports. Additionally, compared with comparables in City North.</t>
  </si>
  <si>
    <t>Project Buildout by Development Units</t>
  </si>
  <si>
    <t>Affordable Sales Price PSF</t>
  </si>
  <si>
    <t>Affordable For-Sale Housing</t>
  </si>
  <si>
    <r>
      <t xml:space="preserve">Total </t>
    </r>
    <r>
      <rPr>
        <b/>
        <vertAlign val="superscript"/>
        <sz val="12"/>
        <rFont val="Arial"/>
        <family val="2"/>
      </rPr>
      <t>(2)</t>
    </r>
  </si>
  <si>
    <t>TIFWorks (1)</t>
  </si>
  <si>
    <t>(2) Please note that in addition to the Total Development Costs, this figure also includes a Loan Fee of $6,570,000 (1.00%).</t>
  </si>
  <si>
    <t>(1) TIFWorks subsidies for the educational institution development</t>
  </si>
  <si>
    <t>Industrial and Institutional</t>
  </si>
  <si>
    <t>CTA Transit Grant</t>
  </si>
  <si>
    <t>Loan Fee</t>
  </si>
  <si>
    <t>(2) Soft Costs have been estimated as 20.00% of Hard Costs.</t>
  </si>
  <si>
    <t>Amenity/Institution Phase 2</t>
  </si>
  <si>
    <t>Based on (1/3) of 80% AMI for a family of 2</t>
  </si>
  <si>
    <t>Based a mortgage on (1/3) of 80% AMI for a family of 2</t>
  </si>
  <si>
    <t>Land Contribution</t>
  </si>
  <si>
    <t>Developer Land Equity</t>
  </si>
  <si>
    <t>Windy City Opportunity Fund</t>
  </si>
  <si>
    <t>LIHTC (2)</t>
  </si>
  <si>
    <t xml:space="preserve">(2) Based on the applicable federal rate of 7.56% on eligible construction, and adjusted based on review of comparable allocations </t>
  </si>
  <si>
    <t>Industrial, Greenhouse, and Educational Institution</t>
  </si>
  <si>
    <t>Industrial, Greenhouse, Educational Institution</t>
  </si>
  <si>
    <t>Industrial, Greenhouse, and Educational Insitution</t>
  </si>
  <si>
    <t>Industrial, Greenhouse, and Education Center</t>
  </si>
  <si>
    <t xml:space="preserve">Landscaping </t>
  </si>
  <si>
    <t>Riverwalk and Waterfront</t>
  </si>
  <si>
    <t>2 Platform Pedestrian Bridges</t>
  </si>
  <si>
    <t>Comparison with and averages taken from CoStar, JLL reports, Real Capital Analytics, CBRE reports and discussions With Cohen Financial</t>
  </si>
  <si>
    <t>Estimated from discussions with Cohen Financial, and available rates for hotels in the area, taken from tripadvisor.com and hotels.com</t>
  </si>
  <si>
    <t>Leveragaged Cash Flows</t>
  </si>
  <si>
    <t>* $2.00 PSF in Demolition and Remediation Costs</t>
  </si>
  <si>
    <t>Demolition and Remediation Costs</t>
  </si>
  <si>
    <t>Own</t>
  </si>
  <si>
    <t>Own or</t>
  </si>
  <si>
    <t>Purchase</t>
  </si>
  <si>
    <t>2018-2019</t>
  </si>
  <si>
    <t>D</t>
  </si>
  <si>
    <t>(1) All demolition costs are to occur in Year 0 (2018-2019).</t>
  </si>
  <si>
    <t>(1) Please note that these rent/sales price figures are current estimates, and that for purposes of calculating Net Operating Income, annual inflation of 2.00% was assumed.</t>
  </si>
  <si>
    <t>Reference</t>
  </si>
  <si>
    <t>Average Apartment Rent PSF</t>
  </si>
  <si>
    <t>http://www.cbc.ca/news/canada/toronto/rent-toronto-real-estate-1.4067391 (Urbanation)</t>
  </si>
  <si>
    <t>Apartment vacancy</t>
  </si>
  <si>
    <t>https://researchgateway.cbre.com/Layouts/GKCSearch/DownloadHelper.ashx</t>
  </si>
  <si>
    <t>CBRE Reports for Toronto</t>
  </si>
  <si>
    <t>Average rents from Urbanation 1Q17</t>
  </si>
  <si>
    <r>
      <t>u</t>
    </r>
    <r>
      <rPr>
        <u/>
        <sz val="10"/>
        <color theme="10"/>
        <rFont val="Arial"/>
      </rPr>
      <t>https://blog.theredpin.com/blog/a-look-into-average-price-per-square-foot-of-toronto-condos-by-neighbourhood/</t>
    </r>
  </si>
  <si>
    <t>Report by TREB for Downtown Toronto</t>
  </si>
  <si>
    <t>Average Retail Rental Rate</t>
  </si>
  <si>
    <t>Industrial Rents</t>
  </si>
  <si>
    <t>https://globenewswire.com/news-release/2017/05/03/978083/0/en/GTA-REALTORS-Release-Commercial-Market-Statistics.html</t>
  </si>
  <si>
    <t>Industrial Cap Rate</t>
  </si>
  <si>
    <t>Apartment Cap Rate</t>
  </si>
  <si>
    <t>Office Cap Rate</t>
  </si>
  <si>
    <t>Retail Cap Rate</t>
  </si>
  <si>
    <t>Average Restaurant Rent</t>
  </si>
  <si>
    <t>Average Grocery Rent</t>
  </si>
  <si>
    <t>https://www.theglobeandmail.com/news/toronto/rising-rent-is-starving-torontos-restaurateurs/article35061520/</t>
  </si>
  <si>
    <t>https://www.thebalance.com/what-it-costs-to-rent-a-building-space-2890493</t>
  </si>
  <si>
    <t>https://www.td.com/document/PDF/economics/qef/Can_CRE_Outlook2017.pdf</t>
  </si>
  <si>
    <t>From GTA Realtors, The Globe and Mail, The Balance, and Canadian Commercial Real Estate Outlook</t>
  </si>
  <si>
    <t>https://www.statista.com/statistics/323268/average-daily-rate-of-hotels-in-toronto/</t>
  </si>
  <si>
    <t>https://www.businesswire.com/news/home/20170503006378/en/Park-Hotels-Resorts-Reports-Quarter-2017-Results</t>
  </si>
  <si>
    <t>https://www.collierscanada.com/en/commercial-property-research/2017/canadian-office-industrial-markets-q1-2017#.Wl5wg66nGCg</t>
  </si>
  <si>
    <t>From GTA Realtors and Colliers Canada</t>
  </si>
  <si>
    <t>From Toronto Parking data</t>
  </si>
  <si>
    <t>https://toronto.bestparking.com/neighborhoods/moss-park-parking</t>
  </si>
  <si>
    <t>https://researchgateway.cbre.com/Layouts/GKCSearch/DownLoadPublicUrl.ashx</t>
  </si>
  <si>
    <t>http://www.parkingproperty.net/uploads/3/4/8/0/34807181/parking_facilities_-_a_tight_space_for_investment.pdf</t>
  </si>
  <si>
    <t>inflation of 2.00% was assumed.</t>
  </si>
  <si>
    <t>Affordable Rents</t>
  </si>
  <si>
    <t>https://www1.toronto.ca/wps/portal/contentonly?vgnextoid=175cb839a5909510VgnVCM10000071d60f89RCRD&amp;vgnextchannel=cf1fab2cedfb0410VgnVCM10000071d60f89RCRD</t>
  </si>
  <si>
    <t>Based on 80% of AMR and average square footage</t>
  </si>
  <si>
    <t>Block D</t>
  </si>
  <si>
    <t>Total (Block D)</t>
  </si>
  <si>
    <t>Total Demo SF</t>
  </si>
  <si>
    <t>(1) Source: RS Means Online Data</t>
  </si>
  <si>
    <t>Cap Rate (Parking Lots)</t>
  </si>
  <si>
    <t>Land Value</t>
  </si>
  <si>
    <t>file:///Users/TaraGarland/Downloads/fall-2017-report.pdf</t>
  </si>
  <si>
    <t>https://urbantoronto.ca/forum/threads/tchc-west-don-lands-affordable-housing-589-king-st-e-2x-4-8s-core-architects.10857/</t>
  </si>
  <si>
    <t>Estimated from JLL research and Business Wire</t>
  </si>
  <si>
    <t>JLL Research email</t>
  </si>
  <si>
    <t>JLL Report</t>
  </si>
  <si>
    <t>http://www.jll.ca/canada/en-ca/Research/CAN-Downtown-Toronto-Office-Insight-Q4-2017-JLL.pdf?c17c1d7f-5b31-456f-9452-cc2d1cd42135</t>
  </si>
  <si>
    <t>Total Acquired SF</t>
  </si>
  <si>
    <t>Land Owned by ToDon</t>
  </si>
  <si>
    <t>Daily Parking per spor</t>
  </si>
  <si>
    <t>https://www1.toronto.ca/City%20Of%20Toronto/Strategic%20Communications/City%20Budget/2017/Council%20approved%20budget%20notes/FINAL%20-%202017%20%20TPA%20Public%20Book%20Operating%20Program%20Summary%20.pdf</t>
  </si>
  <si>
    <t>Hotel Operating Expenses</t>
  </si>
  <si>
    <t>https://www.toronto.ca/legdocs/mmis/2016/ed/bgrd/backgroundfile-98820.pdf</t>
  </si>
  <si>
    <t xml:space="preserve">Phase II </t>
  </si>
  <si>
    <t>Blank</t>
  </si>
  <si>
    <t xml:space="preserve">Phase I </t>
  </si>
  <si>
    <t xml:space="preserve">Phase III </t>
  </si>
  <si>
    <t>Industrial Phase 1</t>
  </si>
  <si>
    <t>Industrial Phase 2</t>
  </si>
  <si>
    <t>Industrial Phase 3</t>
  </si>
  <si>
    <t>Office Operating Cost</t>
  </si>
  <si>
    <t>http://www.cbre.ca/AssetLibrary/cbre-primeofficeoccupancycosts-reportjune-2013.pdf</t>
  </si>
  <si>
    <t>Interest Expense</t>
  </si>
  <si>
    <t xml:space="preserve">Apartments </t>
  </si>
  <si>
    <t>Apartments</t>
  </si>
  <si>
    <t>Building Type</t>
  </si>
  <si>
    <t>Apartment 1-3 Story</t>
  </si>
  <si>
    <t>Apartment 4-7 Story</t>
  </si>
  <si>
    <t>Apartment 8-24 Story</t>
  </si>
  <si>
    <t>Medical Office (Green) 1 Story</t>
  </si>
  <si>
    <t>Medical Office (Green) 2 Story</t>
  </si>
  <si>
    <t>Hotel 4-7 Story</t>
  </si>
  <si>
    <t>Hotel 8-12 Story</t>
  </si>
  <si>
    <t>Office 2-4 Story (Green)</t>
  </si>
  <si>
    <t>Office 1 Story (Green)</t>
  </si>
  <si>
    <t>Office 5-10 Story (Green)</t>
  </si>
  <si>
    <t>Office 11-20 Story (Green)</t>
  </si>
  <si>
    <t>Restaurant (Green)</t>
  </si>
  <si>
    <t>Retail Store</t>
  </si>
  <si>
    <t>Supermarket (Green)</t>
  </si>
  <si>
    <t>Warehouse (Green)</t>
  </si>
  <si>
    <t>https://toronto.ctvnews.ca/toronto-has-second-largest-income-gap-among-major-canadian-cities-report-1.2597467</t>
  </si>
  <si>
    <t xml:space="preserve">Average Income </t>
  </si>
  <si>
    <t>Medical Office Cap Rate</t>
  </si>
  <si>
    <t>http://www.colliers.com/-/media/files/marketresearch/unitedstates/2017-research-reports/2017-health-care-marketplace-report-final.pdf</t>
  </si>
  <si>
    <t>Asset</t>
  </si>
  <si>
    <t>$2 PSF in Demolition Costs</t>
  </si>
  <si>
    <t>TCHC Affordable Housing</t>
  </si>
  <si>
    <t>TCHC Funding</t>
  </si>
  <si>
    <t>Team Number: 183690</t>
  </si>
  <si>
    <t>Cisterns</t>
  </si>
  <si>
    <t>Cistern Costs PSF</t>
  </si>
  <si>
    <t>Total (Cistern)</t>
  </si>
  <si>
    <t>Sidewalk/Street Costs PSF</t>
  </si>
  <si>
    <t>Retaining Wall Cost PF</t>
  </si>
  <si>
    <t>Total (Retaining Wall)</t>
  </si>
  <si>
    <t>Total (Office)</t>
  </si>
  <si>
    <t>Retaining Wall</t>
  </si>
  <si>
    <t>https://www.homeadvisor.com/cost/swimming-pools-hot-tubs-and-saunas/inground-pool/#size</t>
  </si>
  <si>
    <t>https://www.landscapingnetwork.com/walls/retaining-cost.html</t>
  </si>
  <si>
    <t>https://news.energysage.com/how-much-does-the-average-solar-panel-installation-cost-in-the-u-s/</t>
  </si>
  <si>
    <t>65% LTC Financing</t>
  </si>
  <si>
    <t>Infrastructure Ontario Grant</t>
  </si>
  <si>
    <t>Building</t>
  </si>
  <si>
    <t>J</t>
  </si>
  <si>
    <t>E</t>
  </si>
  <si>
    <t>F</t>
  </si>
  <si>
    <t>G</t>
  </si>
  <si>
    <t>H</t>
  </si>
  <si>
    <t>I</t>
  </si>
  <si>
    <t>Sqft</t>
  </si>
  <si>
    <t>Phase</t>
  </si>
  <si>
    <t>Grocery</t>
  </si>
  <si>
    <t>Venue</t>
  </si>
  <si>
    <t>Solar Panel</t>
  </si>
  <si>
    <t>http://www.infrastructureontario.ca/Loan-Program-Stats/</t>
  </si>
  <si>
    <t>Municipal Energy Grant Program</t>
  </si>
  <si>
    <t>https://www.ontario.ca/page/municipal-energy-plan-program</t>
  </si>
  <si>
    <t>Waterfront Toronto Partnership</t>
  </si>
  <si>
    <t>http://www.waterfrontoronto.ca/nbe/wcm/connect/waterfront/646462d7-17fe-4fd2-903c-1ef2b426f956/economic_impact_analysis_2001_2013_1_1.pdf?MOD=AJPERES</t>
  </si>
  <si>
    <t>15% Equity Financing</t>
  </si>
  <si>
    <t>Bridges</t>
  </si>
  <si>
    <t>Total (Bridges)</t>
  </si>
  <si>
    <t>Market Rate Rental</t>
  </si>
  <si>
    <t>Solar Panels</t>
  </si>
  <si>
    <t>Streets/Sidewalks</t>
  </si>
  <si>
    <t>Market Rate For Sale</t>
  </si>
  <si>
    <t>Affordable Rental</t>
  </si>
  <si>
    <t>Affordable for Sale</t>
  </si>
  <si>
    <t>Affordable For Sale</t>
  </si>
  <si>
    <t>Infrastructure- Landscape</t>
  </si>
  <si>
    <t>Infrastructure- Cisterns</t>
  </si>
  <si>
    <t>Total (Streets/Sidewalks)</t>
  </si>
  <si>
    <t>Infrastructure- Sidewalk/Street</t>
  </si>
  <si>
    <t>Infrastructure- Bridges</t>
  </si>
  <si>
    <t>Total (Solar Panels)</t>
  </si>
  <si>
    <t>Infrastructure- Solar Panels</t>
  </si>
  <si>
    <t>Housing</t>
  </si>
  <si>
    <t>For Sale</t>
  </si>
  <si>
    <t>For Sale Affordable</t>
  </si>
  <si>
    <t>For Sale Market</t>
  </si>
  <si>
    <t>For Rent</t>
  </si>
  <si>
    <t>For Rent Affordable</t>
  </si>
  <si>
    <t>For Rent Market</t>
  </si>
  <si>
    <t>Phase 1</t>
  </si>
  <si>
    <t>Phase 2</t>
  </si>
  <si>
    <t>Phase 3</t>
  </si>
  <si>
    <t>Infrastructure- Solar Panel</t>
  </si>
  <si>
    <t>Residential- MR Sale</t>
  </si>
  <si>
    <t>Residential- Aff Rent</t>
  </si>
  <si>
    <t>Residential- Aff Sale</t>
  </si>
  <si>
    <t>Residential- MR Rent</t>
  </si>
  <si>
    <t>Retail/Grocery</t>
  </si>
  <si>
    <t>Infrastructure- Retaining Wall</t>
  </si>
  <si>
    <t>Total (Residential - Market Rate Rental)</t>
  </si>
  <si>
    <t>Total (Residential - Affordable Rental)</t>
  </si>
  <si>
    <t>Total (Residential - Market Rate for Sale)</t>
  </si>
  <si>
    <t>Total (Residential - Affordable for Sale)</t>
  </si>
  <si>
    <t>Infrastructure- Surface Parking</t>
  </si>
  <si>
    <t>Phase III Office</t>
  </si>
  <si>
    <t>$4 PSF in Demolition Costs</t>
  </si>
  <si>
    <t>Waterfront Toronto Capital Project Cost Report</t>
  </si>
  <si>
    <t>Bridge Costs PSF</t>
  </si>
  <si>
    <t>Pedestrian Bridge</t>
  </si>
  <si>
    <t>(4) An inflation factor of 2% was included.</t>
  </si>
  <si>
    <t>* $4.00 PSF in Demolition Costs (2)</t>
  </si>
  <si>
    <t>Total Demolition Costs (1)</t>
  </si>
  <si>
    <t>(2) A demolition/remediation cost of C$4.00 per square foot.</t>
  </si>
  <si>
    <t>65% LTC Financing (1)</t>
  </si>
  <si>
    <t>(1) A 65% loan to cost (LTC) loan is assumed as the primary source of financing.</t>
  </si>
  <si>
    <t>15% Equity Financing (2)</t>
  </si>
  <si>
    <t>(2) Secondary financing in the form of a 15% equity loan is also assumed.</t>
  </si>
  <si>
    <t>TCHC Affordable Housing (3)</t>
  </si>
  <si>
    <t>Infrastructure Ontario Grant (4)</t>
  </si>
  <si>
    <t>Municipal Energy Grant Program (5)</t>
  </si>
  <si>
    <t>Waterfront Toronto Partnership (6)</t>
  </si>
  <si>
    <t>(3) Funding from the Toronto Community Housing Corporation is assumed. The value (based on a value per affordable unit) is based on precendence set with funding for the West Don Lands.</t>
  </si>
  <si>
    <t>(4) A grant from Infrastructure Ontario is assumed and the value is based on current medical building projects that Infrastructure Ontario is involved with.</t>
  </si>
  <si>
    <t>(5) A standard C$90,000 grant from the Municipal Energy Grant Program is assumed based on their qualifications for program involvement.</t>
  </si>
  <si>
    <t>(6) A partnership from Waterfront Toronto is assumed. Value is based on Waterfront Toronto partnerships with government sponsored programs.</t>
  </si>
  <si>
    <t xml:space="preserve"> Source </t>
  </si>
  <si>
    <t>ABSORPTION</t>
  </si>
  <si>
    <t>Equity Financing (2)</t>
  </si>
  <si>
    <t>*Boring under Broadview Avenue assumed to be considered demolition costs</t>
  </si>
  <si>
    <t>* All monetary values are in Canadian dollars ($C)</t>
  </si>
  <si>
    <r>
      <t xml:space="preserve">Costs PSF </t>
    </r>
    <r>
      <rPr>
        <b/>
        <vertAlign val="superscript"/>
        <sz val="12"/>
        <color theme="1"/>
        <rFont val="Arial"/>
        <family val="2"/>
      </rPr>
      <t>(1)</t>
    </r>
  </si>
  <si>
    <r>
      <t xml:space="preserve">Costs PSF </t>
    </r>
    <r>
      <rPr>
        <b/>
        <vertAlign val="superscript"/>
        <sz val="12"/>
        <color theme="1"/>
        <rFont val="Arial"/>
        <family val="2"/>
      </rPr>
      <t>(2)</t>
    </r>
  </si>
  <si>
    <r>
      <t xml:space="preserve">Contingency </t>
    </r>
    <r>
      <rPr>
        <b/>
        <vertAlign val="superscript"/>
        <sz val="12"/>
        <color theme="1"/>
        <rFont val="Arial"/>
        <family val="2"/>
      </rPr>
      <t>(3)</t>
    </r>
  </si>
  <si>
    <r>
      <t xml:space="preserve">Costs PSF </t>
    </r>
    <r>
      <rPr>
        <b/>
        <vertAlign val="superscript"/>
        <sz val="12"/>
        <color theme="1"/>
        <rFont val="Arial"/>
        <family val="2"/>
      </rPr>
      <t>(4)</t>
    </r>
  </si>
  <si>
    <r>
      <t xml:space="preserve">Used </t>
    </r>
    <r>
      <rPr>
        <b/>
        <vertAlign val="superscript"/>
        <sz val="12"/>
        <color theme="1"/>
        <rFont val="Arial"/>
        <family val="2"/>
      </rPr>
      <t>(1)</t>
    </r>
  </si>
  <si>
    <r>
      <t xml:space="preserve">Total Demolition Costs </t>
    </r>
    <r>
      <rPr>
        <b/>
        <vertAlign val="superscript"/>
        <sz val="12"/>
        <color theme="1"/>
        <rFont val="Arial"/>
        <family val="2"/>
      </rPr>
      <t>(1)</t>
    </r>
  </si>
  <si>
    <r>
      <t xml:space="preserve">Solar Panel Costs PSF </t>
    </r>
    <r>
      <rPr>
        <vertAlign val="superscript"/>
        <sz val="10"/>
        <color theme="1"/>
        <rFont val="Arial"/>
        <family val="2"/>
      </rPr>
      <t>(1)</t>
    </r>
  </si>
  <si>
    <r>
      <t xml:space="preserve">Total Demolition Costs </t>
    </r>
    <r>
      <rPr>
        <b/>
        <vertAlign val="superscript"/>
        <sz val="10"/>
        <color theme="1"/>
        <rFont val="Arial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</si>
</sst>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#,###\ &quot;Units&quot;"/>
    <numFmt numFmtId="168" formatCode="#,##0\ &quot;SF&quot;"/>
    <numFmt numFmtId="169" formatCode="#,###\ &quot;Rooms&quot;"/>
    <numFmt numFmtId="170" formatCode="_(* #,##0.0000_);_(* \(#,##0.0000\);_(* &quot;-&quot;??_);_(@_)"/>
    <numFmt numFmtId="171" formatCode="#,###\ &quot;Spaces&quot;"/>
    <numFmt numFmtId="172" formatCode="#,##0.0"/>
    <numFmt numFmtId="173" formatCode="0.00000000000%"/>
    <numFmt numFmtId="174" formatCode="&quot;$&quot;#,##0;[Red]\(&quot;$&quot;#,##0\)"/>
    <numFmt numFmtId="175" formatCode="&quot;$&quot;#,##0.0;\(&quot;$&quot;#,##0.00\)"/>
    <numFmt numFmtId="176" formatCode="&quot;$&quot;#,##0.00;\(&quot;$&quot;#,##0.00\)"/>
    <numFmt numFmtId="177" formatCode="_(* #,##0_);_(* \(#,##0\);_(* &quot;-&quot;??_);_(@_)"/>
    <numFmt numFmtId="178" formatCode="_-[$$-1009]* #,##0_-;\-[$$-1009]* #,##0_-;_-[$$-1009]* &quot;-&quot;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name val="Arial"/>
      <family val="2"/>
    </font>
    <font>
      <sz val="12"/>
      <color rgb="FF0000FF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rgb="FF008000"/>
      <name val="Arial"/>
      <family val="2"/>
    </font>
    <font>
      <b/>
      <i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theme="1"/>
      <name val="optima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</font>
    <font>
      <b/>
      <sz val="14"/>
      <color theme="0"/>
      <name val="Arial"/>
      <family val="2"/>
    </font>
    <font>
      <b/>
      <sz val="11"/>
      <name val="Arial"/>
      <family val="2"/>
    </font>
    <font>
      <u/>
      <sz val="10"/>
      <color theme="11"/>
      <name val="Arial"/>
    </font>
    <font>
      <sz val="10"/>
      <color rgb="FFD32789"/>
      <name val="Arial"/>
    </font>
    <font>
      <b/>
      <sz val="18"/>
      <color theme="0"/>
      <name val="Arial"/>
    </font>
    <font>
      <b/>
      <sz val="12"/>
      <color rgb="FFFFFFFF"/>
      <name val="Arial"/>
      <family val="2"/>
    </font>
    <font>
      <b/>
      <sz val="72"/>
      <color theme="0"/>
      <name val="Calibri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i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"/>
    </font>
    <font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278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000000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>
      <alignment horizontal="left"/>
    </xf>
    <xf numFmtId="0" fontId="19" fillId="0" borderId="0">
      <alignment horizontal="left"/>
    </xf>
    <xf numFmtId="3" fontId="20" fillId="0" borderId="0">
      <alignment horizontal="right"/>
    </xf>
    <xf numFmtId="172" fontId="20" fillId="0" borderId="0">
      <alignment horizontal="right"/>
    </xf>
    <xf numFmtId="4" fontId="20" fillId="0" borderId="0">
      <alignment horizontal="right"/>
    </xf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>
      <alignment horizontal="right"/>
    </xf>
    <xf numFmtId="175" fontId="20" fillId="0" borderId="0">
      <alignment horizontal="right"/>
    </xf>
    <xf numFmtId="176" fontId="20" fillId="0" borderId="0">
      <alignment horizontal="right"/>
    </xf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0" fillId="0" borderId="0"/>
    <xf numFmtId="1" fontId="20" fillId="0" borderId="0">
      <alignment horizontal="right"/>
    </xf>
    <xf numFmtId="9" fontId="20" fillId="0" borderId="0">
      <alignment horizontal="right"/>
    </xf>
    <xf numFmtId="164" fontId="20" fillId="0" borderId="0">
      <alignment horizontal="right"/>
    </xf>
    <xf numFmtId="10" fontId="20" fillId="0" borderId="0">
      <alignment horizontal="right"/>
    </xf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493">
    <xf numFmtId="0" fontId="0" fillId="0" borderId="0" xfId="0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/>
    <xf numFmtId="0" fontId="4" fillId="0" borderId="0" xfId="3" applyFont="1" applyFill="1" applyBorder="1" applyAlignment="1"/>
    <xf numFmtId="0" fontId="4" fillId="0" borderId="0" xfId="3" applyFont="1" applyAlignment="1">
      <alignment horizontal="center"/>
    </xf>
    <xf numFmtId="0" fontId="4" fillId="0" borderId="0" xfId="3" applyFont="1" applyBorder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 applyFill="1" applyAlignment="1">
      <alignment horizontal="center"/>
    </xf>
    <xf numFmtId="0" fontId="4" fillId="0" borderId="2" xfId="3" applyFont="1" applyBorder="1" applyAlignment="1"/>
    <xf numFmtId="0" fontId="5" fillId="2" borderId="2" xfId="3" applyFont="1" applyFill="1" applyBorder="1" applyAlignment="1">
      <alignment horizontal="center"/>
    </xf>
    <xf numFmtId="0" fontId="4" fillId="2" borderId="2" xfId="3" applyFont="1" applyFill="1" applyBorder="1" applyAlignment="1"/>
    <xf numFmtId="0" fontId="4" fillId="0" borderId="6" xfId="3" applyFont="1" applyBorder="1" applyAlignment="1">
      <alignment horizontal="center"/>
    </xf>
    <xf numFmtId="0" fontId="4" fillId="0" borderId="6" xfId="3" applyFont="1" applyFill="1" applyBorder="1" applyAlignment="1"/>
    <xf numFmtId="0" fontId="4" fillId="0" borderId="0" xfId="3" applyFont="1" applyAlignment="1"/>
    <xf numFmtId="0" fontId="5" fillId="2" borderId="1" xfId="3" applyFont="1" applyFill="1" applyBorder="1" applyAlignment="1"/>
    <xf numFmtId="0" fontId="5" fillId="2" borderId="2" xfId="3" applyFont="1" applyFill="1" applyBorder="1" applyAlignment="1"/>
    <xf numFmtId="0" fontId="4" fillId="2" borderId="3" xfId="3" applyFont="1" applyFill="1" applyBorder="1" applyAlignment="1"/>
    <xf numFmtId="0" fontId="5" fillId="0" borderId="0" xfId="3" applyFont="1" applyBorder="1" applyAlignment="1"/>
    <xf numFmtId="0" fontId="5" fillId="0" borderId="0" xfId="3" applyFont="1" applyFill="1" applyBorder="1" applyAlignment="1"/>
    <xf numFmtId="0" fontId="4" fillId="0" borderId="0" xfId="3" applyFont="1" applyFill="1" applyAlignment="1"/>
    <xf numFmtId="0" fontId="5" fillId="2" borderId="1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left"/>
    </xf>
    <xf numFmtId="0" fontId="5" fillId="0" borderId="6" xfId="3" applyFont="1" applyBorder="1" applyAlignment="1"/>
    <xf numFmtId="0" fontId="5" fillId="0" borderId="8" xfId="3" applyFont="1" applyFill="1" applyBorder="1" applyAlignment="1"/>
    <xf numFmtId="0" fontId="4" fillId="0" borderId="4" xfId="3" applyFont="1" applyFill="1" applyBorder="1" applyAlignment="1"/>
    <xf numFmtId="0" fontId="4" fillId="0" borderId="1" xfId="3" applyFont="1" applyBorder="1" applyAlignment="1"/>
    <xf numFmtId="0" fontId="5" fillId="0" borderId="1" xfId="3" applyFont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0" borderId="10" xfId="3" applyFont="1" applyBorder="1" applyAlignment="1"/>
    <xf numFmtId="0" fontId="5" fillId="0" borderId="12" xfId="3" applyFont="1" applyBorder="1" applyAlignment="1"/>
    <xf numFmtId="0" fontId="2" fillId="3" borderId="0" xfId="0" applyFont="1" applyFill="1"/>
    <xf numFmtId="0" fontId="6" fillId="3" borderId="2" xfId="3" applyFont="1" applyFill="1" applyBorder="1" applyAlignment="1">
      <alignment horizontal="centerContinuous"/>
    </xf>
    <xf numFmtId="0" fontId="2" fillId="3" borderId="2" xfId="3" applyFont="1" applyFill="1" applyBorder="1" applyAlignment="1">
      <alignment horizontal="centerContinuous"/>
    </xf>
    <xf numFmtId="0" fontId="2" fillId="3" borderId="3" xfId="3" applyFont="1" applyFill="1" applyBorder="1" applyAlignment="1">
      <alignment horizontal="centerContinuous"/>
    </xf>
    <xf numFmtId="0" fontId="6" fillId="3" borderId="1" xfId="3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Continuous"/>
    </xf>
    <xf numFmtId="0" fontId="11" fillId="4" borderId="4" xfId="0" applyFont="1" applyFill="1" applyBorder="1" applyAlignment="1">
      <alignment horizontal="centerContinuous"/>
    </xf>
    <xf numFmtId="0" fontId="11" fillId="4" borderId="9" xfId="0" applyFont="1" applyFill="1" applyBorder="1" applyAlignment="1">
      <alignment horizontal="centerContinuous"/>
    </xf>
    <xf numFmtId="0" fontId="11" fillId="4" borderId="12" xfId="0" applyFont="1" applyFill="1" applyBorder="1" applyAlignment="1">
      <alignment horizontal="centerContinuous"/>
    </xf>
    <xf numFmtId="0" fontId="11" fillId="4" borderId="6" xfId="0" applyFont="1" applyFill="1" applyBorder="1" applyAlignment="1">
      <alignment horizontal="centerContinuous"/>
    </xf>
    <xf numFmtId="0" fontId="11" fillId="4" borderId="7" xfId="0" applyFont="1" applyFill="1" applyBorder="1" applyAlignment="1">
      <alignment horizontal="centerContinuous"/>
    </xf>
    <xf numFmtId="0" fontId="6" fillId="3" borderId="0" xfId="0" applyFont="1" applyFill="1"/>
    <xf numFmtId="0" fontId="2" fillId="3" borderId="0" xfId="0" applyFont="1" applyFill="1" applyAlignment="1">
      <alignment horizontal="center"/>
    </xf>
    <xf numFmtId="0" fontId="8" fillId="3" borderId="10" xfId="0" applyFont="1" applyFill="1" applyBorder="1"/>
    <xf numFmtId="0" fontId="2" fillId="3" borderId="1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/>
    <xf numFmtId="0" fontId="6" fillId="3" borderId="1" xfId="0" applyFont="1" applyFill="1" applyBorder="1"/>
    <xf numFmtId="0" fontId="6" fillId="3" borderId="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3" borderId="6" xfId="3" applyFont="1" applyFill="1" applyBorder="1" applyAlignment="1">
      <alignment horizontal="center"/>
    </xf>
    <xf numFmtId="0" fontId="6" fillId="3" borderId="12" xfId="3" applyFont="1" applyFill="1" applyBorder="1" applyAlignment="1">
      <alignment horizontal="center"/>
    </xf>
    <xf numFmtId="0" fontId="6" fillId="3" borderId="7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centerContinuous"/>
    </xf>
    <xf numFmtId="0" fontId="7" fillId="3" borderId="2" xfId="3" applyFont="1" applyFill="1" applyBorder="1" applyAlignment="1">
      <alignment horizontal="centerContinuous"/>
    </xf>
    <xf numFmtId="9" fontId="2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6" fillId="3" borderId="10" xfId="0" applyFont="1" applyFill="1" applyBorder="1"/>
    <xf numFmtId="0" fontId="6" fillId="3" borderId="12" xfId="0" applyFont="1" applyFill="1" applyBorder="1"/>
    <xf numFmtId="9" fontId="2" fillId="3" borderId="6" xfId="0" applyNumberFormat="1" applyFont="1" applyFill="1" applyBorder="1" applyAlignment="1">
      <alignment horizontal="center"/>
    </xf>
    <xf numFmtId="10" fontId="12" fillId="3" borderId="0" xfId="0" applyNumberFormat="1" applyFont="1" applyFill="1" applyBorder="1" applyAlignment="1">
      <alignment horizontal="center"/>
    </xf>
    <xf numFmtId="0" fontId="2" fillId="3" borderId="8" xfId="0" applyFont="1" applyFill="1" applyBorder="1"/>
    <xf numFmtId="44" fontId="11" fillId="4" borderId="1" xfId="0" applyNumberFormat="1" applyFont="1" applyFill="1" applyBorder="1" applyAlignment="1">
      <alignment horizontal="centerContinuous"/>
    </xf>
    <xf numFmtId="44" fontId="13" fillId="4" borderId="3" xfId="0" applyNumberFormat="1" applyFont="1" applyFill="1" applyBorder="1" applyAlignment="1">
      <alignment horizontal="centerContinuous"/>
    </xf>
    <xf numFmtId="2" fontId="2" fillId="3" borderId="10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/>
    </xf>
    <xf numFmtId="42" fontId="2" fillId="3" borderId="16" xfId="0" applyNumberFormat="1" applyFont="1" applyFill="1" applyBorder="1" applyAlignment="1">
      <alignment horizontal="center"/>
    </xf>
    <xf numFmtId="41" fontId="2" fillId="3" borderId="16" xfId="0" applyNumberFormat="1" applyFont="1" applyFill="1" applyBorder="1" applyAlignment="1">
      <alignment horizontal="center"/>
    </xf>
    <xf numFmtId="41" fontId="12" fillId="3" borderId="16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"/>
    </xf>
    <xf numFmtId="42" fontId="15" fillId="3" borderId="16" xfId="0" applyNumberFormat="1" applyFont="1" applyFill="1" applyBorder="1" applyAlignment="1">
      <alignment horizontal="center"/>
    </xf>
    <xf numFmtId="41" fontId="15" fillId="3" borderId="18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center"/>
    </xf>
    <xf numFmtId="10" fontId="2" fillId="3" borderId="0" xfId="4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6" fillId="2" borderId="1" xfId="0" applyFont="1" applyFill="1" applyBorder="1"/>
    <xf numFmtId="44" fontId="2" fillId="3" borderId="0" xfId="0" applyNumberFormat="1" applyFont="1" applyFill="1" applyBorder="1" applyAlignment="1">
      <alignment horizontal="right"/>
    </xf>
    <xf numFmtId="44" fontId="2" fillId="3" borderId="1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0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right"/>
    </xf>
    <xf numFmtId="10" fontId="12" fillId="3" borderId="11" xfId="0" applyNumberFormat="1" applyFont="1" applyFill="1" applyBorder="1" applyAlignment="1">
      <alignment horizontal="center"/>
    </xf>
    <xf numFmtId="10" fontId="12" fillId="3" borderId="10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center"/>
    </xf>
    <xf numFmtId="42" fontId="2" fillId="3" borderId="0" xfId="0" applyNumberFormat="1" applyFont="1" applyFill="1" applyBorder="1" applyAlignment="1">
      <alignment horizontal="right"/>
    </xf>
    <xf numFmtId="41" fontId="2" fillId="3" borderId="5" xfId="0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left"/>
    </xf>
    <xf numFmtId="41" fontId="2" fillId="3" borderId="14" xfId="0" applyNumberFormat="1" applyFont="1" applyFill="1" applyBorder="1" applyAlignment="1">
      <alignment horizontal="center"/>
    </xf>
    <xf numFmtId="42" fontId="6" fillId="3" borderId="6" xfId="0" applyNumberFormat="1" applyFont="1" applyFill="1" applyBorder="1" applyAlignment="1">
      <alignment horizontal="center"/>
    </xf>
    <xf numFmtId="42" fontId="6" fillId="3" borderId="7" xfId="0" applyNumberFormat="1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41" fontId="15" fillId="3" borderId="5" xfId="0" applyNumberFormat="1" applyFont="1" applyFill="1" applyBorder="1" applyAlignment="1">
      <alignment horizontal="right"/>
    </xf>
    <xf numFmtId="10" fontId="2" fillId="3" borderId="11" xfId="4" applyNumberFormat="1" applyFont="1" applyFill="1" applyBorder="1" applyAlignment="1">
      <alignment horizontal="center"/>
    </xf>
    <xf numFmtId="42" fontId="2" fillId="3" borderId="11" xfId="0" applyNumberFormat="1" applyFont="1" applyFill="1" applyBorder="1" applyAlignment="1">
      <alignment horizontal="center"/>
    </xf>
    <xf numFmtId="41" fontId="15" fillId="3" borderId="1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2" fontId="2" fillId="3" borderId="8" xfId="0" applyNumberFormat="1" applyFont="1" applyFill="1" applyBorder="1" applyAlignment="1">
      <alignment horizontal="right"/>
    </xf>
    <xf numFmtId="42" fontId="2" fillId="3" borderId="4" xfId="0" applyNumberFormat="1" applyFont="1" applyFill="1" applyBorder="1" applyAlignment="1">
      <alignment horizontal="right"/>
    </xf>
    <xf numFmtId="42" fontId="2" fillId="3" borderId="9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right"/>
    </xf>
    <xf numFmtId="41" fontId="2" fillId="3" borderId="11" xfId="0" applyNumberFormat="1" applyFont="1" applyFill="1" applyBorder="1" applyAlignment="1">
      <alignment horizontal="right"/>
    </xf>
    <xf numFmtId="41" fontId="2" fillId="3" borderId="1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6" xfId="4" applyNumberFormat="1" applyFont="1" applyFill="1" applyBorder="1" applyAlignment="1">
      <alignment horizontal="center"/>
    </xf>
    <xf numFmtId="10" fontId="2" fillId="3" borderId="10" xfId="4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center"/>
    </xf>
    <xf numFmtId="41" fontId="15" fillId="3" borderId="13" xfId="0" applyNumberFormat="1" applyFont="1" applyFill="1" applyBorder="1" applyAlignment="1">
      <alignment horizontal="right"/>
    </xf>
    <xf numFmtId="42" fontId="6" fillId="3" borderId="17" xfId="0" applyNumberFormat="1" applyFont="1" applyFill="1" applyBorder="1" applyAlignment="1">
      <alignment horizontal="center"/>
    </xf>
    <xf numFmtId="42" fontId="6" fillId="3" borderId="12" xfId="0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right"/>
    </xf>
    <xf numFmtId="41" fontId="2" fillId="3" borderId="18" xfId="0" applyNumberFormat="1" applyFont="1" applyFill="1" applyBorder="1" applyAlignment="1">
      <alignment horizontal="center"/>
    </xf>
    <xf numFmtId="41" fontId="2" fillId="3" borderId="13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10" fontId="6" fillId="3" borderId="15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right"/>
    </xf>
    <xf numFmtId="44" fontId="2" fillId="3" borderId="7" xfId="0" applyNumberFormat="1" applyFont="1" applyFill="1" applyBorder="1" applyAlignment="1">
      <alignment horizontal="right"/>
    </xf>
    <xf numFmtId="0" fontId="14" fillId="3" borderId="1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3" borderId="10" xfId="0" applyNumberFormat="1" applyFont="1" applyFill="1" applyBorder="1" applyAlignment="1">
      <alignment horizontal="center"/>
    </xf>
    <xf numFmtId="44" fontId="12" fillId="3" borderId="12" xfId="0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center"/>
    </xf>
    <xf numFmtId="42" fontId="15" fillId="3" borderId="10" xfId="0" applyNumberFormat="1" applyFont="1" applyFill="1" applyBorder="1" applyAlignment="1">
      <alignment horizontal="right"/>
    </xf>
    <xf numFmtId="42" fontId="15" fillId="3" borderId="0" xfId="0" applyNumberFormat="1" applyFont="1" applyFill="1" applyBorder="1" applyAlignment="1">
      <alignment horizontal="right"/>
    </xf>
    <xf numFmtId="42" fontId="15" fillId="3" borderId="11" xfId="0" applyNumberFormat="1" applyFont="1" applyFill="1" applyBorder="1" applyAlignment="1">
      <alignment horizontal="right"/>
    </xf>
    <xf numFmtId="0" fontId="8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3" fontId="12" fillId="3" borderId="10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5" fillId="3" borderId="1" xfId="3" applyFont="1" applyFill="1" applyBorder="1" applyAlignment="1">
      <alignment horizontal="centerContinuous"/>
    </xf>
    <xf numFmtId="0" fontId="4" fillId="3" borderId="3" xfId="3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5" fillId="3" borderId="2" xfId="3" applyFont="1" applyFill="1" applyBorder="1" applyAlignment="1">
      <alignment horizontal="centerContinuous"/>
    </xf>
    <xf numFmtId="0" fontId="4" fillId="3" borderId="2" xfId="3" applyFont="1" applyFill="1" applyBorder="1" applyAlignment="1">
      <alignment horizontal="centerContinuous"/>
    </xf>
    <xf numFmtId="0" fontId="14" fillId="3" borderId="1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0" fontId="6" fillId="3" borderId="11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14" fillId="3" borderId="8" xfId="3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0" fontId="12" fillId="3" borderId="11" xfId="0" applyNumberFormat="1" applyFont="1" applyFill="1" applyBorder="1" applyAlignment="1">
      <alignment horizontal="right"/>
    </xf>
    <xf numFmtId="9" fontId="2" fillId="3" borderId="5" xfId="0" applyNumberFormat="1" applyFont="1" applyFill="1" applyBorder="1" applyAlignment="1">
      <alignment horizontal="center" wrapText="1"/>
    </xf>
    <xf numFmtId="41" fontId="2" fillId="3" borderId="5" xfId="0" applyNumberFormat="1" applyFont="1" applyFill="1" applyBorder="1" applyAlignment="1">
      <alignment horizontal="right" wrapText="1"/>
    </xf>
    <xf numFmtId="41" fontId="2" fillId="3" borderId="18" xfId="0" applyNumberFormat="1" applyFont="1" applyFill="1" applyBorder="1" applyAlignment="1">
      <alignment horizontal="center" wrapText="1"/>
    </xf>
    <xf numFmtId="41" fontId="2" fillId="3" borderId="13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2" fontId="6" fillId="3" borderId="19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3" borderId="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44" fontId="12" fillId="3" borderId="0" xfId="2" applyNumberFormat="1" applyFont="1" applyFill="1" applyBorder="1" applyAlignment="1">
      <alignment horizontal="center"/>
    </xf>
    <xf numFmtId="44" fontId="2" fillId="3" borderId="0" xfId="2" applyNumberFormat="1" applyFont="1" applyFill="1" applyBorder="1" applyAlignment="1">
      <alignment horizontal="center"/>
    </xf>
    <xf numFmtId="44" fontId="2" fillId="3" borderId="0" xfId="2" applyNumberFormat="1" applyFont="1" applyFill="1" applyBorder="1"/>
    <xf numFmtId="44" fontId="6" fillId="3" borderId="16" xfId="2" applyNumberFormat="1" applyFont="1" applyFill="1" applyBorder="1"/>
    <xf numFmtId="43" fontId="12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 applyAlignment="1">
      <alignment horizontal="center"/>
    </xf>
    <xf numFmtId="43" fontId="2" fillId="3" borderId="0" xfId="2" applyNumberFormat="1" applyFont="1" applyFill="1" applyBorder="1"/>
    <xf numFmtId="43" fontId="6" fillId="3" borderId="16" xfId="2" applyNumberFormat="1" applyFont="1" applyFill="1" applyBorder="1"/>
    <xf numFmtId="170" fontId="2" fillId="3" borderId="0" xfId="0" applyNumberFormat="1" applyFont="1" applyFill="1"/>
    <xf numFmtId="43" fontId="12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 applyAlignment="1">
      <alignment horizontal="center"/>
    </xf>
    <xf numFmtId="43" fontId="2" fillId="3" borderId="6" xfId="2" applyNumberFormat="1" applyFont="1" applyFill="1" applyBorder="1"/>
    <xf numFmtId="43" fontId="6" fillId="3" borderId="17" xfId="2" applyNumberFormat="1" applyFont="1" applyFill="1" applyBorder="1"/>
    <xf numFmtId="0" fontId="2" fillId="4" borderId="9" xfId="0" applyFont="1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10" fontId="12" fillId="3" borderId="11" xfId="0" applyNumberFormat="1" applyFont="1" applyFill="1" applyBorder="1" applyAlignment="1"/>
    <xf numFmtId="10" fontId="12" fillId="3" borderId="7" xfId="0" applyNumberFormat="1" applyFont="1" applyFill="1" applyBorder="1" applyAlignment="1"/>
    <xf numFmtId="44" fontId="12" fillId="3" borderId="11" xfId="0" applyNumberFormat="1" applyFont="1" applyFill="1" applyBorder="1"/>
    <xf numFmtId="43" fontId="12" fillId="3" borderId="11" xfId="0" applyNumberFormat="1" applyFont="1" applyFill="1" applyBorder="1"/>
    <xf numFmtId="43" fontId="12" fillId="3" borderId="7" xfId="0" applyNumberFormat="1" applyFont="1" applyFill="1" applyBorder="1"/>
    <xf numFmtId="41" fontId="2" fillId="3" borderId="12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right"/>
    </xf>
    <xf numFmtId="41" fontId="2" fillId="3" borderId="6" xfId="0" applyNumberFormat="1" applyFont="1" applyFill="1" applyBorder="1" applyAlignment="1">
      <alignment horizontal="right"/>
    </xf>
    <xf numFmtId="41" fontId="2" fillId="3" borderId="7" xfId="0" applyNumberFormat="1" applyFont="1" applyFill="1" applyBorder="1" applyAlignment="1">
      <alignment horizontal="right"/>
    </xf>
    <xf numFmtId="42" fontId="2" fillId="3" borderId="8" xfId="0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42" fontId="2" fillId="3" borderId="4" xfId="0" applyNumberFormat="1" applyFont="1" applyFill="1" applyBorder="1" applyAlignment="1">
      <alignment horizontal="center"/>
    </xf>
    <xf numFmtId="42" fontId="2" fillId="3" borderId="9" xfId="0" applyNumberFormat="1" applyFont="1" applyFill="1" applyBorder="1" applyAlignment="1">
      <alignment horizontal="center"/>
    </xf>
    <xf numFmtId="0" fontId="5" fillId="0" borderId="12" xfId="3" applyFont="1" applyFill="1" applyBorder="1" applyAlignment="1"/>
    <xf numFmtId="0" fontId="5" fillId="3" borderId="4" xfId="3" applyFont="1" applyFill="1" applyBorder="1" applyAlignment="1"/>
    <xf numFmtId="0" fontId="5" fillId="3" borderId="4" xfId="3" applyFont="1" applyFill="1" applyBorder="1" applyAlignment="1">
      <alignment horizontal="right"/>
    </xf>
    <xf numFmtId="3" fontId="5" fillId="3" borderId="4" xfId="3" applyNumberFormat="1" applyFont="1" applyFill="1" applyBorder="1" applyAlignment="1">
      <alignment horizontal="center"/>
    </xf>
    <xf numFmtId="41" fontId="4" fillId="0" borderId="0" xfId="3" applyNumberFormat="1" applyFont="1" applyAlignment="1"/>
    <xf numFmtId="42" fontId="5" fillId="0" borderId="9" xfId="3" applyNumberFormat="1" applyFont="1" applyFill="1" applyBorder="1" applyAlignment="1"/>
    <xf numFmtId="41" fontId="5" fillId="0" borderId="7" xfId="3" applyNumberFormat="1" applyFont="1" applyFill="1" applyBorder="1" applyAlignment="1"/>
    <xf numFmtId="42" fontId="5" fillId="0" borderId="0" xfId="3" applyNumberFormat="1" applyFont="1" applyBorder="1" applyAlignment="1"/>
    <xf numFmtId="0" fontId="5" fillId="3" borderId="4" xfId="3" applyFont="1" applyFill="1" applyBorder="1" applyAlignment="1">
      <alignment horizontal="left"/>
    </xf>
    <xf numFmtId="0" fontId="5" fillId="0" borderId="6" xfId="3" applyFont="1" applyFill="1" applyBorder="1" applyAlignment="1"/>
    <xf numFmtId="0" fontId="5" fillId="2" borderId="3" xfId="3" applyFont="1" applyFill="1" applyBorder="1" applyAlignment="1">
      <alignment horizontal="center"/>
    </xf>
    <xf numFmtId="0" fontId="5" fillId="3" borderId="2" xfId="3" applyFont="1" applyFill="1" applyBorder="1" applyAlignment="1">
      <alignment wrapText="1"/>
    </xf>
    <xf numFmtId="0" fontId="5" fillId="3" borderId="1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  <xf numFmtId="0" fontId="16" fillId="3" borderId="10" xfId="3" applyFont="1" applyFill="1" applyBorder="1" applyAlignment="1"/>
    <xf numFmtId="0" fontId="5" fillId="3" borderId="0" xfId="3" applyFont="1" applyFill="1" applyBorder="1" applyAlignment="1"/>
    <xf numFmtId="0" fontId="4" fillId="3" borderId="0" xfId="3" applyFont="1" applyFill="1" applyBorder="1" applyAlignment="1"/>
    <xf numFmtId="0" fontId="4" fillId="3" borderId="10" xfId="3" applyFont="1" applyFill="1" applyBorder="1" applyAlignment="1"/>
    <xf numFmtId="0" fontId="4" fillId="3" borderId="16" xfId="3" applyFont="1" applyFill="1" applyBorder="1" applyAlignment="1">
      <alignment horizontal="right"/>
    </xf>
    <xf numFmtId="10" fontId="4" fillId="3" borderId="16" xfId="4" applyNumberFormat="1" applyFont="1" applyFill="1" applyBorder="1" applyAlignment="1">
      <alignment horizontal="center"/>
    </xf>
    <xf numFmtId="0" fontId="4" fillId="3" borderId="5" xfId="3" applyFont="1" applyFill="1" applyBorder="1" applyAlignment="1"/>
    <xf numFmtId="0" fontId="5" fillId="3" borderId="12" xfId="3" applyFont="1" applyFill="1" applyBorder="1" applyAlignment="1"/>
    <xf numFmtId="0" fontId="5" fillId="3" borderId="6" xfId="3" applyFont="1" applyFill="1" applyBorder="1" applyAlignment="1"/>
    <xf numFmtId="42" fontId="5" fillId="3" borderId="12" xfId="3" applyNumberFormat="1" applyFont="1" applyFill="1" applyBorder="1" applyAlignment="1"/>
    <xf numFmtId="10" fontId="5" fillId="3" borderId="17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 wrapText="1"/>
    </xf>
    <xf numFmtId="0" fontId="4" fillId="3" borderId="2" xfId="3" applyFont="1" applyFill="1" applyBorder="1" applyAlignment="1">
      <alignment wrapText="1"/>
    </xf>
    <xf numFmtId="0" fontId="4" fillId="3" borderId="10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right"/>
    </xf>
    <xf numFmtId="41" fontId="4" fillId="3" borderId="16" xfId="3" applyNumberFormat="1" applyFont="1" applyFill="1" applyBorder="1" applyAlignment="1"/>
    <xf numFmtId="0" fontId="5" fillId="3" borderId="2" xfId="3" applyFont="1" applyFill="1" applyBorder="1" applyAlignment="1"/>
    <xf numFmtId="0" fontId="4" fillId="3" borderId="3" xfId="3" applyFont="1" applyFill="1" applyBorder="1" applyAlignment="1"/>
    <xf numFmtId="42" fontId="4" fillId="3" borderId="10" xfId="3" applyNumberFormat="1" applyFont="1" applyFill="1" applyBorder="1" applyAlignment="1"/>
    <xf numFmtId="41" fontId="4" fillId="3" borderId="10" xfId="3" applyNumberFormat="1" applyFont="1" applyFill="1" applyBorder="1" applyAlignment="1"/>
    <xf numFmtId="0" fontId="4" fillId="3" borderId="13" xfId="3" applyFont="1" applyFill="1" applyBorder="1" applyAlignment="1">
      <alignment horizontal="left"/>
    </xf>
    <xf numFmtId="0" fontId="4" fillId="3" borderId="5" xfId="3" applyFont="1" applyFill="1" applyBorder="1" applyAlignment="1">
      <alignment horizontal="right"/>
    </xf>
    <xf numFmtId="0" fontId="5" fillId="3" borderId="10" xfId="3" applyFont="1" applyFill="1" applyBorder="1" applyAlignment="1">
      <alignment horizontal="left"/>
    </xf>
    <xf numFmtId="0" fontId="5" fillId="3" borderId="0" xfId="3" applyFont="1" applyFill="1" applyBorder="1" applyAlignment="1">
      <alignment horizontal="right"/>
    </xf>
    <xf numFmtId="42" fontId="5" fillId="3" borderId="19" xfId="3" applyNumberFormat="1" applyFont="1" applyFill="1" applyBorder="1" applyAlignment="1"/>
    <xf numFmtId="0" fontId="5" fillId="3" borderId="2" xfId="3" applyFont="1" applyFill="1" applyBorder="1" applyAlignment="1">
      <alignment horizontal="right"/>
    </xf>
    <xf numFmtId="42" fontId="5" fillId="3" borderId="15" xfId="3" applyNumberFormat="1" applyFont="1" applyFill="1" applyBorder="1" applyAlignment="1"/>
    <xf numFmtId="0" fontId="5" fillId="3" borderId="12" xfId="3" applyFont="1" applyFill="1" applyBorder="1" applyAlignment="1">
      <alignment horizontal="left"/>
    </xf>
    <xf numFmtId="0" fontId="5" fillId="3" borderId="6" xfId="3" applyFont="1" applyFill="1" applyBorder="1" applyAlignment="1">
      <alignment horizontal="right"/>
    </xf>
    <xf numFmtId="3" fontId="5" fillId="3" borderId="6" xfId="3" applyNumberFormat="1" applyFont="1" applyFill="1" applyBorder="1" applyAlignment="1">
      <alignment horizontal="center"/>
    </xf>
    <xf numFmtId="3" fontId="5" fillId="3" borderId="12" xfId="3" applyNumberFormat="1" applyFont="1" applyFill="1" applyBorder="1" applyAlignment="1">
      <alignment horizontal="center"/>
    </xf>
    <xf numFmtId="3" fontId="5" fillId="3" borderId="7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3" fontId="4" fillId="3" borderId="0" xfId="3" applyNumberFormat="1" applyFont="1" applyFill="1" applyBorder="1" applyAlignment="1">
      <alignment horizontal="center"/>
    </xf>
    <xf numFmtId="3" fontId="4" fillId="3" borderId="10" xfId="3" applyNumberFormat="1" applyFont="1" applyFill="1" applyBorder="1" applyAlignment="1">
      <alignment horizontal="center"/>
    </xf>
    <xf numFmtId="3" fontId="4" fillId="3" borderId="11" xfId="3" applyNumberFormat="1" applyFont="1" applyFill="1" applyBorder="1" applyAlignment="1">
      <alignment horizontal="center"/>
    </xf>
    <xf numFmtId="0" fontId="4" fillId="3" borderId="8" xfId="3" applyFont="1" applyFill="1" applyBorder="1" applyAlignment="1">
      <alignment horizontal="left"/>
    </xf>
    <xf numFmtId="0" fontId="4" fillId="3" borderId="4" xfId="3" applyFont="1" applyFill="1" applyBorder="1" applyAlignment="1"/>
    <xf numFmtId="42" fontId="4" fillId="3" borderId="11" xfId="3" applyNumberFormat="1" applyFont="1" applyFill="1" applyBorder="1" applyAlignment="1">
      <alignment horizontal="center"/>
    </xf>
    <xf numFmtId="42" fontId="4" fillId="3" borderId="0" xfId="3" applyNumberFormat="1" applyFont="1" applyFill="1" applyBorder="1" applyAlignment="1"/>
    <xf numFmtId="42" fontId="4" fillId="3" borderId="11" xfId="3" applyNumberFormat="1" applyFont="1" applyFill="1" applyBorder="1" applyAlignment="1"/>
    <xf numFmtId="41" fontId="4" fillId="3" borderId="11" xfId="3" applyNumberFormat="1" applyFont="1" applyFill="1" applyBorder="1" applyAlignment="1">
      <alignment horizontal="center"/>
    </xf>
    <xf numFmtId="41" fontId="4" fillId="3" borderId="0" xfId="3" applyNumberFormat="1" applyFont="1" applyFill="1" applyBorder="1" applyAlignment="1"/>
    <xf numFmtId="41" fontId="4" fillId="3" borderId="11" xfId="3" applyNumberFormat="1" applyFont="1" applyFill="1" applyBorder="1" applyAlignment="1"/>
    <xf numFmtId="41" fontId="5" fillId="3" borderId="0" xfId="3" applyNumberFormat="1" applyFont="1" applyFill="1" applyBorder="1" applyAlignment="1">
      <alignment horizontal="right"/>
    </xf>
    <xf numFmtId="41" fontId="5" fillId="3" borderId="0" xfId="4" applyNumberFormat="1" applyFont="1" applyFill="1" applyBorder="1" applyAlignment="1">
      <alignment horizontal="center"/>
    </xf>
    <xf numFmtId="41" fontId="4" fillId="3" borderId="14" xfId="3" applyNumberFormat="1" applyFont="1" applyFill="1" applyBorder="1" applyAlignment="1">
      <alignment horizontal="center"/>
    </xf>
    <xf numFmtId="41" fontId="4" fillId="3" borderId="13" xfId="3" applyNumberFormat="1" applyFont="1" applyFill="1" applyBorder="1" applyAlignment="1"/>
    <xf numFmtId="41" fontId="4" fillId="3" borderId="5" xfId="3" applyNumberFormat="1" applyFont="1" applyFill="1" applyBorder="1" applyAlignment="1"/>
    <xf numFmtId="41" fontId="4" fillId="3" borderId="14" xfId="3" applyNumberFormat="1" applyFont="1" applyFill="1" applyBorder="1" applyAlignment="1"/>
    <xf numFmtId="42" fontId="5" fillId="3" borderId="11" xfId="3" applyNumberFormat="1" applyFont="1" applyFill="1" applyBorder="1" applyAlignment="1">
      <alignment horizontal="center"/>
    </xf>
    <xf numFmtId="42" fontId="5" fillId="3" borderId="10" xfId="3" applyNumberFormat="1" applyFont="1" applyFill="1" applyBorder="1" applyAlignment="1">
      <alignment horizontal="center"/>
    </xf>
    <xf numFmtId="42" fontId="5" fillId="3" borderId="0" xfId="3" applyNumberFormat="1" applyFont="1" applyFill="1" applyBorder="1" applyAlignment="1">
      <alignment horizontal="center"/>
    </xf>
    <xf numFmtId="0" fontId="4" fillId="3" borderId="12" xfId="3" applyFont="1" applyFill="1" applyBorder="1" applyAlignment="1">
      <alignment horizontal="left"/>
    </xf>
    <xf numFmtId="0" fontId="4" fillId="3" borderId="5" xfId="3" applyFont="1" applyFill="1" applyBorder="1" applyAlignment="1">
      <alignment horizontal="left"/>
    </xf>
    <xf numFmtId="42" fontId="5" fillId="3" borderId="0" xfId="3" applyNumberFormat="1" applyFont="1" applyFill="1" applyBorder="1" applyAlignment="1"/>
    <xf numFmtId="42" fontId="5" fillId="3" borderId="11" xfId="3" applyNumberFormat="1" applyFont="1" applyFill="1" applyBorder="1" applyAlignment="1"/>
    <xf numFmtId="42" fontId="5" fillId="3" borderId="6" xfId="3" applyNumberFormat="1" applyFont="1" applyFill="1" applyBorder="1" applyAlignment="1">
      <alignment horizontal="center"/>
    </xf>
    <xf numFmtId="42" fontId="5" fillId="3" borderId="6" xfId="3" applyNumberFormat="1" applyFont="1" applyFill="1" applyBorder="1" applyAlignment="1"/>
    <xf numFmtId="42" fontId="5" fillId="3" borderId="7" xfId="3" applyNumberFormat="1" applyFont="1" applyFill="1" applyBorder="1" applyAlignment="1"/>
    <xf numFmtId="0" fontId="5" fillId="0" borderId="4" xfId="3" applyFont="1" applyBorder="1" applyAlignment="1">
      <alignment horizontal="left"/>
    </xf>
    <xf numFmtId="0" fontId="5" fillId="0" borderId="4" xfId="3" applyFont="1" applyBorder="1" applyAlignment="1">
      <alignment horizontal="right"/>
    </xf>
    <xf numFmtId="0" fontId="4" fillId="0" borderId="4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4" fillId="0" borderId="6" xfId="3" applyFont="1" applyBorder="1" applyAlignment="1"/>
    <xf numFmtId="0" fontId="4" fillId="0" borderId="0" xfId="3" applyFont="1" applyBorder="1" applyAlignment="1">
      <alignment horizontal="left"/>
    </xf>
    <xf numFmtId="42" fontId="4" fillId="0" borderId="0" xfId="3" applyNumberFormat="1" applyFont="1" applyBorder="1" applyAlignment="1"/>
    <xf numFmtId="0" fontId="4" fillId="0" borderId="8" xfId="3" applyFont="1" applyBorder="1" applyAlignment="1"/>
    <xf numFmtId="0" fontId="4" fillId="0" borderId="4" xfId="3" applyFont="1" applyBorder="1" applyAlignment="1"/>
    <xf numFmtId="0" fontId="5" fillId="0" borderId="4" xfId="3" applyFont="1" applyBorder="1" applyAlignment="1">
      <alignment horizontal="center"/>
    </xf>
    <xf numFmtId="0" fontId="4" fillId="3" borderId="8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4" fillId="0" borderId="12" xfId="3" applyFont="1" applyBorder="1" applyAlignment="1"/>
    <xf numFmtId="44" fontId="4" fillId="0" borderId="16" xfId="3" applyNumberFormat="1" applyFont="1" applyBorder="1" applyAlignment="1"/>
    <xf numFmtId="43" fontId="4" fillId="0" borderId="16" xfId="3" applyNumberFormat="1" applyFont="1" applyBorder="1" applyAlignment="1"/>
    <xf numFmtId="43" fontId="4" fillId="0" borderId="0" xfId="3" applyNumberFormat="1" applyFont="1" applyBorder="1" applyAlignment="1">
      <alignment horizontal="center"/>
    </xf>
    <xf numFmtId="43" fontId="4" fillId="0" borderId="0" xfId="3" applyNumberFormat="1" applyFont="1" applyBorder="1" applyAlignment="1"/>
    <xf numFmtId="43" fontId="4" fillId="0" borderId="6" xfId="3" applyNumberFormat="1" applyFont="1" applyBorder="1" applyAlignment="1">
      <alignment horizontal="center"/>
    </xf>
    <xf numFmtId="43" fontId="4" fillId="0" borderId="6" xfId="3" applyNumberFormat="1" applyFont="1" applyBorder="1" applyAlignment="1"/>
    <xf numFmtId="43" fontId="4" fillId="0" borderId="17" xfId="3" applyNumberFormat="1" applyFont="1" applyBorder="1" applyAlignment="1"/>
    <xf numFmtId="0" fontId="4" fillId="3" borderId="0" xfId="0" applyFont="1" applyFill="1"/>
    <xf numFmtId="0" fontId="5" fillId="0" borderId="6" xfId="3" applyFont="1" applyBorder="1" applyAlignment="1">
      <alignment horizontal="center"/>
    </xf>
    <xf numFmtId="0" fontId="4" fillId="0" borderId="9" xfId="3" applyFont="1" applyBorder="1" applyAlignment="1"/>
    <xf numFmtId="0" fontId="4" fillId="0" borderId="3" xfId="3" applyFont="1" applyBorder="1" applyAlignment="1"/>
    <xf numFmtId="0" fontId="4" fillId="0" borderId="0" xfId="3" applyFont="1" applyAlignment="1">
      <alignment vertical="top"/>
    </xf>
    <xf numFmtId="0" fontId="5" fillId="3" borderId="8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0" xfId="0" applyFont="1" applyFill="1" applyBorder="1" applyAlignment="1">
      <alignment horizontal="center"/>
    </xf>
    <xf numFmtId="44" fontId="4" fillId="3" borderId="16" xfId="0" applyNumberFormat="1" applyFont="1" applyFill="1" applyBorder="1"/>
    <xf numFmtId="43" fontId="4" fillId="3" borderId="16" xfId="0" applyNumberFormat="1" applyFont="1" applyFill="1" applyBorder="1"/>
    <xf numFmtId="0" fontId="4" fillId="3" borderId="6" xfId="0" applyFont="1" applyFill="1" applyBorder="1" applyAlignment="1">
      <alignment horizontal="center"/>
    </xf>
    <xf numFmtId="42" fontId="5" fillId="3" borderId="6" xfId="0" applyNumberFormat="1" applyFont="1" applyFill="1" applyBorder="1"/>
    <xf numFmtId="3" fontId="5" fillId="3" borderId="7" xfId="0" applyNumberFormat="1" applyFont="1" applyFill="1" applyBorder="1" applyAlignment="1">
      <alignment horizontal="center"/>
    </xf>
    <xf numFmtId="42" fontId="5" fillId="3" borderId="7" xfId="0" applyNumberFormat="1" applyFont="1" applyFill="1" applyBorder="1"/>
    <xf numFmtId="44" fontId="5" fillId="3" borderId="17" xfId="0" applyNumberFormat="1" applyFont="1" applyFill="1" applyBorder="1"/>
    <xf numFmtId="41" fontId="4" fillId="3" borderId="0" xfId="0" applyNumberFormat="1" applyFont="1" applyFill="1"/>
    <xf numFmtId="43" fontId="4" fillId="3" borderId="0" xfId="0" applyNumberFormat="1" applyFont="1" applyFill="1"/>
    <xf numFmtId="0" fontId="4" fillId="3" borderId="13" xfId="0" applyFont="1" applyFill="1" applyBorder="1"/>
    <xf numFmtId="0" fontId="4" fillId="3" borderId="5" xfId="0" applyFont="1" applyFill="1" applyBorder="1"/>
    <xf numFmtId="0" fontId="5" fillId="3" borderId="10" xfId="0" applyFont="1" applyFill="1" applyBorder="1"/>
    <xf numFmtId="0" fontId="4" fillId="3" borderId="0" xfId="0" applyFont="1" applyFill="1" applyBorder="1"/>
    <xf numFmtId="41" fontId="5" fillId="3" borderId="11" xfId="0" applyNumberFormat="1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right"/>
    </xf>
    <xf numFmtId="44" fontId="4" fillId="0" borderId="6" xfId="3" applyNumberFormat="1" applyFont="1" applyBorder="1" applyAlignment="1">
      <alignment horizontal="center"/>
    </xf>
    <xf numFmtId="44" fontId="4" fillId="0" borderId="7" xfId="3" applyNumberFormat="1" applyFont="1" applyBorder="1" applyAlignment="1">
      <alignment horizontal="center"/>
    </xf>
    <xf numFmtId="0" fontId="4" fillId="4" borderId="2" xfId="3" applyFont="1" applyFill="1" applyBorder="1" applyAlignment="1"/>
    <xf numFmtId="10" fontId="5" fillId="0" borderId="0" xfId="3" applyNumberFormat="1" applyFont="1" applyBorder="1" applyAlignment="1">
      <alignment horizontal="right"/>
    </xf>
    <xf numFmtId="44" fontId="5" fillId="0" borderId="12" xfId="3" applyNumberFormat="1" applyFont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4" fillId="0" borderId="1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44" fontId="12" fillId="0" borderId="16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4" fillId="0" borderId="7" xfId="3" applyFont="1" applyBorder="1" applyAlignment="1"/>
    <xf numFmtId="0" fontId="2" fillId="5" borderId="8" xfId="0" applyFont="1" applyFill="1" applyBorder="1"/>
    <xf numFmtId="0" fontId="6" fillId="5" borderId="4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4" fontId="12" fillId="0" borderId="11" xfId="0" applyNumberFormat="1" applyFont="1" applyFill="1" applyBorder="1" applyAlignment="1">
      <alignment horizontal="center"/>
    </xf>
    <xf numFmtId="41" fontId="2" fillId="3" borderId="12" xfId="0" applyNumberFormat="1" applyFont="1" applyFill="1" applyBorder="1" applyAlignment="1">
      <alignment horizontal="right" wrapText="1"/>
    </xf>
    <xf numFmtId="41" fontId="2" fillId="3" borderId="6" xfId="0" applyNumberFormat="1" applyFont="1" applyFill="1" applyBorder="1" applyAlignment="1">
      <alignment horizontal="right" wrapText="1"/>
    </xf>
    <xf numFmtId="41" fontId="2" fillId="3" borderId="7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8" xfId="0" applyFont="1" applyFill="1" applyBorder="1"/>
    <xf numFmtId="0" fontId="4" fillId="0" borderId="4" xfId="0" applyFont="1" applyFill="1" applyBorder="1" applyAlignment="1">
      <alignment horizontal="center"/>
    </xf>
    <xf numFmtId="0" fontId="4" fillId="5" borderId="10" xfId="3" applyFont="1" applyFill="1" applyBorder="1" applyAlignment="1"/>
    <xf numFmtId="0" fontId="4" fillId="0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42" fontId="5" fillId="3" borderId="0" xfId="0" applyNumberFormat="1" applyFont="1" applyFill="1" applyBorder="1"/>
    <xf numFmtId="42" fontId="4" fillId="3" borderId="0" xfId="0" applyNumberFormat="1" applyFont="1" applyFill="1" applyBorder="1"/>
    <xf numFmtId="41" fontId="4" fillId="3" borderId="0" xfId="0" applyNumberFormat="1" applyFont="1" applyFill="1" applyBorder="1"/>
    <xf numFmtId="0" fontId="4" fillId="0" borderId="11" xfId="3" applyFont="1" applyBorder="1" applyAlignment="1"/>
    <xf numFmtId="177" fontId="4" fillId="3" borderId="16" xfId="1" applyNumberFormat="1" applyFont="1" applyFill="1" applyBorder="1" applyAlignment="1"/>
    <xf numFmtId="42" fontId="4" fillId="0" borderId="0" xfId="3" applyNumberFormat="1" applyFont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41" fontId="4" fillId="3" borderId="15" xfId="3" applyNumberFormat="1" applyFont="1" applyFill="1" applyBorder="1" applyAlignment="1"/>
    <xf numFmtId="0" fontId="4" fillId="3" borderId="8" xfId="3" applyFont="1" applyFill="1" applyBorder="1" applyAlignment="1"/>
    <xf numFmtId="0" fontId="4" fillId="0" borderId="1" xfId="3" applyFont="1" applyFill="1" applyBorder="1" applyAlignment="1"/>
    <xf numFmtId="0" fontId="4" fillId="0" borderId="0" xfId="3" quotePrefix="1" applyFont="1" applyAlignment="1">
      <alignment horizontal="left"/>
    </xf>
    <xf numFmtId="0" fontId="4" fillId="0" borderId="13" xfId="3" applyFont="1" applyFill="1" applyBorder="1" applyAlignment="1">
      <alignment horizontal="left"/>
    </xf>
    <xf numFmtId="0" fontId="4" fillId="0" borderId="10" xfId="3" applyFont="1" applyFill="1" applyBorder="1" applyAlignment="1"/>
    <xf numFmtId="165" fontId="4" fillId="3" borderId="19" xfId="3" applyNumberFormat="1" applyFont="1" applyFill="1" applyBorder="1" applyAlignment="1">
      <alignment horizontal="right"/>
    </xf>
    <xf numFmtId="43" fontId="4" fillId="3" borderId="16" xfId="3" applyNumberFormat="1" applyFont="1" applyFill="1" applyBorder="1" applyAlignment="1">
      <alignment horizontal="right"/>
    </xf>
    <xf numFmtId="177" fontId="4" fillId="3" borderId="16" xfId="3" applyNumberFormat="1" applyFont="1" applyFill="1" applyBorder="1" applyAlignment="1">
      <alignment horizontal="right"/>
    </xf>
    <xf numFmtId="43" fontId="4" fillId="0" borderId="16" xfId="3" applyNumberFormat="1" applyFont="1" applyFill="1" applyBorder="1" applyAlignment="1">
      <alignment horizontal="right"/>
    </xf>
    <xf numFmtId="41" fontId="4" fillId="3" borderId="16" xfId="3" applyNumberFormat="1" applyFont="1" applyFill="1" applyBorder="1" applyAlignment="1">
      <alignment horizontal="right"/>
    </xf>
    <xf numFmtId="177" fontId="4" fillId="3" borderId="19" xfId="1" applyNumberFormat="1" applyFont="1" applyFill="1" applyBorder="1" applyAlignment="1"/>
    <xf numFmtId="177" fontId="4" fillId="0" borderId="16" xfId="1" applyNumberFormat="1" applyFont="1" applyBorder="1" applyAlignment="1"/>
    <xf numFmtId="41" fontId="4" fillId="3" borderId="17" xfId="3" applyNumberFormat="1" applyFont="1" applyFill="1" applyBorder="1" applyAlignment="1"/>
    <xf numFmtId="41" fontId="4" fillId="0" borderId="10" xfId="3" applyNumberFormat="1" applyFont="1" applyFill="1" applyBorder="1" applyAlignment="1"/>
    <xf numFmtId="10" fontId="5" fillId="0" borderId="0" xfId="4" applyNumberFormat="1" applyFont="1" applyFill="1" applyBorder="1" applyAlignment="1">
      <alignment horizontal="center"/>
    </xf>
    <xf numFmtId="0" fontId="4" fillId="0" borderId="12" xfId="3" applyFont="1" applyFill="1" applyBorder="1" applyAlignment="1"/>
    <xf numFmtId="0" fontId="5" fillId="3" borderId="0" xfId="3" applyFont="1" applyFill="1" applyBorder="1" applyAlignment="1">
      <alignment horizontal="left"/>
    </xf>
    <xf numFmtId="0" fontId="27" fillId="4" borderId="1" xfId="3" applyFont="1" applyFill="1" applyBorder="1" applyAlignment="1"/>
    <xf numFmtId="0" fontId="5" fillId="4" borderId="2" xfId="3" applyFont="1" applyFill="1" applyBorder="1" applyAlignment="1"/>
    <xf numFmtId="0" fontId="5" fillId="4" borderId="3" xfId="3" applyFont="1" applyFill="1" applyBorder="1" applyAlignment="1">
      <alignment horizontal="left"/>
    </xf>
    <xf numFmtId="42" fontId="4" fillId="3" borderId="0" xfId="3" applyNumberFormat="1" applyFont="1" applyFill="1" applyBorder="1" applyAlignment="1">
      <alignment horizontal="center"/>
    </xf>
    <xf numFmtId="41" fontId="4" fillId="3" borderId="0" xfId="3" applyNumberFormat="1" applyFont="1" applyFill="1" applyBorder="1" applyAlignment="1">
      <alignment horizontal="center"/>
    </xf>
    <xf numFmtId="41" fontId="4" fillId="3" borderId="10" xfId="3" applyNumberFormat="1" applyFont="1" applyFill="1" applyBorder="1" applyAlignment="1">
      <alignment horizontal="center"/>
    </xf>
    <xf numFmtId="41" fontId="4" fillId="3" borderId="5" xfId="3" applyNumberFormat="1" applyFont="1" applyFill="1" applyBorder="1" applyAlignment="1">
      <alignment horizontal="center"/>
    </xf>
    <xf numFmtId="42" fontId="4" fillId="3" borderId="10" xfId="3" applyNumberFormat="1" applyFont="1" applyFill="1" applyBorder="1" applyAlignment="1">
      <alignment horizontal="center"/>
    </xf>
    <xf numFmtId="10" fontId="4" fillId="3" borderId="0" xfId="3" applyNumberFormat="1" applyFont="1" applyFill="1" applyBorder="1" applyAlignment="1">
      <alignment horizontal="center"/>
    </xf>
    <xf numFmtId="41" fontId="4" fillId="3" borderId="7" xfId="3" applyNumberFormat="1" applyFont="1" applyFill="1" applyBorder="1" applyAlignment="1">
      <alignment horizontal="center"/>
    </xf>
    <xf numFmtId="41" fontId="4" fillId="3" borderId="12" xfId="3" applyNumberFormat="1" applyFont="1" applyFill="1" applyBorder="1" applyAlignment="1"/>
    <xf numFmtId="41" fontId="4" fillId="3" borderId="6" xfId="3" applyNumberFormat="1" applyFont="1" applyFill="1" applyBorder="1" applyAlignment="1"/>
    <xf numFmtId="41" fontId="4" fillId="3" borderId="7" xfId="3" applyNumberFormat="1" applyFont="1" applyFill="1" applyBorder="1" applyAlignment="1"/>
    <xf numFmtId="0" fontId="5" fillId="4" borderId="1" xfId="3" applyFont="1" applyFill="1" applyBorder="1" applyAlignment="1">
      <alignment horizontal="left"/>
    </xf>
    <xf numFmtId="0" fontId="5" fillId="4" borderId="2" xfId="3" applyFont="1" applyFill="1" applyBorder="1" applyAlignment="1">
      <alignment horizontal="left"/>
    </xf>
    <xf numFmtId="167" fontId="4" fillId="3" borderId="0" xfId="3" applyNumberFormat="1" applyFont="1" applyFill="1" applyBorder="1" applyAlignment="1">
      <alignment horizontal="center"/>
    </xf>
    <xf numFmtId="3" fontId="4" fillId="3" borderId="8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9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>
      <alignment horizontal="center"/>
    </xf>
    <xf numFmtId="1" fontId="4" fillId="3" borderId="10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4" fillId="3" borderId="11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169" fontId="4" fillId="3" borderId="0" xfId="3" applyNumberFormat="1" applyFont="1" applyFill="1" applyBorder="1" applyAlignment="1">
      <alignment horizontal="center"/>
    </xf>
    <xf numFmtId="171" fontId="4" fillId="3" borderId="0" xfId="3" applyNumberFormat="1" applyFont="1" applyFill="1" applyBorder="1" applyAlignment="1">
      <alignment horizontal="center"/>
    </xf>
    <xf numFmtId="168" fontId="4" fillId="3" borderId="0" xfId="3" applyNumberFormat="1" applyFont="1" applyFill="1" applyBorder="1" applyAlignment="1">
      <alignment horizontal="center"/>
    </xf>
    <xf numFmtId="168" fontId="4" fillId="3" borderId="5" xfId="3" applyNumberFormat="1" applyFont="1" applyFill="1" applyBorder="1" applyAlignment="1">
      <alignment horizontal="center"/>
    </xf>
    <xf numFmtId="3" fontId="4" fillId="3" borderId="5" xfId="3" applyNumberFormat="1" applyFont="1" applyFill="1" applyBorder="1" applyAlignment="1">
      <alignment horizontal="center"/>
    </xf>
    <xf numFmtId="3" fontId="4" fillId="3" borderId="13" xfId="3" applyNumberFormat="1" applyFont="1" applyFill="1" applyBorder="1" applyAlignment="1">
      <alignment horizontal="center"/>
    </xf>
    <xf numFmtId="3" fontId="4" fillId="3" borderId="14" xfId="3" applyNumberFormat="1" applyFont="1" applyFill="1" applyBorder="1" applyAlignment="1">
      <alignment horizontal="center"/>
    </xf>
    <xf numFmtId="0" fontId="5" fillId="4" borderId="1" xfId="3" applyFont="1" applyFill="1" applyBorder="1" applyAlignment="1"/>
    <xf numFmtId="0" fontId="5" fillId="4" borderId="3" xfId="3" applyFont="1" applyFill="1" applyBorder="1" applyAlignment="1"/>
    <xf numFmtId="0" fontId="4" fillId="3" borderId="1" xfId="3" applyFont="1" applyFill="1" applyBorder="1" applyAlignment="1">
      <alignment wrapText="1"/>
    </xf>
    <xf numFmtId="43" fontId="4" fillId="3" borderId="17" xfId="3" applyNumberFormat="1" applyFont="1" applyFill="1" applyBorder="1" applyAlignment="1">
      <alignment horizontal="right"/>
    </xf>
    <xf numFmtId="43" fontId="4" fillId="3" borderId="1" xfId="3" applyNumberFormat="1" applyFont="1" applyFill="1" applyBorder="1" applyAlignment="1">
      <alignment horizontal="right"/>
    </xf>
    <xf numFmtId="0" fontId="5" fillId="4" borderId="1" xfId="3" applyFont="1" applyFill="1" applyBorder="1" applyAlignment="1">
      <alignment horizontal="centerContinuous"/>
    </xf>
    <xf numFmtId="0" fontId="5" fillId="4" borderId="2" xfId="3" applyFont="1" applyFill="1" applyBorder="1" applyAlignment="1">
      <alignment horizontal="centerContinuous"/>
    </xf>
    <xf numFmtId="0" fontId="5" fillId="4" borderId="3" xfId="3" applyFont="1" applyFill="1" applyBorder="1" applyAlignment="1">
      <alignment horizontal="centerContinuous"/>
    </xf>
    <xf numFmtId="44" fontId="4" fillId="0" borderId="4" xfId="3" applyNumberFormat="1" applyFont="1" applyBorder="1" applyAlignment="1"/>
    <xf numFmtId="0" fontId="4" fillId="3" borderId="15" xfId="3" applyFont="1" applyFill="1" applyBorder="1" applyAlignment="1"/>
    <xf numFmtId="10" fontId="4" fillId="0" borderId="2" xfId="3" applyNumberFormat="1" applyFont="1" applyFill="1" applyBorder="1" applyAlignment="1">
      <alignment horizontal="right"/>
    </xf>
    <xf numFmtId="8" fontId="4" fillId="0" borderId="3" xfId="3" applyNumberFormat="1" applyFont="1" applyBorder="1" applyAlignment="1">
      <alignment horizontal="right"/>
    </xf>
    <xf numFmtId="44" fontId="4" fillId="3" borderId="0" xfId="2" applyNumberFormat="1" applyFont="1" applyFill="1" applyBorder="1" applyAlignment="1">
      <alignment horizontal="center"/>
    </xf>
    <xf numFmtId="44" fontId="4" fillId="0" borderId="3" xfId="3" applyNumberFormat="1" applyFont="1" applyBorder="1" applyAlignment="1"/>
    <xf numFmtId="10" fontId="4" fillId="0" borderId="2" xfId="3" applyNumberFormat="1" applyFont="1" applyBorder="1" applyAlignment="1">
      <alignment horizontal="right"/>
    </xf>
    <xf numFmtId="44" fontId="4" fillId="0" borderId="4" xfId="3" applyNumberFormat="1" applyFont="1" applyFill="1" applyBorder="1" applyAlignment="1"/>
    <xf numFmtId="43" fontId="4" fillId="0" borderId="0" xfId="3" applyNumberFormat="1" applyFont="1" applyFill="1" applyBorder="1" applyAlignment="1"/>
    <xf numFmtId="10" fontId="4" fillId="0" borderId="6" xfId="4" applyNumberFormat="1" applyFont="1" applyFill="1" applyBorder="1" applyAlignment="1"/>
    <xf numFmtId="10" fontId="4" fillId="0" borderId="0" xfId="3" applyNumberFormat="1" applyFont="1" applyBorder="1" applyAlignment="1"/>
    <xf numFmtId="10" fontId="4" fillId="0" borderId="6" xfId="3" applyNumberFormat="1" applyFont="1" applyBorder="1" applyAlignment="1"/>
    <xf numFmtId="44" fontId="4" fillId="0" borderId="9" xfId="2" applyFont="1" applyBorder="1" applyAlignment="1"/>
    <xf numFmtId="9" fontId="4" fillId="0" borderId="7" xfId="3" applyNumberFormat="1" applyFont="1" applyBorder="1" applyAlignment="1"/>
    <xf numFmtId="6" fontId="4" fillId="0" borderId="9" xfId="3" applyNumberFormat="1" applyFont="1" applyBorder="1" applyAlignment="1"/>
    <xf numFmtId="6" fontId="4" fillId="0" borderId="7" xfId="3" applyNumberFormat="1" applyFont="1" applyBorder="1" applyAlignment="1"/>
    <xf numFmtId="10" fontId="4" fillId="0" borderId="9" xfId="3" applyNumberFormat="1" applyFont="1" applyBorder="1" applyAlignment="1"/>
    <xf numFmtId="10" fontId="4" fillId="0" borderId="11" xfId="3" applyNumberFormat="1" applyFont="1" applyBorder="1" applyAlignment="1"/>
    <xf numFmtId="10" fontId="4" fillId="0" borderId="7" xfId="3" applyNumberFormat="1" applyFont="1" applyFill="1" applyBorder="1" applyAlignment="1"/>
    <xf numFmtId="3" fontId="4" fillId="3" borderId="11" xfId="0" applyNumberFormat="1" applyFont="1" applyFill="1" applyBorder="1" applyAlignment="1">
      <alignment horizontal="center"/>
    </xf>
    <xf numFmtId="41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41" fontId="2" fillId="3" borderId="0" xfId="0" applyNumberFormat="1" applyFont="1" applyFill="1"/>
    <xf numFmtId="3" fontId="2" fillId="3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Continuous"/>
    </xf>
    <xf numFmtId="0" fontId="5" fillId="4" borderId="2" xfId="0" applyFont="1" applyFill="1" applyBorder="1" applyAlignment="1">
      <alignment horizontal="centerContinuous"/>
    </xf>
    <xf numFmtId="41" fontId="5" fillId="4" borderId="2" xfId="0" applyNumberFormat="1" applyFont="1" applyFill="1" applyBorder="1" applyAlignment="1">
      <alignment horizontal="centerContinuous"/>
    </xf>
    <xf numFmtId="3" fontId="5" fillId="4" borderId="2" xfId="0" applyNumberFormat="1" applyFont="1" applyFill="1" applyBorder="1" applyAlignment="1">
      <alignment horizontal="centerContinuous"/>
    </xf>
    <xf numFmtId="41" fontId="5" fillId="4" borderId="3" xfId="0" applyNumberFormat="1" applyFont="1" applyFill="1" applyBorder="1" applyAlignment="1">
      <alignment horizontal="centerContinuous"/>
    </xf>
    <xf numFmtId="41" fontId="4" fillId="0" borderId="4" xfId="0" applyNumberFormat="1" applyFont="1" applyFill="1" applyBorder="1"/>
    <xf numFmtId="3" fontId="4" fillId="0" borderId="4" xfId="0" applyNumberFormat="1" applyFont="1" applyFill="1" applyBorder="1" applyAlignment="1">
      <alignment horizontal="center"/>
    </xf>
    <xf numFmtId="41" fontId="4" fillId="0" borderId="9" xfId="0" applyNumberFormat="1" applyFont="1" applyFill="1" applyBorder="1"/>
    <xf numFmtId="41" fontId="4" fillId="3" borderId="14" xfId="0" applyNumberFormat="1" applyFont="1" applyFill="1" applyBorder="1"/>
    <xf numFmtId="43" fontId="4" fillId="3" borderId="14" xfId="0" applyNumberFormat="1" applyFont="1" applyFill="1" applyBorder="1"/>
    <xf numFmtId="43" fontId="2" fillId="3" borderId="0" xfId="0" applyNumberFormat="1" applyFont="1" applyFill="1"/>
    <xf numFmtId="0" fontId="4" fillId="0" borderId="19" xfId="3" applyFont="1" applyBorder="1" applyAlignment="1"/>
    <xf numFmtId="0" fontId="4" fillId="0" borderId="16" xfId="3" applyFont="1" applyBorder="1" applyAlignment="1"/>
    <xf numFmtId="42" fontId="4" fillId="3" borderId="19" xfId="3" applyNumberFormat="1" applyFont="1" applyFill="1" applyBorder="1" applyAlignment="1"/>
    <xf numFmtId="0" fontId="4" fillId="0" borderId="17" xfId="3" applyFont="1" applyBorder="1" applyAlignment="1"/>
    <xf numFmtId="0" fontId="4" fillId="3" borderId="7" xfId="3" applyFont="1" applyFill="1" applyBorder="1" applyAlignment="1"/>
    <xf numFmtId="0" fontId="16" fillId="3" borderId="8" xfId="3" applyFont="1" applyFill="1" applyBorder="1" applyAlignment="1"/>
    <xf numFmtId="0" fontId="4" fillId="3" borderId="9" xfId="3" applyFont="1" applyFill="1" applyBorder="1" applyAlignment="1"/>
    <xf numFmtId="3" fontId="4" fillId="3" borderId="11" xfId="3" applyNumberFormat="1" applyFont="1" applyFill="1" applyBorder="1" applyAlignment="1"/>
    <xf numFmtId="0" fontId="4" fillId="3" borderId="11" xfId="3" applyFont="1" applyFill="1" applyBorder="1" applyAlignment="1"/>
    <xf numFmtId="0" fontId="4" fillId="3" borderId="12" xfId="3" applyFont="1" applyFill="1" applyBorder="1" applyAlignment="1"/>
    <xf numFmtId="0" fontId="4" fillId="3" borderId="6" xfId="3" applyFont="1" applyFill="1" applyBorder="1" applyAlignment="1"/>
    <xf numFmtId="0" fontId="4" fillId="3" borderId="19" xfId="3" applyFont="1" applyFill="1" applyBorder="1" applyAlignment="1">
      <alignment horizontal="right"/>
    </xf>
    <xf numFmtId="0" fontId="4" fillId="3" borderId="17" xfId="3" applyFont="1" applyFill="1" applyBorder="1" applyAlignment="1">
      <alignment horizontal="right"/>
    </xf>
    <xf numFmtId="44" fontId="4" fillId="3" borderId="11" xfId="3" applyNumberFormat="1" applyFont="1" applyFill="1" applyBorder="1" applyAlignment="1"/>
    <xf numFmtId="41" fontId="4" fillId="0" borderId="0" xfId="3" applyNumberFormat="1" applyFont="1" applyFill="1" applyBorder="1" applyAlignment="1"/>
    <xf numFmtId="0" fontId="5" fillId="3" borderId="25" xfId="3" applyFont="1" applyFill="1" applyBorder="1" applyAlignment="1">
      <alignment horizontal="left"/>
    </xf>
    <xf numFmtId="0" fontId="5" fillId="3" borderId="25" xfId="3" applyFont="1" applyFill="1" applyBorder="1" applyAlignment="1">
      <alignment horizontal="right"/>
    </xf>
    <xf numFmtId="42" fontId="5" fillId="3" borderId="25" xfId="3" applyNumberFormat="1" applyFont="1" applyFill="1" applyBorder="1" applyAlignment="1">
      <alignment horizontal="center"/>
    </xf>
    <xf numFmtId="42" fontId="4" fillId="3" borderId="8" xfId="3" applyNumberFormat="1" applyFont="1" applyFill="1" applyBorder="1" applyAlignment="1"/>
    <xf numFmtId="42" fontId="4" fillId="3" borderId="16" xfId="3" applyNumberFormat="1" applyFont="1" applyFill="1" applyBorder="1" applyAlignment="1"/>
    <xf numFmtId="0" fontId="11" fillId="6" borderId="1" xfId="0" applyFont="1" applyFill="1" applyBorder="1" applyAlignment="1">
      <alignment horizontal="centerContinuous"/>
    </xf>
    <xf numFmtId="0" fontId="2" fillId="6" borderId="2" xfId="0" applyFont="1" applyFill="1" applyBorder="1" applyAlignment="1">
      <alignment horizontal="centerContinuous"/>
    </xf>
    <xf numFmtId="0" fontId="2" fillId="6" borderId="3" xfId="0" applyFont="1" applyFill="1" applyBorder="1" applyAlignment="1">
      <alignment horizontal="centerContinuous"/>
    </xf>
    <xf numFmtId="0" fontId="11" fillId="6" borderId="2" xfId="0" applyFont="1" applyFill="1" applyBorder="1" applyAlignment="1">
      <alignment horizontal="centerContinuous"/>
    </xf>
    <xf numFmtId="0" fontId="11" fillId="6" borderId="3" xfId="0" applyFont="1" applyFill="1" applyBorder="1" applyAlignment="1">
      <alignment horizontal="centerContinuous"/>
    </xf>
    <xf numFmtId="0" fontId="28" fillId="0" borderId="0" xfId="28"/>
    <xf numFmtId="0" fontId="28" fillId="0" borderId="0" xfId="28" applyAlignment="1">
      <alignment horizontal="left" vertical="center" indent="3" readingOrder="1"/>
    </xf>
    <xf numFmtId="0" fontId="6" fillId="0" borderId="5" xfId="0" applyFont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0" xfId="0" applyFont="1"/>
    <xf numFmtId="0" fontId="0" fillId="0" borderId="8" xfId="0" applyFont="1" applyFill="1" applyBorder="1"/>
    <xf numFmtId="0" fontId="0" fillId="0" borderId="10" xfId="0" applyFont="1" applyFill="1" applyBorder="1"/>
    <xf numFmtId="0" fontId="6" fillId="0" borderId="0" xfId="0" applyFont="1"/>
    <xf numFmtId="10" fontId="12" fillId="3" borderId="7" xfId="0" applyNumberFormat="1" applyFont="1" applyFill="1" applyBorder="1" applyAlignment="1">
      <alignment horizontal="right"/>
    </xf>
    <xf numFmtId="177" fontId="0" fillId="0" borderId="0" xfId="1" applyNumberFormat="1" applyFont="1"/>
    <xf numFmtId="0" fontId="30" fillId="0" borderId="5" xfId="0" applyFont="1" applyBorder="1"/>
    <xf numFmtId="177" fontId="30" fillId="0" borderId="5" xfId="1" applyNumberFormat="1" applyFont="1" applyBorder="1"/>
    <xf numFmtId="0" fontId="0" fillId="7" borderId="0" xfId="0" applyFill="1"/>
    <xf numFmtId="177" fontId="0" fillId="7" borderId="0" xfId="1" applyNumberFormat="1" applyFont="1" applyFill="1"/>
    <xf numFmtId="0" fontId="0" fillId="8" borderId="0" xfId="0" applyFill="1"/>
    <xf numFmtId="177" fontId="0" fillId="8" borderId="0" xfId="1" applyNumberFormat="1" applyFont="1" applyFill="1"/>
    <xf numFmtId="0" fontId="0" fillId="9" borderId="0" xfId="0" applyFill="1"/>
    <xf numFmtId="177" fontId="0" fillId="9" borderId="0" xfId="1" applyNumberFormat="1" applyFont="1" applyFill="1"/>
    <xf numFmtId="0" fontId="25" fillId="3" borderId="10" xfId="3" applyFont="1" applyFill="1" applyBorder="1"/>
    <xf numFmtId="0" fontId="30" fillId="0" borderId="0" xfId="0" applyFont="1" applyFill="1" applyBorder="1"/>
    <xf numFmtId="177" fontId="0" fillId="0" borderId="0" xfId="0" applyNumberFormat="1"/>
    <xf numFmtId="1" fontId="0" fillId="0" borderId="0" xfId="0" applyNumberFormat="1"/>
    <xf numFmtId="0" fontId="26" fillId="3" borderId="10" xfId="0" applyFont="1" applyFill="1" applyBorder="1"/>
    <xf numFmtId="0" fontId="25" fillId="3" borderId="0" xfId="0" applyFont="1" applyFill="1" applyBorder="1" applyAlignment="1">
      <alignment horizontal="center"/>
    </xf>
    <xf numFmtId="0" fontId="25" fillId="3" borderId="0" xfId="3" applyFont="1" applyFill="1" applyBorder="1"/>
    <xf numFmtId="42" fontId="25" fillId="3" borderId="11" xfId="3" applyNumberFormat="1" applyFont="1" applyFill="1" applyBorder="1" applyAlignment="1">
      <alignment horizontal="center"/>
    </xf>
    <xf numFmtId="0" fontId="25" fillId="3" borderId="13" xfId="3" applyFont="1" applyFill="1" applyBorder="1"/>
    <xf numFmtId="0" fontId="25" fillId="3" borderId="5" xfId="3" applyFont="1" applyFill="1" applyBorder="1"/>
    <xf numFmtId="41" fontId="25" fillId="3" borderId="14" xfId="3" applyNumberFormat="1" applyFont="1" applyFill="1" applyBorder="1"/>
    <xf numFmtId="41" fontId="25" fillId="3" borderId="11" xfId="3" applyNumberFormat="1" applyFont="1" applyFill="1" applyBorder="1"/>
    <xf numFmtId="0" fontId="25" fillId="0" borderId="10" xfId="3" applyFont="1" applyFill="1" applyBorder="1"/>
    <xf numFmtId="0" fontId="32" fillId="0" borderId="0" xfId="0" applyFont="1"/>
    <xf numFmtId="0" fontId="4" fillId="2" borderId="12" xfId="3" applyFont="1" applyFill="1" applyBorder="1" applyAlignment="1"/>
    <xf numFmtId="0" fontId="4" fillId="2" borderId="6" xfId="3" applyFont="1" applyFill="1" applyBorder="1" applyAlignment="1"/>
    <xf numFmtId="0" fontId="4" fillId="2" borderId="7" xfId="3" applyFont="1" applyFill="1" applyBorder="1" applyAlignment="1"/>
    <xf numFmtId="1" fontId="4" fillId="3" borderId="11" xfId="3" applyNumberFormat="1" applyFont="1" applyFill="1" applyBorder="1" applyAlignment="1">
      <alignment horizontal="center"/>
    </xf>
    <xf numFmtId="1" fontId="4" fillId="3" borderId="12" xfId="3" applyNumberFormat="1" applyFont="1" applyFill="1" applyBorder="1" applyAlignment="1">
      <alignment horizontal="center"/>
    </xf>
    <xf numFmtId="1" fontId="4" fillId="3" borderId="6" xfId="3" applyNumberFormat="1" applyFont="1" applyFill="1" applyBorder="1" applyAlignment="1">
      <alignment horizontal="center"/>
    </xf>
    <xf numFmtId="1" fontId="4" fillId="3" borderId="7" xfId="3" applyNumberFormat="1" applyFont="1" applyFill="1" applyBorder="1" applyAlignment="1">
      <alignment horizontal="center"/>
    </xf>
    <xf numFmtId="0" fontId="29" fillId="11" borderId="1" xfId="3" applyFont="1" applyFill="1" applyBorder="1" applyAlignment="1"/>
    <xf numFmtId="0" fontId="5" fillId="11" borderId="2" xfId="3" applyFont="1" applyFill="1" applyBorder="1" applyAlignment="1"/>
    <xf numFmtId="0" fontId="4" fillId="11" borderId="2" xfId="3" applyFont="1" applyFill="1" applyBorder="1" applyAlignment="1"/>
    <xf numFmtId="0" fontId="5" fillId="11" borderId="3" xfId="3" applyFont="1" applyFill="1" applyBorder="1" applyAlignment="1">
      <alignment horizontal="left"/>
    </xf>
    <xf numFmtId="0" fontId="22" fillId="11" borderId="1" xfId="3" applyFont="1" applyFill="1" applyBorder="1" applyAlignment="1">
      <alignment horizontal="left"/>
    </xf>
    <xf numFmtId="0" fontId="22" fillId="11" borderId="2" xfId="3" applyFont="1" applyFill="1" applyBorder="1" applyAlignment="1">
      <alignment horizontal="left"/>
    </xf>
    <xf numFmtId="0" fontId="22" fillId="11" borderId="3" xfId="3" applyFont="1" applyFill="1" applyBorder="1" applyAlignment="1">
      <alignment horizontal="left"/>
    </xf>
    <xf numFmtId="44" fontId="4" fillId="3" borderId="19" xfId="3" applyNumberFormat="1" applyFont="1" applyFill="1" applyBorder="1" applyAlignment="1">
      <alignment horizontal="right"/>
    </xf>
    <xf numFmtId="44" fontId="4" fillId="3" borderId="16" xfId="3" applyNumberFormat="1" applyFont="1" applyFill="1" applyBorder="1" applyAlignment="1">
      <alignment horizontal="right"/>
    </xf>
    <xf numFmtId="0" fontId="5" fillId="3" borderId="8" xfId="3" applyFont="1" applyFill="1" applyBorder="1" applyAlignment="1">
      <alignment horizontal="center"/>
    </xf>
    <xf numFmtId="0" fontId="5" fillId="3" borderId="19" xfId="3" applyFont="1" applyFill="1" applyBorder="1" applyAlignment="1">
      <alignment horizontal="center"/>
    </xf>
    <xf numFmtId="0" fontId="5" fillId="3" borderId="12" xfId="3" applyFont="1" applyFill="1" applyBorder="1" applyAlignment="1">
      <alignment horizontal="center"/>
    </xf>
    <xf numFmtId="0" fontId="5" fillId="3" borderId="17" xfId="3" applyFont="1" applyFill="1" applyBorder="1" applyAlignment="1">
      <alignment horizontal="center"/>
    </xf>
    <xf numFmtId="44" fontId="4" fillId="3" borderId="17" xfId="3" applyNumberFormat="1" applyFont="1" applyFill="1" applyBorder="1" applyAlignment="1">
      <alignment horizontal="right"/>
    </xf>
    <xf numFmtId="177" fontId="4" fillId="3" borderId="17" xfId="1" applyNumberFormat="1" applyFont="1" applyFill="1" applyBorder="1" applyAlignment="1"/>
    <xf numFmtId="43" fontId="4" fillId="3" borderId="15" xfId="3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Continuous"/>
    </xf>
    <xf numFmtId="0" fontId="22" fillId="11" borderId="2" xfId="3" applyFont="1" applyFill="1" applyBorder="1" applyAlignment="1">
      <alignment horizontal="centerContinuous"/>
    </xf>
    <xf numFmtId="0" fontId="22" fillId="11" borderId="3" xfId="3" applyFont="1" applyFill="1" applyBorder="1" applyAlignment="1">
      <alignment horizontal="centerContinuous"/>
    </xf>
    <xf numFmtId="44" fontId="4" fillId="3" borderId="6" xfId="2" applyNumberFormat="1" applyFont="1" applyFill="1" applyBorder="1" applyAlignment="1">
      <alignment horizontal="center"/>
    </xf>
    <xf numFmtId="0" fontId="22" fillId="11" borderId="1" xfId="0" applyFont="1" applyFill="1" applyBorder="1" applyAlignment="1">
      <alignment horizontal="left"/>
    </xf>
    <xf numFmtId="0" fontId="22" fillId="11" borderId="2" xfId="0" applyFont="1" applyFill="1" applyBorder="1" applyAlignment="1">
      <alignment horizontal="left"/>
    </xf>
    <xf numFmtId="41" fontId="22" fillId="11" borderId="2" xfId="0" applyNumberFormat="1" applyFont="1" applyFill="1" applyBorder="1" applyAlignment="1">
      <alignment horizontal="left"/>
    </xf>
    <xf numFmtId="3" fontId="22" fillId="11" borderId="2" xfId="0" applyNumberFormat="1" applyFont="1" applyFill="1" applyBorder="1" applyAlignment="1">
      <alignment horizontal="left"/>
    </xf>
    <xf numFmtId="41" fontId="22" fillId="11" borderId="3" xfId="0" applyNumberFormat="1" applyFont="1" applyFill="1" applyBorder="1" applyAlignment="1">
      <alignment horizontal="left"/>
    </xf>
    <xf numFmtId="0" fontId="22" fillId="11" borderId="1" xfId="3" applyFont="1" applyFill="1" applyBorder="1" applyAlignment="1"/>
    <xf numFmtId="0" fontId="22" fillId="11" borderId="2" xfId="3" applyFont="1" applyFill="1" applyBorder="1" applyAlignment="1"/>
    <xf numFmtId="0" fontId="22" fillId="11" borderId="3" xfId="3" applyFont="1" applyFill="1" applyBorder="1" applyAlignment="1"/>
    <xf numFmtId="44" fontId="4" fillId="3" borderId="14" xfId="2" applyFont="1" applyFill="1" applyBorder="1"/>
    <xf numFmtId="178" fontId="5" fillId="3" borderId="7" xfId="0" applyNumberFormat="1" applyFont="1" applyFill="1" applyBorder="1"/>
    <xf numFmtId="0" fontId="4" fillId="0" borderId="0" xfId="3" quotePrefix="1" applyFont="1" applyAlignment="1"/>
    <xf numFmtId="0" fontId="22" fillId="3" borderId="0" xfId="3" applyFont="1" applyFill="1" applyBorder="1" applyAlignment="1">
      <alignment horizontal="centerContinuous"/>
    </xf>
    <xf numFmtId="0" fontId="4" fillId="0" borderId="0" xfId="3" applyFont="1" applyBorder="1" applyAlignment="1">
      <alignment vertical="top" wrapText="1"/>
    </xf>
    <xf numFmtId="0" fontId="4" fillId="0" borderId="0" xfId="0" applyFont="1"/>
    <xf numFmtId="0" fontId="4" fillId="10" borderId="10" xfId="0" applyFont="1" applyFill="1" applyBorder="1"/>
    <xf numFmtId="0" fontId="4" fillId="10" borderId="0" xfId="0" applyFont="1" applyFill="1"/>
    <xf numFmtId="0" fontId="5" fillId="10" borderId="0" xfId="0" applyFont="1" applyFill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5" fillId="10" borderId="12" xfId="0" applyFont="1" applyFill="1" applyBorder="1"/>
    <xf numFmtId="0" fontId="4" fillId="10" borderId="6" xfId="0" applyFont="1" applyFill="1" applyBorder="1"/>
    <xf numFmtId="0" fontId="5" fillId="10" borderId="6" xfId="0" applyFont="1" applyFill="1" applyBorder="1" applyAlignment="1">
      <alignment horizontal="center"/>
    </xf>
    <xf numFmtId="44" fontId="5" fillId="0" borderId="12" xfId="0" applyNumberFormat="1" applyFont="1" applyBorder="1" applyAlignment="1">
      <alignment horizontal="left"/>
    </xf>
    <xf numFmtId="44" fontId="4" fillId="0" borderId="6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10" borderId="8" xfId="0" applyFont="1" applyFill="1" applyBorder="1"/>
    <xf numFmtId="0" fontId="4" fillId="10" borderId="4" xfId="0" applyFont="1" applyFill="1" applyBorder="1"/>
    <xf numFmtId="44" fontId="10" fillId="10" borderId="0" xfId="0" applyNumberFormat="1" applyFont="1" applyFill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10" borderId="12" xfId="0" applyFont="1" applyFill="1" applyBorder="1"/>
    <xf numFmtId="10" fontId="10" fillId="10" borderId="6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8" fontId="10" fillId="10" borderId="7" xfId="0" applyNumberFormat="1" applyFont="1" applyFill="1" applyBorder="1" applyAlignment="1">
      <alignment horizontal="right"/>
    </xf>
    <xf numFmtId="0" fontId="4" fillId="0" borderId="8" xfId="0" applyFont="1" applyBorder="1"/>
    <xf numFmtId="0" fontId="4" fillId="0" borderId="4" xfId="0" applyFont="1" applyBorder="1"/>
    <xf numFmtId="0" fontId="4" fillId="0" borderId="30" xfId="0" applyFont="1" applyBorder="1"/>
    <xf numFmtId="0" fontId="4" fillId="10" borderId="1" xfId="0" applyFont="1" applyFill="1" applyBorder="1"/>
    <xf numFmtId="0" fontId="4" fillId="10" borderId="2" xfId="0" applyFont="1" applyFill="1" applyBorder="1"/>
    <xf numFmtId="44" fontId="10" fillId="10" borderId="7" xfId="0" applyNumberFormat="1" applyFont="1" applyFill="1" applyBorder="1"/>
    <xf numFmtId="0" fontId="4" fillId="0" borderId="12" xfId="0" applyFont="1" applyBorder="1"/>
    <xf numFmtId="0" fontId="4" fillId="0" borderId="6" xfId="0" applyFont="1" applyBorder="1"/>
    <xf numFmtId="43" fontId="10" fillId="10" borderId="0" xfId="0" applyNumberFormat="1" applyFont="1" applyFill="1"/>
    <xf numFmtId="10" fontId="10" fillId="10" borderId="6" xfId="0" applyNumberFormat="1" applyFont="1" applyFill="1" applyBorder="1"/>
    <xf numFmtId="10" fontId="10" fillId="0" borderId="0" xfId="0" applyNumberFormat="1" applyFont="1"/>
    <xf numFmtId="10" fontId="10" fillId="0" borderId="6" xfId="0" applyNumberFormat="1" applyFont="1" applyBorder="1"/>
    <xf numFmtId="44" fontId="10" fillId="0" borderId="11" xfId="0" applyNumberFormat="1" applyFont="1" applyBorder="1"/>
    <xf numFmtId="9" fontId="10" fillId="0" borderId="7" xfId="0" applyNumberFormat="1" applyFont="1" applyBorder="1"/>
    <xf numFmtId="6" fontId="10" fillId="0" borderId="11" xfId="0" applyNumberFormat="1" applyFont="1" applyBorder="1"/>
    <xf numFmtId="6" fontId="10" fillId="0" borderId="7" xfId="0" applyNumberFormat="1" applyFont="1" applyBorder="1"/>
    <xf numFmtId="10" fontId="10" fillId="0" borderId="11" xfId="0" applyNumberFormat="1" applyFont="1" applyBorder="1"/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4" fillId="12" borderId="1" xfId="0" applyFont="1" applyFill="1" applyBorder="1" applyAlignment="1">
      <alignment horizontal="centerContinuous"/>
    </xf>
    <xf numFmtId="0" fontId="34" fillId="12" borderId="2" xfId="0" applyFont="1" applyFill="1" applyBorder="1" applyAlignment="1">
      <alignment horizontal="centerContinuous"/>
    </xf>
    <xf numFmtId="0" fontId="34" fillId="12" borderId="29" xfId="0" applyFont="1" applyFill="1" applyBorder="1" applyAlignment="1">
      <alignment horizontal="centerContinuous"/>
    </xf>
    <xf numFmtId="10" fontId="10" fillId="0" borderId="7" xfId="0" applyNumberFormat="1" applyFont="1" applyBorder="1"/>
    <xf numFmtId="0" fontId="4" fillId="0" borderId="0" xfId="0" applyFont="1" applyBorder="1"/>
    <xf numFmtId="41" fontId="4" fillId="3" borderId="39" xfId="3" applyNumberFormat="1" applyFont="1" applyFill="1" applyBorder="1" applyAlignment="1"/>
    <xf numFmtId="0" fontId="25" fillId="3" borderId="0" xfId="3" applyFont="1" applyFill="1"/>
    <xf numFmtId="0" fontId="36" fillId="0" borderId="0" xfId="3" applyFont="1" applyAlignment="1"/>
    <xf numFmtId="0" fontId="36" fillId="0" borderId="0" xfId="3" applyFont="1" applyAlignment="1">
      <alignment horizontal="center"/>
    </xf>
    <xf numFmtId="0" fontId="37" fillId="3" borderId="1" xfId="0" applyFont="1" applyFill="1" applyBorder="1" applyAlignment="1">
      <alignment horizontal="left" vertical="center"/>
    </xf>
    <xf numFmtId="0" fontId="37" fillId="3" borderId="3" xfId="0" applyFont="1" applyFill="1" applyBorder="1" applyAlignment="1">
      <alignment horizontal="center" vertical="center"/>
    </xf>
    <xf numFmtId="0" fontId="36" fillId="0" borderId="8" xfId="3" applyFont="1" applyBorder="1" applyAlignment="1"/>
    <xf numFmtId="0" fontId="36" fillId="0" borderId="4" xfId="3" applyFont="1" applyBorder="1" applyAlignment="1"/>
    <xf numFmtId="0" fontId="38" fillId="0" borderId="4" xfId="3" applyFont="1" applyBorder="1" applyAlignment="1">
      <alignment horizontal="center"/>
    </xf>
    <xf numFmtId="0" fontId="38" fillId="3" borderId="1" xfId="3" applyFont="1" applyFill="1" applyBorder="1" applyAlignment="1">
      <alignment horizontal="centerContinuous"/>
    </xf>
    <xf numFmtId="0" fontId="36" fillId="3" borderId="2" xfId="3" applyFont="1" applyFill="1" applyBorder="1" applyAlignment="1">
      <alignment horizontal="centerContinuous"/>
    </xf>
    <xf numFmtId="0" fontId="36" fillId="3" borderId="3" xfId="3" applyFont="1" applyFill="1" applyBorder="1" applyAlignment="1">
      <alignment horizontal="centerContinuous"/>
    </xf>
    <xf numFmtId="0" fontId="36" fillId="3" borderId="2" xfId="0" applyFont="1" applyFill="1" applyBorder="1" applyAlignment="1">
      <alignment horizontal="centerContinuous"/>
    </xf>
    <xf numFmtId="0" fontId="38" fillId="3" borderId="2" xfId="3" applyFont="1" applyFill="1" applyBorder="1" applyAlignment="1">
      <alignment horizontal="centerContinuous"/>
    </xf>
    <xf numFmtId="0" fontId="36" fillId="0" borderId="1" xfId="3" applyFont="1" applyBorder="1" applyAlignment="1">
      <alignment horizontal="center"/>
    </xf>
    <xf numFmtId="0" fontId="36" fillId="0" borderId="2" xfId="3" applyFont="1" applyBorder="1" applyAlignment="1">
      <alignment horizontal="center"/>
    </xf>
    <xf numFmtId="0" fontId="38" fillId="0" borderId="2" xfId="3" applyFont="1" applyBorder="1" applyAlignment="1">
      <alignment horizontal="center"/>
    </xf>
    <xf numFmtId="0" fontId="38" fillId="0" borderId="1" xfId="3" applyFont="1" applyBorder="1" applyAlignment="1">
      <alignment horizontal="center"/>
    </xf>
    <xf numFmtId="0" fontId="38" fillId="0" borderId="3" xfId="3" applyFont="1" applyBorder="1" applyAlignment="1">
      <alignment horizontal="center"/>
    </xf>
    <xf numFmtId="0" fontId="38" fillId="2" borderId="1" xfId="3" applyFont="1" applyFill="1" applyBorder="1" applyAlignment="1">
      <alignment horizontal="left"/>
    </xf>
    <xf numFmtId="0" fontId="38" fillId="2" borderId="2" xfId="3" applyFont="1" applyFill="1" applyBorder="1" applyAlignment="1">
      <alignment horizontal="left"/>
    </xf>
    <xf numFmtId="0" fontId="38" fillId="2" borderId="2" xfId="3" applyFont="1" applyFill="1" applyBorder="1" applyAlignment="1">
      <alignment horizontal="center"/>
    </xf>
    <xf numFmtId="0" fontId="36" fillId="2" borderId="1" xfId="3" applyFont="1" applyFill="1" applyBorder="1" applyAlignment="1"/>
    <xf numFmtId="0" fontId="36" fillId="2" borderId="2" xfId="3" applyFont="1" applyFill="1" applyBorder="1" applyAlignment="1"/>
    <xf numFmtId="0" fontId="36" fillId="2" borderId="3" xfId="3" applyFont="1" applyFill="1" applyBorder="1" applyAlignment="1"/>
    <xf numFmtId="0" fontId="36" fillId="3" borderId="10" xfId="3" applyFont="1" applyFill="1" applyBorder="1" applyAlignment="1">
      <alignment horizontal="left"/>
    </xf>
    <xf numFmtId="0" fontId="36" fillId="3" borderId="0" xfId="3" applyFont="1" applyFill="1" applyBorder="1" applyAlignment="1">
      <alignment horizontal="left"/>
    </xf>
    <xf numFmtId="42" fontId="36" fillId="3" borderId="0" xfId="3" applyNumberFormat="1" applyFont="1" applyFill="1" applyBorder="1" applyAlignment="1">
      <alignment horizontal="center"/>
    </xf>
    <xf numFmtId="42" fontId="36" fillId="3" borderId="10" xfId="3" applyNumberFormat="1" applyFont="1" applyFill="1" applyBorder="1" applyAlignment="1"/>
    <xf numFmtId="42" fontId="36" fillId="3" borderId="0" xfId="3" applyNumberFormat="1" applyFont="1" applyFill="1" applyBorder="1" applyAlignment="1"/>
    <xf numFmtId="42" fontId="36" fillId="3" borderId="11" xfId="3" applyNumberFormat="1" applyFont="1" applyFill="1" applyBorder="1" applyAlignment="1"/>
    <xf numFmtId="41" fontId="36" fillId="3" borderId="0" xfId="3" applyNumberFormat="1" applyFont="1" applyFill="1" applyBorder="1" applyAlignment="1">
      <alignment horizontal="center"/>
    </xf>
    <xf numFmtId="41" fontId="36" fillId="3" borderId="10" xfId="3" applyNumberFormat="1" applyFont="1" applyFill="1" applyBorder="1" applyAlignment="1">
      <alignment horizontal="center"/>
    </xf>
    <xf numFmtId="41" fontId="36" fillId="3" borderId="11" xfId="3" applyNumberFormat="1" applyFont="1" applyFill="1" applyBorder="1" applyAlignment="1">
      <alignment horizontal="center"/>
    </xf>
    <xf numFmtId="41" fontId="36" fillId="3" borderId="10" xfId="3" applyNumberFormat="1" applyFont="1" applyFill="1" applyBorder="1" applyAlignment="1"/>
    <xf numFmtId="41" fontId="36" fillId="3" borderId="0" xfId="3" applyNumberFormat="1" applyFont="1" applyFill="1" applyBorder="1" applyAlignment="1"/>
    <xf numFmtId="41" fontId="36" fillId="3" borderId="11" xfId="3" applyNumberFormat="1" applyFont="1" applyFill="1" applyBorder="1" applyAlignment="1"/>
    <xf numFmtId="0" fontId="36" fillId="3" borderId="13" xfId="3" applyFont="1" applyFill="1" applyBorder="1" applyAlignment="1">
      <alignment horizontal="left"/>
    </xf>
    <xf numFmtId="0" fontId="36" fillId="3" borderId="5" xfId="3" applyFont="1" applyFill="1" applyBorder="1" applyAlignment="1">
      <alignment horizontal="left"/>
    </xf>
    <xf numFmtId="41" fontId="36" fillId="3" borderId="5" xfId="3" applyNumberFormat="1" applyFont="1" applyFill="1" applyBorder="1" applyAlignment="1">
      <alignment horizontal="center"/>
    </xf>
    <xf numFmtId="41" fontId="36" fillId="3" borderId="13" xfId="3" applyNumberFormat="1" applyFont="1" applyFill="1" applyBorder="1" applyAlignment="1"/>
    <xf numFmtId="41" fontId="36" fillId="3" borderId="5" xfId="3" applyNumberFormat="1" applyFont="1" applyFill="1" applyBorder="1" applyAlignment="1"/>
    <xf numFmtId="41" fontId="36" fillId="3" borderId="14" xfId="3" applyNumberFormat="1" applyFont="1" applyFill="1" applyBorder="1" applyAlignment="1"/>
    <xf numFmtId="0" fontId="38" fillId="3" borderId="12" xfId="3" applyFont="1" applyFill="1" applyBorder="1" applyAlignment="1"/>
    <xf numFmtId="0" fontId="38" fillId="3" borderId="6" xfId="3" applyFont="1" applyFill="1" applyBorder="1" applyAlignment="1"/>
    <xf numFmtId="42" fontId="38" fillId="3" borderId="6" xfId="3" applyNumberFormat="1" applyFont="1" applyFill="1" applyBorder="1" applyAlignment="1">
      <alignment horizontal="center"/>
    </xf>
    <xf numFmtId="42" fontId="38" fillId="3" borderId="12" xfId="3" applyNumberFormat="1" applyFont="1" applyFill="1" applyBorder="1" applyAlignment="1"/>
    <xf numFmtId="42" fontId="38" fillId="3" borderId="6" xfId="3" applyNumberFormat="1" applyFont="1" applyFill="1" applyBorder="1" applyAlignment="1"/>
    <xf numFmtId="42" fontId="38" fillId="3" borderId="7" xfId="3" applyNumberFormat="1" applyFont="1" applyFill="1" applyBorder="1" applyAlignment="1"/>
    <xf numFmtId="44" fontId="36" fillId="0" borderId="0" xfId="3" applyNumberFormat="1" applyFont="1" applyAlignment="1"/>
    <xf numFmtId="42" fontId="36" fillId="3" borderId="10" xfId="3" applyNumberFormat="1" applyFont="1" applyFill="1" applyBorder="1" applyAlignment="1">
      <alignment horizontal="center"/>
    </xf>
    <xf numFmtId="42" fontId="36" fillId="3" borderId="11" xfId="3" applyNumberFormat="1" applyFont="1" applyFill="1" applyBorder="1" applyAlignment="1">
      <alignment horizontal="center"/>
    </xf>
    <xf numFmtId="0" fontId="38" fillId="3" borderId="0" xfId="3" applyFont="1" applyFill="1" applyBorder="1" applyAlignment="1"/>
    <xf numFmtId="42" fontId="38" fillId="3" borderId="0" xfId="3" applyNumberFormat="1" applyFont="1" applyFill="1" applyBorder="1" applyAlignment="1">
      <alignment horizontal="center"/>
    </xf>
    <xf numFmtId="42" fontId="38" fillId="3" borderId="0" xfId="3" applyNumberFormat="1" applyFont="1" applyFill="1" applyBorder="1" applyAlignment="1"/>
    <xf numFmtId="42" fontId="38" fillId="3" borderId="11" xfId="3" applyNumberFormat="1" applyFont="1" applyFill="1" applyBorder="1" applyAlignment="1"/>
    <xf numFmtId="0" fontId="38" fillId="2" borderId="3" xfId="3" applyFont="1" applyFill="1" applyBorder="1" applyAlignment="1">
      <alignment horizontal="center"/>
    </xf>
    <xf numFmtId="41" fontId="36" fillId="0" borderId="0" xfId="3" applyNumberFormat="1" applyFont="1" applyAlignment="1"/>
    <xf numFmtId="0" fontId="36" fillId="3" borderId="8" xfId="3" applyFont="1" applyFill="1" applyBorder="1" applyAlignment="1">
      <alignment horizontal="left"/>
    </xf>
    <xf numFmtId="0" fontId="36" fillId="3" borderId="4" xfId="3" applyFont="1" applyFill="1" applyBorder="1" applyAlignment="1"/>
    <xf numFmtId="0" fontId="36" fillId="3" borderId="0" xfId="3" applyFont="1" applyFill="1" applyBorder="1" applyAlignment="1"/>
    <xf numFmtId="0" fontId="38" fillId="3" borderId="0" xfId="3" applyFont="1" applyFill="1" applyBorder="1" applyAlignment="1">
      <alignment horizontal="right"/>
    </xf>
    <xf numFmtId="10" fontId="38" fillId="0" borderId="0" xfId="4" applyNumberFormat="1" applyFont="1" applyFill="1" applyBorder="1" applyAlignment="1">
      <alignment horizontal="center"/>
    </xf>
    <xf numFmtId="41" fontId="36" fillId="0" borderId="0" xfId="3" applyNumberFormat="1" applyFont="1" applyFill="1" applyBorder="1" applyAlignment="1"/>
    <xf numFmtId="41" fontId="38" fillId="3" borderId="0" xfId="3" applyNumberFormat="1" applyFont="1" applyFill="1" applyBorder="1" applyAlignment="1">
      <alignment horizontal="right"/>
    </xf>
    <xf numFmtId="41" fontId="38" fillId="3" borderId="0" xfId="4" applyNumberFormat="1" applyFont="1" applyFill="1" applyBorder="1" applyAlignment="1">
      <alignment horizontal="center"/>
    </xf>
    <xf numFmtId="10" fontId="36" fillId="3" borderId="0" xfId="3" applyNumberFormat="1" applyFont="1" applyFill="1" applyBorder="1" applyAlignment="1">
      <alignment horizontal="center"/>
    </xf>
    <xf numFmtId="0" fontId="36" fillId="3" borderId="5" xfId="3" applyFont="1" applyFill="1" applyBorder="1" applyAlignment="1"/>
    <xf numFmtId="41" fontId="36" fillId="3" borderId="14" xfId="3" applyNumberFormat="1" applyFont="1" applyFill="1" applyBorder="1" applyAlignment="1">
      <alignment horizontal="center"/>
    </xf>
    <xf numFmtId="0" fontId="38" fillId="3" borderId="25" xfId="3" applyFont="1" applyFill="1" applyBorder="1" applyAlignment="1">
      <alignment horizontal="left"/>
    </xf>
    <xf numFmtId="0" fontId="38" fillId="3" borderId="25" xfId="3" applyFont="1" applyFill="1" applyBorder="1" applyAlignment="1">
      <alignment horizontal="right"/>
    </xf>
    <xf numFmtId="42" fontId="38" fillId="3" borderId="25" xfId="3" applyNumberFormat="1" applyFont="1" applyFill="1" applyBorder="1" applyAlignment="1">
      <alignment horizontal="center"/>
    </xf>
    <xf numFmtId="0" fontId="38" fillId="3" borderId="0" xfId="3" applyFont="1" applyFill="1" applyBorder="1" applyAlignment="1">
      <alignment horizontal="left"/>
    </xf>
    <xf numFmtId="0" fontId="38" fillId="0" borderId="4" xfId="3" applyFont="1" applyBorder="1" applyAlignment="1">
      <alignment horizontal="left"/>
    </xf>
    <xf numFmtId="0" fontId="38" fillId="0" borderId="4" xfId="3" applyFont="1" applyBorder="1" applyAlignment="1">
      <alignment horizontal="right"/>
    </xf>
    <xf numFmtId="0" fontId="36" fillId="0" borderId="4" xfId="3" applyFont="1" applyBorder="1" applyAlignment="1">
      <alignment horizontal="center"/>
    </xf>
    <xf numFmtId="0" fontId="36" fillId="0" borderId="4" xfId="3" applyFont="1" applyFill="1" applyBorder="1" applyAlignment="1"/>
    <xf numFmtId="0" fontId="38" fillId="0" borderId="0" xfId="3" applyFont="1" applyBorder="1" applyAlignment="1"/>
    <xf numFmtId="42" fontId="38" fillId="0" borderId="0" xfId="3" applyNumberFormat="1" applyFont="1" applyBorder="1" applyAlignment="1"/>
    <xf numFmtId="0" fontId="36" fillId="0" borderId="0" xfId="3" applyFont="1" applyBorder="1" applyAlignment="1">
      <alignment horizontal="center"/>
    </xf>
    <xf numFmtId="0" fontId="36" fillId="0" borderId="0" xfId="3" applyFont="1" applyFill="1" applyBorder="1" applyAlignment="1"/>
    <xf numFmtId="0" fontId="36" fillId="0" borderId="0" xfId="3" applyFont="1" applyBorder="1" applyAlignment="1"/>
    <xf numFmtId="0" fontId="38" fillId="0" borderId="0" xfId="3" applyFont="1" applyBorder="1" applyAlignment="1">
      <alignment horizontal="left"/>
    </xf>
    <xf numFmtId="10" fontId="38" fillId="0" borderId="0" xfId="3" applyNumberFormat="1" applyFont="1" applyBorder="1" applyAlignment="1">
      <alignment horizontal="right"/>
    </xf>
    <xf numFmtId="0" fontId="38" fillId="0" borderId="0" xfId="3" applyFont="1" applyFill="1" applyBorder="1" applyAlignment="1"/>
    <xf numFmtId="0" fontId="38" fillId="0" borderId="8" xfId="3" applyFont="1" applyFill="1" applyBorder="1" applyAlignment="1"/>
    <xf numFmtId="42" fontId="38" fillId="0" borderId="9" xfId="3" applyNumberFormat="1" applyFont="1" applyFill="1" applyBorder="1" applyAlignment="1"/>
    <xf numFmtId="0" fontId="36" fillId="0" borderId="0" xfId="3" applyFont="1" applyBorder="1" applyAlignment="1">
      <alignment horizontal="left"/>
    </xf>
    <xf numFmtId="0" fontId="38" fillId="0" borderId="12" xfId="3" applyFont="1" applyFill="1" applyBorder="1" applyAlignment="1"/>
    <xf numFmtId="0" fontId="36" fillId="0" borderId="6" xfId="3" applyFont="1" applyFill="1" applyBorder="1" applyAlignment="1"/>
    <xf numFmtId="41" fontId="38" fillId="0" borderId="7" xfId="3" applyNumberFormat="1" applyFont="1" applyFill="1" applyBorder="1" applyAlignment="1"/>
    <xf numFmtId="0" fontId="36" fillId="0" borderId="6" xfId="3" applyFont="1" applyBorder="1" applyAlignment="1"/>
    <xf numFmtId="0" fontId="38" fillId="0" borderId="6" xfId="3" applyFont="1" applyBorder="1" applyAlignment="1"/>
    <xf numFmtId="0" fontId="36" fillId="0" borderId="6" xfId="3" applyFont="1" applyBorder="1" applyAlignment="1">
      <alignment horizontal="center"/>
    </xf>
    <xf numFmtId="0" fontId="38" fillId="0" borderId="6" xfId="3" applyFont="1" applyFill="1" applyBorder="1" applyAlignment="1"/>
    <xf numFmtId="0" fontId="36" fillId="0" borderId="1" xfId="3" applyFont="1" applyBorder="1" applyAlignment="1"/>
    <xf numFmtId="0" fontId="36" fillId="0" borderId="2" xfId="3" applyFont="1" applyBorder="1" applyAlignment="1"/>
    <xf numFmtId="0" fontId="38" fillId="0" borderId="0" xfId="3" applyFont="1" applyBorder="1" applyAlignment="1">
      <alignment horizontal="center"/>
    </xf>
    <xf numFmtId="0" fontId="38" fillId="2" borderId="2" xfId="3" applyFont="1" applyFill="1" applyBorder="1" applyAlignment="1"/>
    <xf numFmtId="0" fontId="36" fillId="2" borderId="2" xfId="3" applyFont="1" applyFill="1" applyBorder="1" applyAlignment="1">
      <alignment horizontal="center"/>
    </xf>
    <xf numFmtId="167" fontId="36" fillId="3" borderId="0" xfId="3" applyNumberFormat="1" applyFont="1" applyFill="1" applyBorder="1" applyAlignment="1">
      <alignment horizontal="center"/>
    </xf>
    <xf numFmtId="3" fontId="36" fillId="3" borderId="0" xfId="3" applyNumberFormat="1" applyFont="1" applyFill="1" applyBorder="1" applyAlignment="1">
      <alignment horizontal="center"/>
    </xf>
    <xf numFmtId="3" fontId="36" fillId="3" borderId="8" xfId="3" applyNumberFormat="1" applyFont="1" applyFill="1" applyBorder="1" applyAlignment="1">
      <alignment horizontal="center"/>
    </xf>
    <xf numFmtId="3" fontId="36" fillId="3" borderId="4" xfId="3" applyNumberFormat="1" applyFont="1" applyFill="1" applyBorder="1" applyAlignment="1">
      <alignment horizontal="center"/>
    </xf>
    <xf numFmtId="3" fontId="36" fillId="3" borderId="9" xfId="3" applyNumberFormat="1" applyFont="1" applyFill="1" applyBorder="1" applyAlignment="1">
      <alignment horizontal="center"/>
    </xf>
    <xf numFmtId="3" fontId="36" fillId="3" borderId="11" xfId="3" applyNumberFormat="1" applyFont="1" applyFill="1" applyBorder="1" applyAlignment="1">
      <alignment horizontal="center"/>
    </xf>
    <xf numFmtId="1" fontId="36" fillId="3" borderId="0" xfId="3" applyNumberFormat="1" applyFont="1" applyFill="1" applyBorder="1" applyAlignment="1">
      <alignment horizontal="center"/>
    </xf>
    <xf numFmtId="1" fontId="36" fillId="3" borderId="10" xfId="3" applyNumberFormat="1" applyFont="1" applyFill="1" applyBorder="1" applyAlignment="1">
      <alignment horizontal="center"/>
    </xf>
    <xf numFmtId="0" fontId="36" fillId="3" borderId="0" xfId="3" applyFont="1" applyFill="1" applyBorder="1" applyAlignment="1">
      <alignment horizontal="center"/>
    </xf>
    <xf numFmtId="0" fontId="36" fillId="3" borderId="11" xfId="3" applyFont="1" applyFill="1" applyBorder="1" applyAlignment="1">
      <alignment horizontal="center"/>
    </xf>
    <xf numFmtId="0" fontId="36" fillId="3" borderId="10" xfId="3" applyFont="1" applyFill="1" applyBorder="1" applyAlignment="1">
      <alignment horizontal="center"/>
    </xf>
    <xf numFmtId="3" fontId="36" fillId="3" borderId="10" xfId="3" applyNumberFormat="1" applyFont="1" applyFill="1" applyBorder="1" applyAlignment="1">
      <alignment horizontal="center"/>
    </xf>
    <xf numFmtId="0" fontId="36" fillId="3" borderId="10" xfId="3" applyFont="1" applyFill="1" applyBorder="1" applyAlignment="1"/>
    <xf numFmtId="169" fontId="36" fillId="3" borderId="0" xfId="3" applyNumberFormat="1" applyFont="1" applyFill="1" applyBorder="1" applyAlignment="1">
      <alignment horizontal="center"/>
    </xf>
    <xf numFmtId="171" fontId="36" fillId="3" borderId="0" xfId="3" applyNumberFormat="1" applyFont="1" applyFill="1" applyBorder="1" applyAlignment="1">
      <alignment horizontal="center"/>
    </xf>
    <xf numFmtId="0" fontId="38" fillId="2" borderId="1" xfId="3" applyFont="1" applyFill="1" applyBorder="1" applyAlignment="1"/>
    <xf numFmtId="0" fontId="36" fillId="3" borderId="0" xfId="3" applyFont="1" applyFill="1" applyBorder="1" applyAlignment="1">
      <alignment horizontal="right"/>
    </xf>
    <xf numFmtId="168" fontId="36" fillId="3" borderId="0" xfId="3" applyNumberFormat="1" applyFont="1" applyFill="1" applyBorder="1" applyAlignment="1">
      <alignment horizontal="center"/>
    </xf>
    <xf numFmtId="168" fontId="36" fillId="3" borderId="5" xfId="3" applyNumberFormat="1" applyFont="1" applyFill="1" applyBorder="1" applyAlignment="1">
      <alignment horizontal="center"/>
    </xf>
    <xf numFmtId="3" fontId="36" fillId="3" borderId="5" xfId="3" applyNumberFormat="1" applyFont="1" applyFill="1" applyBorder="1" applyAlignment="1">
      <alignment horizontal="center"/>
    </xf>
    <xf numFmtId="3" fontId="36" fillId="3" borderId="13" xfId="3" applyNumberFormat="1" applyFont="1" applyFill="1" applyBorder="1" applyAlignment="1">
      <alignment horizontal="center"/>
    </xf>
    <xf numFmtId="3" fontId="36" fillId="3" borderId="14" xfId="3" applyNumberFormat="1" applyFont="1" applyFill="1" applyBorder="1" applyAlignment="1">
      <alignment horizontal="center"/>
    </xf>
    <xf numFmtId="0" fontId="38" fillId="3" borderId="12" xfId="3" applyFont="1" applyFill="1" applyBorder="1" applyAlignment="1">
      <alignment horizontal="left"/>
    </xf>
    <xf numFmtId="0" fontId="38" fillId="3" borderId="6" xfId="3" applyFont="1" applyFill="1" applyBorder="1" applyAlignment="1">
      <alignment horizontal="right"/>
    </xf>
    <xf numFmtId="3" fontId="38" fillId="3" borderId="6" xfId="3" applyNumberFormat="1" applyFont="1" applyFill="1" applyBorder="1" applyAlignment="1">
      <alignment horizontal="center"/>
    </xf>
    <xf numFmtId="3" fontId="38" fillId="3" borderId="12" xfId="3" applyNumberFormat="1" applyFont="1" applyFill="1" applyBorder="1" applyAlignment="1">
      <alignment horizontal="center"/>
    </xf>
    <xf numFmtId="3" fontId="38" fillId="3" borderId="7" xfId="3" applyNumberFormat="1" applyFont="1" applyFill="1" applyBorder="1" applyAlignment="1">
      <alignment horizontal="center"/>
    </xf>
    <xf numFmtId="0" fontId="38" fillId="3" borderId="4" xfId="3" applyFont="1" applyFill="1" applyBorder="1" applyAlignment="1">
      <alignment horizontal="left"/>
    </xf>
    <xf numFmtId="0" fontId="38" fillId="3" borderId="4" xfId="3" applyFont="1" applyFill="1" applyBorder="1" applyAlignment="1"/>
    <xf numFmtId="0" fontId="38" fillId="3" borderId="4" xfId="3" applyFont="1" applyFill="1" applyBorder="1" applyAlignment="1">
      <alignment horizontal="right"/>
    </xf>
    <xf numFmtId="3" fontId="38" fillId="3" borderId="4" xfId="3" applyNumberFormat="1" applyFont="1" applyFill="1" applyBorder="1" applyAlignment="1">
      <alignment horizontal="center"/>
    </xf>
    <xf numFmtId="0" fontId="38" fillId="3" borderId="1" xfId="3" applyFont="1" applyFill="1" applyBorder="1" applyAlignment="1">
      <alignment horizontal="left"/>
    </xf>
    <xf numFmtId="0" fontId="38" fillId="3" borderId="2" xfId="3" applyFont="1" applyFill="1" applyBorder="1" applyAlignment="1">
      <alignment wrapText="1"/>
    </xf>
    <xf numFmtId="0" fontId="38" fillId="3" borderId="2" xfId="3" applyFont="1" applyFill="1" applyBorder="1" applyAlignment="1">
      <alignment horizontal="left" wrapText="1"/>
    </xf>
    <xf numFmtId="0" fontId="36" fillId="3" borderId="2" xfId="3" applyFont="1" applyFill="1" applyBorder="1" applyAlignment="1">
      <alignment wrapText="1"/>
    </xf>
    <xf numFmtId="0" fontId="38" fillId="3" borderId="1" xfId="3" applyFont="1" applyFill="1" applyBorder="1" applyAlignment="1">
      <alignment horizontal="center"/>
    </xf>
    <xf numFmtId="0" fontId="38" fillId="3" borderId="15" xfId="3" applyFont="1" applyFill="1" applyBorder="1" applyAlignment="1">
      <alignment horizontal="center"/>
    </xf>
    <xf numFmtId="0" fontId="36" fillId="0" borderId="0" xfId="3" applyFont="1" applyBorder="1" applyAlignment="1">
      <alignment wrapText="1"/>
    </xf>
    <xf numFmtId="0" fontId="36" fillId="3" borderId="1" xfId="3" applyFont="1" applyFill="1" applyBorder="1" applyAlignment="1">
      <alignment wrapText="1"/>
    </xf>
    <xf numFmtId="0" fontId="36" fillId="0" borderId="0" xfId="3" applyFont="1" applyAlignment="1">
      <alignment wrapText="1"/>
    </xf>
    <xf numFmtId="44" fontId="36" fillId="3" borderId="19" xfId="3" applyNumberFormat="1" applyFont="1" applyFill="1" applyBorder="1" applyAlignment="1">
      <alignment horizontal="right"/>
    </xf>
    <xf numFmtId="177" fontId="36" fillId="3" borderId="19" xfId="1" applyNumberFormat="1" applyFont="1" applyFill="1" applyBorder="1" applyAlignment="1"/>
    <xf numFmtId="0" fontId="39" fillId="3" borderId="8" xfId="3" applyFont="1" applyFill="1" applyBorder="1" applyAlignment="1"/>
    <xf numFmtId="0" fontId="36" fillId="3" borderId="9" xfId="3" applyFont="1" applyFill="1" applyBorder="1" applyAlignment="1"/>
    <xf numFmtId="0" fontId="36" fillId="3" borderId="8" xfId="3" applyFont="1" applyFill="1" applyBorder="1" applyAlignment="1"/>
    <xf numFmtId="0" fontId="36" fillId="3" borderId="19" xfId="3" applyFont="1" applyFill="1" applyBorder="1" applyAlignment="1">
      <alignment horizontal="right"/>
    </xf>
    <xf numFmtId="44" fontId="36" fillId="3" borderId="16" xfId="3" applyNumberFormat="1" applyFont="1" applyFill="1" applyBorder="1" applyAlignment="1">
      <alignment horizontal="right"/>
    </xf>
    <xf numFmtId="177" fontId="36" fillId="3" borderId="16" xfId="1" applyNumberFormat="1" applyFont="1" applyFill="1" applyBorder="1" applyAlignment="1"/>
    <xf numFmtId="3" fontId="36" fillId="3" borderId="11" xfId="3" applyNumberFormat="1" applyFont="1" applyFill="1" applyBorder="1" applyAlignment="1"/>
    <xf numFmtId="10" fontId="36" fillId="3" borderId="16" xfId="4" applyNumberFormat="1" applyFont="1" applyFill="1" applyBorder="1" applyAlignment="1">
      <alignment horizontal="center"/>
    </xf>
    <xf numFmtId="44" fontId="36" fillId="3" borderId="11" xfId="3" applyNumberFormat="1" applyFont="1" applyFill="1" applyBorder="1" applyAlignment="1"/>
    <xf numFmtId="0" fontId="39" fillId="3" borderId="10" xfId="3" applyFont="1" applyFill="1" applyBorder="1" applyAlignment="1"/>
    <xf numFmtId="0" fontId="36" fillId="3" borderId="11" xfId="3" applyFont="1" applyFill="1" applyBorder="1" applyAlignment="1"/>
    <xf numFmtId="44" fontId="36" fillId="0" borderId="16" xfId="3" applyNumberFormat="1" applyFont="1" applyFill="1" applyBorder="1" applyAlignment="1">
      <alignment horizontal="right"/>
    </xf>
    <xf numFmtId="177" fontId="36" fillId="0" borderId="16" xfId="1" applyNumberFormat="1" applyFont="1" applyBorder="1" applyAlignment="1"/>
    <xf numFmtId="0" fontId="36" fillId="3" borderId="16" xfId="3" applyFont="1" applyFill="1" applyBorder="1" applyAlignment="1">
      <alignment horizontal="right"/>
    </xf>
    <xf numFmtId="42" fontId="36" fillId="0" borderId="10" xfId="3" applyNumberFormat="1" applyFont="1" applyFill="1" applyBorder="1" applyAlignment="1"/>
    <xf numFmtId="41" fontId="36" fillId="3" borderId="16" xfId="3" applyNumberFormat="1" applyFont="1" applyFill="1" applyBorder="1" applyAlignment="1"/>
    <xf numFmtId="44" fontId="36" fillId="3" borderId="17" xfId="3" applyNumberFormat="1" applyFont="1" applyFill="1" applyBorder="1" applyAlignment="1">
      <alignment horizontal="right"/>
    </xf>
    <xf numFmtId="41" fontId="36" fillId="3" borderId="17" xfId="3" applyNumberFormat="1" applyFont="1" applyFill="1" applyBorder="1" applyAlignment="1"/>
    <xf numFmtId="0" fontId="36" fillId="3" borderId="2" xfId="3" applyFont="1" applyFill="1" applyBorder="1" applyAlignment="1"/>
    <xf numFmtId="0" fontId="36" fillId="3" borderId="2" xfId="3" applyFont="1" applyFill="1" applyBorder="1" applyAlignment="1">
      <alignment horizontal="right"/>
    </xf>
    <xf numFmtId="43" fontId="36" fillId="3" borderId="1" xfId="3" applyNumberFormat="1" applyFont="1" applyFill="1" applyBorder="1" applyAlignment="1">
      <alignment horizontal="right"/>
    </xf>
    <xf numFmtId="41" fontId="36" fillId="3" borderId="15" xfId="3" applyNumberFormat="1" applyFont="1" applyFill="1" applyBorder="1" applyAlignment="1"/>
    <xf numFmtId="43" fontId="36" fillId="0" borderId="0" xfId="3" applyNumberFormat="1" applyFont="1" applyBorder="1" applyAlignment="1"/>
    <xf numFmtId="0" fontId="38" fillId="3" borderId="2" xfId="3" applyFont="1" applyFill="1" applyBorder="1" applyAlignment="1"/>
    <xf numFmtId="0" fontId="36" fillId="3" borderId="3" xfId="3" applyFont="1" applyFill="1" applyBorder="1" applyAlignment="1"/>
    <xf numFmtId="0" fontId="36" fillId="3" borderId="7" xfId="3" applyFont="1" applyFill="1" applyBorder="1" applyAlignment="1"/>
    <xf numFmtId="10" fontId="38" fillId="3" borderId="17" xfId="3" applyNumberFormat="1" applyFont="1" applyFill="1" applyBorder="1" applyAlignment="1">
      <alignment horizontal="center"/>
    </xf>
    <xf numFmtId="0" fontId="36" fillId="0" borderId="19" xfId="3" applyFont="1" applyBorder="1" applyAlignment="1"/>
    <xf numFmtId="42" fontId="36" fillId="3" borderId="19" xfId="3" applyNumberFormat="1" applyFont="1" applyFill="1" applyBorder="1" applyAlignment="1"/>
    <xf numFmtId="42" fontId="36" fillId="0" borderId="0" xfId="3" applyNumberFormat="1" applyFont="1" applyBorder="1" applyAlignment="1"/>
    <xf numFmtId="0" fontId="36" fillId="0" borderId="16" xfId="3" applyFont="1" applyBorder="1" applyAlignment="1"/>
    <xf numFmtId="0" fontId="36" fillId="3" borderId="5" xfId="3" applyFont="1" applyFill="1" applyBorder="1" applyAlignment="1">
      <alignment horizontal="right"/>
    </xf>
    <xf numFmtId="0" fontId="36" fillId="3" borderId="17" xfId="3" applyFont="1" applyFill="1" applyBorder="1" applyAlignment="1"/>
    <xf numFmtId="0" fontId="38" fillId="3" borderId="10" xfId="3" applyFont="1" applyFill="1" applyBorder="1" applyAlignment="1">
      <alignment horizontal="left"/>
    </xf>
    <xf numFmtId="42" fontId="38" fillId="3" borderId="19" xfId="3" applyNumberFormat="1" applyFont="1" applyFill="1" applyBorder="1" applyAlignment="1"/>
    <xf numFmtId="0" fontId="38" fillId="3" borderId="2" xfId="3" applyFont="1" applyFill="1" applyBorder="1" applyAlignment="1">
      <alignment horizontal="right"/>
    </xf>
    <xf numFmtId="0" fontId="36" fillId="3" borderId="15" xfId="3" applyFont="1" applyFill="1" applyBorder="1" applyAlignment="1"/>
    <xf numFmtId="42" fontId="38" fillId="3" borderId="15" xfId="3" applyNumberFormat="1" applyFont="1" applyFill="1" applyBorder="1" applyAlignment="1"/>
    <xf numFmtId="0" fontId="36" fillId="3" borderId="0" xfId="3" applyFont="1" applyFill="1" applyAlignment="1"/>
    <xf numFmtId="0" fontId="36" fillId="3" borderId="0" xfId="3" applyFont="1" applyFill="1" applyAlignment="1">
      <alignment horizontal="center"/>
    </xf>
    <xf numFmtId="42" fontId="36" fillId="0" borderId="0" xfId="3" applyNumberFormat="1" applyFont="1" applyAlignment="1"/>
    <xf numFmtId="0" fontId="38" fillId="3" borderId="3" xfId="3" applyFont="1" applyFill="1" applyBorder="1" applyAlignment="1">
      <alignment horizontal="centerContinuous"/>
    </xf>
    <xf numFmtId="0" fontId="36" fillId="3" borderId="8" xfId="0" applyFont="1" applyFill="1" applyBorder="1"/>
    <xf numFmtId="0" fontId="38" fillId="3" borderId="4" xfId="0" applyFont="1" applyFill="1" applyBorder="1" applyAlignment="1">
      <alignment horizontal="center"/>
    </xf>
    <xf numFmtId="0" fontId="38" fillId="3" borderId="19" xfId="0" applyFont="1" applyFill="1" applyBorder="1" applyAlignment="1">
      <alignment horizontal="center"/>
    </xf>
    <xf numFmtId="0" fontId="38" fillId="3" borderId="12" xfId="0" applyFont="1" applyFill="1" applyBorder="1"/>
    <xf numFmtId="0" fontId="36" fillId="3" borderId="6" xfId="3" applyFont="1" applyFill="1" applyBorder="1" applyAlignment="1"/>
    <xf numFmtId="0" fontId="38" fillId="3" borderId="6" xfId="0" applyFont="1" applyFill="1" applyBorder="1" applyAlignment="1">
      <alignment horizontal="center"/>
    </xf>
    <xf numFmtId="0" fontId="38" fillId="3" borderId="17" xfId="0" applyFont="1" applyFill="1" applyBorder="1" applyAlignment="1">
      <alignment horizontal="center"/>
    </xf>
    <xf numFmtId="0" fontId="38" fillId="3" borderId="4" xfId="3" applyFont="1" applyFill="1" applyBorder="1" applyAlignment="1">
      <alignment horizontal="center"/>
    </xf>
    <xf numFmtId="0" fontId="36" fillId="0" borderId="9" xfId="3" applyFont="1" applyBorder="1" applyAlignment="1"/>
    <xf numFmtId="44" fontId="36" fillId="3" borderId="0" xfId="2" applyNumberFormat="1" applyFont="1" applyFill="1" applyBorder="1" applyAlignment="1">
      <alignment horizontal="center"/>
    </xf>
    <xf numFmtId="43" fontId="36" fillId="3" borderId="0" xfId="3" applyNumberFormat="1" applyFont="1" applyFill="1" applyBorder="1" applyAlignment="1">
      <alignment horizontal="center"/>
    </xf>
    <xf numFmtId="43" fontId="36" fillId="3" borderId="0" xfId="3" applyNumberFormat="1" applyFont="1" applyFill="1" applyBorder="1" applyAlignment="1"/>
    <xf numFmtId="44" fontId="36" fillId="3" borderId="16" xfId="3" applyNumberFormat="1" applyFont="1" applyFill="1" applyBorder="1" applyAlignment="1"/>
    <xf numFmtId="0" fontId="38" fillId="3" borderId="6" xfId="3" applyFont="1" applyFill="1" applyBorder="1" applyAlignment="1">
      <alignment horizontal="center"/>
    </xf>
    <xf numFmtId="44" fontId="38" fillId="0" borderId="12" xfId="3" applyNumberFormat="1" applyFont="1" applyBorder="1" applyAlignment="1">
      <alignment horizontal="left"/>
    </xf>
    <xf numFmtId="44" fontId="36" fillId="0" borderId="6" xfId="3" applyNumberFormat="1" applyFont="1" applyBorder="1" applyAlignment="1">
      <alignment horizontal="center"/>
    </xf>
    <xf numFmtId="44" fontId="36" fillId="0" borderId="7" xfId="3" applyNumberFormat="1" applyFont="1" applyBorder="1" applyAlignment="1">
      <alignment horizontal="center"/>
    </xf>
    <xf numFmtId="43" fontId="36" fillId="3" borderId="16" xfId="3" applyNumberFormat="1" applyFont="1" applyFill="1" applyBorder="1" applyAlignment="1"/>
    <xf numFmtId="44" fontId="36" fillId="3" borderId="4" xfId="3" applyNumberFormat="1" applyFont="1" applyFill="1" applyBorder="1" applyAlignment="1"/>
    <xf numFmtId="0" fontId="36" fillId="3" borderId="12" xfId="3" applyFont="1" applyFill="1" applyBorder="1" applyAlignment="1"/>
    <xf numFmtId="0" fontId="36" fillId="3" borderId="1" xfId="3" applyFont="1" applyFill="1" applyBorder="1" applyAlignment="1"/>
    <xf numFmtId="10" fontId="36" fillId="3" borderId="2" xfId="3" applyNumberFormat="1" applyFont="1" applyFill="1" applyBorder="1" applyAlignment="1">
      <alignment horizontal="right"/>
    </xf>
    <xf numFmtId="0" fontId="36" fillId="0" borderId="1" xfId="3" applyFont="1" applyFill="1" applyBorder="1" applyAlignment="1"/>
    <xf numFmtId="0" fontId="36" fillId="0" borderId="2" xfId="3" applyFont="1" applyFill="1" applyBorder="1" applyAlignment="1"/>
    <xf numFmtId="0" fontId="36" fillId="0" borderId="3" xfId="3" applyFont="1" applyFill="1" applyBorder="1" applyAlignment="1"/>
    <xf numFmtId="8" fontId="36" fillId="3" borderId="3" xfId="3" applyNumberFormat="1" applyFont="1" applyFill="1" applyBorder="1" applyAlignment="1">
      <alignment horizontal="right"/>
    </xf>
    <xf numFmtId="0" fontId="36" fillId="0" borderId="8" xfId="3" applyFont="1" applyFill="1" applyBorder="1" applyAlignment="1"/>
    <xf numFmtId="0" fontId="36" fillId="0" borderId="9" xfId="3" applyFont="1" applyFill="1" applyBorder="1" applyAlignment="1"/>
    <xf numFmtId="43" fontId="36" fillId="3" borderId="6" xfId="3" applyNumberFormat="1" applyFont="1" applyFill="1" applyBorder="1" applyAlignment="1"/>
    <xf numFmtId="43" fontId="36" fillId="3" borderId="6" xfId="3" applyNumberFormat="1" applyFont="1" applyFill="1" applyBorder="1" applyAlignment="1">
      <alignment horizontal="center"/>
    </xf>
    <xf numFmtId="43" fontId="36" fillId="3" borderId="17" xfId="3" applyNumberFormat="1" applyFont="1" applyFill="1" applyBorder="1" applyAlignment="1"/>
    <xf numFmtId="0" fontId="36" fillId="3" borderId="0" xfId="0" applyFont="1" applyFill="1"/>
    <xf numFmtId="44" fontId="36" fillId="3" borderId="3" xfId="3" applyNumberFormat="1" applyFont="1" applyFill="1" applyBorder="1" applyAlignment="1"/>
    <xf numFmtId="0" fontId="36" fillId="3" borderId="0" xfId="3" applyFont="1" applyFill="1" applyAlignment="1">
      <alignment vertical="top"/>
    </xf>
    <xf numFmtId="0" fontId="38" fillId="3" borderId="8" xfId="0" applyFont="1" applyFill="1" applyBorder="1"/>
    <xf numFmtId="0" fontId="38" fillId="3" borderId="9" xfId="0" applyFont="1" applyFill="1" applyBorder="1" applyAlignment="1">
      <alignment horizontal="center"/>
    </xf>
    <xf numFmtId="10" fontId="36" fillId="3" borderId="6" xfId="4" applyNumberFormat="1" applyFont="1" applyFill="1" applyBorder="1" applyAlignment="1"/>
    <xf numFmtId="0" fontId="38" fillId="3" borderId="7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Continuous"/>
    </xf>
    <xf numFmtId="0" fontId="36" fillId="3" borderId="10" xfId="0" applyFont="1" applyFill="1" applyBorder="1"/>
    <xf numFmtId="0" fontId="36" fillId="3" borderId="0" xfId="0" applyFont="1" applyFill="1" applyBorder="1" applyAlignment="1">
      <alignment horizontal="center"/>
    </xf>
    <xf numFmtId="42" fontId="36" fillId="3" borderId="0" xfId="0" applyNumberFormat="1" applyFont="1" applyFill="1" applyBorder="1"/>
    <xf numFmtId="3" fontId="36" fillId="3" borderId="11" xfId="0" applyNumberFormat="1" applyFont="1" applyFill="1" applyBorder="1" applyAlignment="1">
      <alignment horizontal="center"/>
    </xf>
    <xf numFmtId="44" fontId="36" fillId="3" borderId="16" xfId="0" applyNumberFormat="1" applyFont="1" applyFill="1" applyBorder="1"/>
    <xf numFmtId="0" fontId="38" fillId="3" borderId="0" xfId="0" applyFont="1" applyFill="1" applyBorder="1" applyAlignment="1">
      <alignment horizontal="center"/>
    </xf>
    <xf numFmtId="0" fontId="36" fillId="0" borderId="10" xfId="3" applyFont="1" applyBorder="1" applyAlignment="1"/>
    <xf numFmtId="10" fontId="36" fillId="0" borderId="0" xfId="3" applyNumberFormat="1" applyFont="1" applyFill="1" applyBorder="1" applyAlignment="1"/>
    <xf numFmtId="41" fontId="36" fillId="3" borderId="0" xfId="0" applyNumberFormat="1" applyFont="1" applyFill="1" applyBorder="1"/>
    <xf numFmtId="44" fontId="38" fillId="3" borderId="0" xfId="0" applyNumberFormat="1" applyFont="1" applyFill="1" applyBorder="1" applyAlignment="1">
      <alignment horizontal="center"/>
    </xf>
    <xf numFmtId="0" fontId="36" fillId="0" borderId="12" xfId="3" applyFont="1" applyBorder="1" applyAlignment="1"/>
    <xf numFmtId="10" fontId="36" fillId="0" borderId="6" xfId="3" applyNumberFormat="1" applyFont="1" applyFill="1" applyBorder="1" applyAlignment="1"/>
    <xf numFmtId="44" fontId="36" fillId="0" borderId="9" xfId="2" applyFont="1" applyFill="1" applyBorder="1" applyAlignment="1"/>
    <xf numFmtId="9" fontId="36" fillId="0" borderId="7" xfId="3" applyNumberFormat="1" applyFont="1" applyFill="1" applyBorder="1" applyAlignment="1"/>
    <xf numFmtId="0" fontId="36" fillId="0" borderId="12" xfId="3" applyFont="1" applyFill="1" applyBorder="1" applyAlignment="1"/>
    <xf numFmtId="0" fontId="36" fillId="0" borderId="7" xfId="3" applyFont="1" applyFill="1" applyBorder="1" applyAlignment="1"/>
    <xf numFmtId="0" fontId="36" fillId="3" borderId="6" xfId="0" applyFont="1" applyFill="1" applyBorder="1" applyAlignment="1">
      <alignment horizontal="center"/>
    </xf>
    <xf numFmtId="42" fontId="38" fillId="3" borderId="6" xfId="0" applyNumberFormat="1" applyFont="1" applyFill="1" applyBorder="1"/>
    <xf numFmtId="3" fontId="38" fillId="3" borderId="7" xfId="0" applyNumberFormat="1" applyFont="1" applyFill="1" applyBorder="1" applyAlignment="1">
      <alignment horizontal="center"/>
    </xf>
    <xf numFmtId="44" fontId="38" fillId="3" borderId="17" xfId="0" applyNumberFormat="1" applyFont="1" applyFill="1" applyBorder="1"/>
    <xf numFmtId="6" fontId="36" fillId="0" borderId="9" xfId="3" applyNumberFormat="1" applyFont="1" applyFill="1" applyBorder="1" applyAlignment="1"/>
    <xf numFmtId="0" fontId="36" fillId="0" borderId="10" xfId="3" applyFont="1" applyFill="1" applyBorder="1" applyAlignment="1"/>
    <xf numFmtId="0" fontId="36" fillId="0" borderId="11" xfId="3" applyFont="1" applyFill="1" applyBorder="1" applyAlignment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41" fontId="36" fillId="0" borderId="0" xfId="0" applyNumberFormat="1" applyFont="1" applyFill="1"/>
    <xf numFmtId="3" fontId="36" fillId="0" borderId="0" xfId="0" applyNumberFormat="1" applyFont="1" applyFill="1" applyAlignment="1">
      <alignment horizontal="center"/>
    </xf>
    <xf numFmtId="6" fontId="36" fillId="0" borderId="7" xfId="3" applyNumberFormat="1" applyFont="1" applyFill="1" applyBorder="1" applyAlignment="1"/>
    <xf numFmtId="42" fontId="38" fillId="3" borderId="0" xfId="0" applyNumberFormat="1" applyFont="1" applyFill="1" applyBorder="1"/>
    <xf numFmtId="10" fontId="36" fillId="0" borderId="9" xfId="3" applyNumberFormat="1" applyFont="1" applyFill="1" applyBorder="1" applyAlignment="1"/>
    <xf numFmtId="0" fontId="25" fillId="3" borderId="0" xfId="0" applyFont="1" applyFill="1"/>
    <xf numFmtId="0" fontId="25" fillId="3" borderId="0" xfId="0" applyFont="1" applyFill="1" applyAlignment="1">
      <alignment horizontal="center"/>
    </xf>
    <xf numFmtId="41" fontId="25" fillId="3" borderId="0" xfId="0" applyNumberFormat="1" applyFont="1" applyFill="1"/>
    <xf numFmtId="3" fontId="25" fillId="3" borderId="0" xfId="0" applyNumberFormat="1" applyFont="1" applyFill="1" applyAlignment="1">
      <alignment horizontal="center"/>
    </xf>
    <xf numFmtId="41" fontId="36" fillId="3" borderId="0" xfId="0" applyNumberFormat="1" applyFont="1" applyFill="1"/>
    <xf numFmtId="10" fontId="36" fillId="0" borderId="11" xfId="3" applyNumberFormat="1" applyFont="1" applyFill="1" applyBorder="1" applyAlignment="1"/>
    <xf numFmtId="0" fontId="36" fillId="0" borderId="8" xfId="0" applyFont="1" applyFill="1" applyBorder="1"/>
    <xf numFmtId="0" fontId="36" fillId="0" borderId="4" xfId="0" applyFont="1" applyFill="1" applyBorder="1" applyAlignment="1">
      <alignment horizontal="center"/>
    </xf>
    <xf numFmtId="41" fontId="36" fillId="0" borderId="4" xfId="0" applyNumberFormat="1" applyFont="1" applyFill="1" applyBorder="1"/>
    <xf numFmtId="3" fontId="36" fillId="0" borderId="4" xfId="0" applyNumberFormat="1" applyFont="1" applyFill="1" applyBorder="1" applyAlignment="1">
      <alignment horizontal="center"/>
    </xf>
    <xf numFmtId="41" fontId="36" fillId="3" borderId="9" xfId="0" applyNumberFormat="1" applyFont="1" applyFill="1" applyBorder="1"/>
    <xf numFmtId="0" fontId="36" fillId="3" borderId="13" xfId="0" applyFont="1" applyFill="1" applyBorder="1"/>
    <xf numFmtId="0" fontId="36" fillId="3" borderId="5" xfId="0" applyFont="1" applyFill="1" applyBorder="1"/>
    <xf numFmtId="41" fontId="36" fillId="3" borderId="14" xfId="0" applyNumberFormat="1" applyFont="1" applyFill="1" applyBorder="1"/>
    <xf numFmtId="0" fontId="36" fillId="0" borderId="10" xfId="3" applyFont="1" applyFill="1" applyBorder="1" applyAlignment="1">
      <alignment horizontal="left" vertical="center"/>
    </xf>
    <xf numFmtId="0" fontId="36" fillId="0" borderId="0" xfId="3" applyFont="1" applyFill="1" applyBorder="1" applyAlignment="1">
      <alignment horizontal="left" vertical="center"/>
    </xf>
    <xf numFmtId="0" fontId="36" fillId="0" borderId="11" xfId="3" applyFont="1" applyFill="1" applyBorder="1" applyAlignment="1">
      <alignment horizontal="left" vertical="center"/>
    </xf>
    <xf numFmtId="0" fontId="38" fillId="3" borderId="10" xfId="0" applyFont="1" applyFill="1" applyBorder="1"/>
    <xf numFmtId="0" fontId="36" fillId="3" borderId="0" xfId="0" applyFont="1" applyFill="1" applyBorder="1"/>
    <xf numFmtId="41" fontId="38" fillId="3" borderId="11" xfId="0" applyNumberFormat="1" applyFont="1" applyFill="1" applyBorder="1"/>
    <xf numFmtId="0" fontId="36" fillId="0" borderId="13" xfId="0" applyFont="1" applyFill="1" applyBorder="1"/>
    <xf numFmtId="0" fontId="36" fillId="0" borderId="5" xfId="0" applyFont="1" applyFill="1" applyBorder="1"/>
    <xf numFmtId="0" fontId="36" fillId="3" borderId="5" xfId="0" applyFont="1" applyFill="1" applyBorder="1" applyAlignment="1">
      <alignment horizontal="right"/>
    </xf>
    <xf numFmtId="43" fontId="36" fillId="3" borderId="14" xfId="0" applyNumberFormat="1" applyFont="1" applyFill="1" applyBorder="1"/>
    <xf numFmtId="0" fontId="36" fillId="0" borderId="26" xfId="3" applyFont="1" applyBorder="1" applyAlignment="1"/>
    <xf numFmtId="0" fontId="36" fillId="3" borderId="26" xfId="3" applyFont="1" applyFill="1" applyBorder="1" applyAlignment="1">
      <alignment horizontal="left" vertical="top" wrapText="1"/>
    </xf>
    <xf numFmtId="10" fontId="36" fillId="0" borderId="26" xfId="3" applyNumberFormat="1" applyFont="1" applyFill="1" applyBorder="1" applyAlignment="1"/>
    <xf numFmtId="0" fontId="36" fillId="3" borderId="4" xfId="3" applyFont="1" applyFill="1" applyBorder="1" applyAlignment="1">
      <alignment horizontal="left" vertical="top" wrapText="1"/>
    </xf>
    <xf numFmtId="0" fontId="38" fillId="3" borderId="6" xfId="0" applyFont="1" applyFill="1" applyBorder="1"/>
    <xf numFmtId="42" fontId="38" fillId="3" borderId="7" xfId="0" applyNumberFormat="1" applyFont="1" applyFill="1" applyBorder="1"/>
    <xf numFmtId="0" fontId="36" fillId="3" borderId="0" xfId="3" applyFont="1" applyFill="1" applyBorder="1" applyAlignment="1">
      <alignment horizontal="left" vertical="top" wrapText="1"/>
    </xf>
    <xf numFmtId="43" fontId="36" fillId="3" borderId="0" xfId="0" applyNumberFormat="1" applyFont="1" applyFill="1"/>
    <xf numFmtId="43" fontId="25" fillId="3" borderId="0" xfId="0" applyNumberFormat="1" applyFont="1" applyFill="1"/>
    <xf numFmtId="0" fontId="37" fillId="3" borderId="11" xfId="3" applyFont="1" applyFill="1" applyBorder="1" applyAlignment="1">
      <alignment horizontal="center"/>
    </xf>
    <xf numFmtId="42" fontId="25" fillId="3" borderId="11" xfId="3" applyNumberFormat="1" applyFont="1" applyFill="1" applyBorder="1"/>
    <xf numFmtId="173" fontId="25" fillId="3" borderId="0" xfId="4" applyNumberFormat="1" applyFont="1" applyFill="1"/>
    <xf numFmtId="0" fontId="37" fillId="3" borderId="12" xfId="3" applyFont="1" applyFill="1" applyBorder="1"/>
    <xf numFmtId="0" fontId="25" fillId="3" borderId="6" xfId="3" applyFont="1" applyFill="1" applyBorder="1"/>
    <xf numFmtId="42" fontId="37" fillId="3" borderId="7" xfId="3" applyNumberFormat="1" applyFont="1" applyFill="1" applyBorder="1"/>
    <xf numFmtId="0" fontId="25" fillId="3" borderId="11" xfId="3" applyFont="1" applyFill="1" applyBorder="1"/>
    <xf numFmtId="0" fontId="41" fillId="3" borderId="10" xfId="3" applyFont="1" applyFill="1" applyBorder="1"/>
    <xf numFmtId="166" fontId="25" fillId="3" borderId="0" xfId="3" applyNumberFormat="1" applyFont="1" applyFill="1" applyBorder="1"/>
    <xf numFmtId="44" fontId="37" fillId="3" borderId="0" xfId="3" applyNumberFormat="1" applyFont="1" applyFill="1" applyBorder="1" applyAlignment="1">
      <alignment horizontal="center"/>
    </xf>
    <xf numFmtId="0" fontId="37" fillId="3" borderId="0" xfId="3" applyFont="1" applyFill="1" applyBorder="1" applyAlignment="1">
      <alignment horizontal="center"/>
    </xf>
    <xf numFmtId="44" fontId="25" fillId="3" borderId="0" xfId="3" applyNumberFormat="1" applyFont="1" applyFill="1" applyBorder="1" applyAlignment="1">
      <alignment horizontal="left"/>
    </xf>
    <xf numFmtId="0" fontId="37" fillId="3" borderId="6" xfId="3" applyFont="1" applyFill="1" applyBorder="1"/>
    <xf numFmtId="0" fontId="36" fillId="3" borderId="0" xfId="3" quotePrefix="1" applyFont="1" applyFill="1" applyBorder="1" applyAlignment="1">
      <alignment horizontal="left" wrapText="1"/>
    </xf>
    <xf numFmtId="10" fontId="25" fillId="3" borderId="0" xfId="3" applyNumberFormat="1" applyFont="1" applyFill="1" applyBorder="1"/>
    <xf numFmtId="0" fontId="36" fillId="3" borderId="0" xfId="3" applyFont="1" applyFill="1" applyBorder="1" applyAlignment="1">
      <alignment horizontal="left" wrapText="1"/>
    </xf>
    <xf numFmtId="0" fontId="36" fillId="3" borderId="0" xfId="3" quotePrefix="1" applyFont="1" applyFill="1" applyBorder="1" applyAlignment="1"/>
    <xf numFmtId="0" fontId="36" fillId="3" borderId="0" xfId="3" quotePrefix="1" applyFont="1" applyFill="1" applyBorder="1" applyAlignment="1">
      <alignment horizontal="left"/>
    </xf>
    <xf numFmtId="0" fontId="25" fillId="3" borderId="8" xfId="0" applyFont="1" applyFill="1" applyBorder="1"/>
    <xf numFmtId="0" fontId="37" fillId="3" borderId="1" xfId="3" applyFont="1" applyFill="1" applyBorder="1" applyAlignment="1">
      <alignment horizontal="center"/>
    </xf>
    <xf numFmtId="0" fontId="37" fillId="3" borderId="1" xfId="3" applyFont="1" applyFill="1" applyBorder="1" applyAlignment="1">
      <alignment horizontal="centerContinuous"/>
    </xf>
    <xf numFmtId="0" fontId="25" fillId="3" borderId="2" xfId="3" applyFont="1" applyFill="1" applyBorder="1" applyAlignment="1">
      <alignment horizontal="centerContinuous"/>
    </xf>
    <xf numFmtId="0" fontId="25" fillId="3" borderId="3" xfId="3" applyFont="1" applyFill="1" applyBorder="1" applyAlignment="1">
      <alignment horizontal="centerContinuous"/>
    </xf>
    <xf numFmtId="0" fontId="25" fillId="3" borderId="2" xfId="0" applyFont="1" applyFill="1" applyBorder="1" applyAlignment="1">
      <alignment horizontal="centerContinuous"/>
    </xf>
    <xf numFmtId="0" fontId="37" fillId="3" borderId="2" xfId="3" applyFont="1" applyFill="1" applyBorder="1" applyAlignment="1">
      <alignment horizontal="centerContinuous"/>
    </xf>
    <xf numFmtId="0" fontId="25" fillId="3" borderId="19" xfId="3" applyFont="1" applyFill="1" applyBorder="1"/>
    <xf numFmtId="0" fontId="25" fillId="3" borderId="10" xfId="0" applyFont="1" applyFill="1" applyBorder="1"/>
    <xf numFmtId="0" fontId="37" fillId="3" borderId="12" xfId="3" applyFont="1" applyFill="1" applyBorder="1" applyAlignment="1">
      <alignment horizontal="center"/>
    </xf>
    <xf numFmtId="0" fontId="37" fillId="3" borderId="6" xfId="3" applyFont="1" applyFill="1" applyBorder="1" applyAlignment="1">
      <alignment horizontal="center"/>
    </xf>
    <xf numFmtId="0" fontId="37" fillId="3" borderId="7" xfId="3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25" fillId="3" borderId="16" xfId="3" applyFont="1" applyFill="1" applyBorder="1"/>
    <xf numFmtId="0" fontId="25" fillId="3" borderId="12" xfId="0" applyFont="1" applyFill="1" applyBorder="1"/>
    <xf numFmtId="0" fontId="37" fillId="3" borderId="17" xfId="3" applyFont="1" applyFill="1" applyBorder="1" applyAlignment="1">
      <alignment horizontal="center"/>
    </xf>
    <xf numFmtId="42" fontId="25" fillId="3" borderId="10" xfId="3" applyNumberFormat="1" applyFont="1" applyFill="1" applyBorder="1"/>
    <xf numFmtId="42" fontId="25" fillId="3" borderId="0" xfId="3" applyNumberFormat="1" applyFont="1" applyFill="1" applyBorder="1"/>
    <xf numFmtId="42" fontId="25" fillId="3" borderId="16" xfId="3" applyNumberFormat="1" applyFont="1" applyFill="1" applyBorder="1"/>
    <xf numFmtId="41" fontId="25" fillId="3" borderId="10" xfId="3" applyNumberFormat="1" applyFont="1" applyFill="1" applyBorder="1"/>
    <xf numFmtId="41" fontId="25" fillId="3" borderId="0" xfId="3" applyNumberFormat="1" applyFont="1" applyFill="1" applyBorder="1"/>
    <xf numFmtId="41" fontId="25" fillId="3" borderId="16" xfId="3" applyNumberFormat="1" applyFont="1" applyFill="1" applyBorder="1"/>
    <xf numFmtId="41" fontId="25" fillId="3" borderId="13" xfId="3" applyNumberFormat="1" applyFont="1" applyFill="1" applyBorder="1"/>
    <xf numFmtId="41" fontId="25" fillId="3" borderId="5" xfId="3" applyNumberFormat="1" applyFont="1" applyFill="1" applyBorder="1"/>
    <xf numFmtId="41" fontId="25" fillId="3" borderId="18" xfId="3" applyNumberFormat="1" applyFont="1" applyFill="1" applyBorder="1"/>
    <xf numFmtId="42" fontId="37" fillId="3" borderId="1" xfId="3" applyNumberFormat="1" applyFont="1" applyFill="1" applyBorder="1"/>
    <xf numFmtId="42" fontId="37" fillId="3" borderId="12" xfId="3" applyNumberFormat="1" applyFont="1" applyFill="1" applyBorder="1"/>
    <xf numFmtId="42" fontId="37" fillId="3" borderId="6" xfId="3" applyNumberFormat="1" applyFont="1" applyFill="1" applyBorder="1"/>
    <xf numFmtId="42" fontId="37" fillId="3" borderId="17" xfId="3" applyNumberFormat="1" applyFont="1" applyFill="1" applyBorder="1"/>
    <xf numFmtId="0" fontId="25" fillId="3" borderId="8" xfId="3" applyFont="1" applyFill="1" applyBorder="1"/>
    <xf numFmtId="6" fontId="25" fillId="3" borderId="8" xfId="3" applyNumberFormat="1" applyFont="1" applyFill="1" applyBorder="1"/>
    <xf numFmtId="6" fontId="25" fillId="3" borderId="4" xfId="3" applyNumberFormat="1" applyFont="1" applyFill="1" applyBorder="1"/>
    <xf numFmtId="6" fontId="25" fillId="3" borderId="9" xfId="3" applyNumberFormat="1" applyFont="1" applyFill="1" applyBorder="1"/>
    <xf numFmtId="6" fontId="25" fillId="3" borderId="19" xfId="3" applyNumberFormat="1" applyFont="1" applyFill="1" applyBorder="1"/>
    <xf numFmtId="6" fontId="25" fillId="3" borderId="10" xfId="3" applyNumberFormat="1" applyFont="1" applyFill="1" applyBorder="1"/>
    <xf numFmtId="6" fontId="25" fillId="3" borderId="0" xfId="3" applyNumberFormat="1" applyFont="1" applyFill="1" applyBorder="1"/>
    <xf numFmtId="6" fontId="25" fillId="3" borderId="11" xfId="3" applyNumberFormat="1" applyFont="1" applyFill="1" applyBorder="1"/>
    <xf numFmtId="6" fontId="25" fillId="3" borderId="16" xfId="3" applyNumberFormat="1" applyFont="1" applyFill="1" applyBorder="1"/>
    <xf numFmtId="6" fontId="25" fillId="3" borderId="0" xfId="3" applyNumberFormat="1" applyFont="1" applyFill="1"/>
    <xf numFmtId="8" fontId="25" fillId="3" borderId="0" xfId="3" applyNumberFormat="1" applyFont="1" applyFill="1"/>
    <xf numFmtId="0" fontId="25" fillId="3" borderId="12" xfId="3" applyFont="1" applyFill="1" applyBorder="1"/>
    <xf numFmtId="41" fontId="25" fillId="3" borderId="12" xfId="3" applyNumberFormat="1" applyFont="1" applyFill="1" applyBorder="1"/>
    <xf numFmtId="41" fontId="25" fillId="3" borderId="6" xfId="3" applyNumberFormat="1" applyFont="1" applyFill="1" applyBorder="1"/>
    <xf numFmtId="41" fontId="25" fillId="3" borderId="7" xfId="3" applyNumberFormat="1" applyFont="1" applyFill="1" applyBorder="1"/>
    <xf numFmtId="6" fontId="25" fillId="3" borderId="17" xfId="3" applyNumberFormat="1" applyFont="1" applyFill="1" applyBorder="1"/>
    <xf numFmtId="0" fontId="37" fillId="3" borderId="0" xfId="3" applyFont="1" applyFill="1" applyBorder="1"/>
    <xf numFmtId="42" fontId="37" fillId="3" borderId="10" xfId="3" applyNumberFormat="1" applyFont="1" applyFill="1" applyBorder="1"/>
    <xf numFmtId="42" fontId="37" fillId="3" borderId="0" xfId="3" applyNumberFormat="1" applyFont="1" applyFill="1" applyBorder="1"/>
    <xf numFmtId="42" fontId="37" fillId="3" borderId="11" xfId="3" applyNumberFormat="1" applyFont="1" applyFill="1" applyBorder="1"/>
    <xf numFmtId="42" fontId="37" fillId="3" borderId="16" xfId="3" applyNumberFormat="1" applyFont="1" applyFill="1" applyBorder="1"/>
    <xf numFmtId="0" fontId="37" fillId="3" borderId="8" xfId="3" applyFont="1" applyFill="1" applyBorder="1"/>
    <xf numFmtId="42" fontId="37" fillId="3" borderId="8" xfId="3" applyNumberFormat="1" applyFont="1" applyFill="1" applyBorder="1"/>
    <xf numFmtId="42" fontId="37" fillId="3" borderId="4" xfId="3" applyNumberFormat="1" applyFont="1" applyFill="1" applyBorder="1"/>
    <xf numFmtId="42" fontId="37" fillId="3" borderId="9" xfId="3" applyNumberFormat="1" applyFont="1" applyFill="1" applyBorder="1"/>
    <xf numFmtId="42" fontId="37" fillId="3" borderId="19" xfId="3" applyNumberFormat="1" applyFont="1" applyFill="1" applyBorder="1"/>
    <xf numFmtId="0" fontId="37" fillId="3" borderId="10" xfId="0" applyFont="1" applyFill="1" applyBorder="1"/>
    <xf numFmtId="0" fontId="37" fillId="3" borderId="1" xfId="0" applyFont="1" applyFill="1" applyBorder="1"/>
    <xf numFmtId="10" fontId="37" fillId="3" borderId="15" xfId="3" applyNumberFormat="1" applyFont="1" applyFill="1" applyBorder="1" applyAlignment="1">
      <alignment horizontal="center"/>
    </xf>
    <xf numFmtId="41" fontId="25" fillId="3" borderId="1" xfId="3" applyNumberFormat="1" applyFont="1" applyFill="1" applyBorder="1"/>
    <xf numFmtId="41" fontId="25" fillId="3" borderId="2" xfId="3" applyNumberFormat="1" applyFont="1" applyFill="1" applyBorder="1"/>
    <xf numFmtId="41" fontId="25" fillId="3" borderId="3" xfId="3" applyNumberFormat="1" applyFont="1" applyFill="1" applyBorder="1"/>
    <xf numFmtId="42" fontId="37" fillId="3" borderId="15" xfId="3" applyNumberFormat="1" applyFont="1" applyFill="1" applyBorder="1"/>
    <xf numFmtId="10" fontId="25" fillId="3" borderId="9" xfId="3" applyNumberFormat="1" applyFont="1" applyFill="1" applyBorder="1" applyAlignment="1">
      <alignment horizontal="centerContinuous"/>
    </xf>
    <xf numFmtId="10" fontId="25" fillId="3" borderId="7" xfId="3" applyNumberFormat="1" applyFont="1" applyFill="1" applyBorder="1" applyAlignment="1">
      <alignment horizontal="centerContinuous"/>
    </xf>
    <xf numFmtId="164" fontId="25" fillId="3" borderId="0" xfId="3" applyNumberFormat="1" applyFont="1" applyFill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37" fillId="3" borderId="0" xfId="0" applyFont="1" applyFill="1"/>
    <xf numFmtId="0" fontId="37" fillId="3" borderId="8" xfId="0" applyFont="1" applyFill="1" applyBorder="1" applyAlignment="1">
      <alignment horizontal="right"/>
    </xf>
    <xf numFmtId="0" fontId="37" fillId="3" borderId="4" xfId="0" applyFont="1" applyFill="1" applyBorder="1" applyAlignment="1">
      <alignment horizontal="right"/>
    </xf>
    <xf numFmtId="0" fontId="37" fillId="3" borderId="9" xfId="0" applyFont="1" applyFill="1" applyBorder="1" applyAlignment="1">
      <alignment horizontal="left"/>
    </xf>
    <xf numFmtId="0" fontId="37" fillId="3" borderId="15" xfId="3" applyFont="1" applyFill="1" applyBorder="1" applyAlignment="1">
      <alignment horizontal="center"/>
    </xf>
    <xf numFmtId="0" fontId="37" fillId="3" borderId="10" xfId="0" applyFont="1" applyFill="1" applyBorder="1" applyAlignment="1">
      <alignment horizontal="right"/>
    </xf>
    <xf numFmtId="0" fontId="37" fillId="3" borderId="0" xfId="0" applyFont="1" applyFill="1" applyBorder="1" applyAlignment="1">
      <alignment horizontal="right"/>
    </xf>
    <xf numFmtId="0" fontId="37" fillId="3" borderId="11" xfId="0" applyFont="1" applyFill="1" applyBorder="1" applyAlignment="1">
      <alignment horizontal="left"/>
    </xf>
    <xf numFmtId="0" fontId="25" fillId="3" borderId="12" xfId="0" applyFont="1" applyFill="1" applyBorder="1" applyAlignment="1">
      <alignment horizontal="right"/>
    </xf>
    <xf numFmtId="0" fontId="25" fillId="3" borderId="6" xfId="0" applyFont="1" applyFill="1" applyBorder="1" applyAlignment="1">
      <alignment horizontal="right"/>
    </xf>
    <xf numFmtId="0" fontId="37" fillId="3" borderId="7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center"/>
    </xf>
    <xf numFmtId="9" fontId="25" fillId="3" borderId="16" xfId="0" applyNumberFormat="1" applyFont="1" applyFill="1" applyBorder="1" applyAlignment="1">
      <alignment horizontal="center"/>
    </xf>
    <xf numFmtId="2" fontId="25" fillId="3" borderId="10" xfId="0" applyNumberFormat="1" applyFont="1" applyFill="1" applyBorder="1" applyAlignment="1">
      <alignment horizontal="center"/>
    </xf>
    <xf numFmtId="2" fontId="25" fillId="3" borderId="0" xfId="0" applyNumberFormat="1" applyFont="1" applyFill="1" applyBorder="1" applyAlignment="1">
      <alignment horizontal="center"/>
    </xf>
    <xf numFmtId="2" fontId="25" fillId="3" borderId="11" xfId="0" applyNumberFormat="1" applyFont="1" applyFill="1" applyBorder="1" applyAlignment="1">
      <alignment horizontal="center"/>
    </xf>
    <xf numFmtId="10" fontId="25" fillId="3" borderId="0" xfId="0" applyNumberFormat="1" applyFont="1" applyFill="1" applyBorder="1" applyAlignment="1">
      <alignment horizontal="center"/>
    </xf>
    <xf numFmtId="0" fontId="37" fillId="2" borderId="1" xfId="3" applyFont="1" applyFill="1" applyBorder="1" applyAlignment="1">
      <alignment horizontal="left"/>
    </xf>
    <xf numFmtId="0" fontId="37" fillId="2" borderId="2" xfId="0" applyFont="1" applyFill="1" applyBorder="1"/>
    <xf numFmtId="0" fontId="37" fillId="2" borderId="2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/>
    </xf>
    <xf numFmtId="0" fontId="37" fillId="2" borderId="1" xfId="0" applyFont="1" applyFill="1" applyBorder="1"/>
    <xf numFmtId="0" fontId="37" fillId="2" borderId="3" xfId="0" applyFont="1" applyFill="1" applyBorder="1"/>
    <xf numFmtId="0" fontId="25" fillId="3" borderId="10" xfId="3" applyFont="1" applyFill="1" applyBorder="1" applyAlignment="1">
      <alignment horizontal="left"/>
    </xf>
    <xf numFmtId="42" fontId="25" fillId="3" borderId="16" xfId="0" applyNumberFormat="1" applyFont="1" applyFill="1" applyBorder="1" applyAlignment="1">
      <alignment horizontal="center"/>
    </xf>
    <xf numFmtId="42" fontId="25" fillId="3" borderId="10" xfId="0" applyNumberFormat="1" applyFont="1" applyFill="1" applyBorder="1"/>
    <xf numFmtId="42" fontId="25" fillId="3" borderId="0" xfId="0" applyNumberFormat="1" applyFont="1" applyFill="1" applyBorder="1"/>
    <xf numFmtId="42" fontId="25" fillId="3" borderId="11" xfId="0" applyNumberFormat="1" applyFont="1" applyFill="1" applyBorder="1"/>
    <xf numFmtId="0" fontId="37" fillId="3" borderId="12" xfId="0" applyFont="1" applyFill="1" applyBorder="1" applyAlignment="1"/>
    <xf numFmtId="0" fontId="37" fillId="3" borderId="6" xfId="0" applyFont="1" applyFill="1" applyBorder="1" applyAlignment="1"/>
    <xf numFmtId="10" fontId="25" fillId="3" borderId="6" xfId="0" applyNumberFormat="1" applyFont="1" applyFill="1" applyBorder="1" applyAlignment="1">
      <alignment horizontal="right"/>
    </xf>
    <xf numFmtId="42" fontId="37" fillId="3" borderId="17" xfId="0" applyNumberFormat="1" applyFont="1" applyFill="1" applyBorder="1" applyAlignment="1">
      <alignment horizontal="right"/>
    </xf>
    <xf numFmtId="42" fontId="37" fillId="3" borderId="12" xfId="0" applyNumberFormat="1" applyFont="1" applyFill="1" applyBorder="1"/>
    <xf numFmtId="42" fontId="37" fillId="3" borderId="6" xfId="0" applyNumberFormat="1" applyFont="1" applyFill="1" applyBorder="1"/>
    <xf numFmtId="42" fontId="37" fillId="3" borderId="7" xfId="0" applyNumberFormat="1" applyFont="1" applyFill="1" applyBorder="1"/>
    <xf numFmtId="0" fontId="25" fillId="3" borderId="10" xfId="0" applyFont="1" applyFill="1" applyBorder="1" applyAlignment="1"/>
    <xf numFmtId="0" fontId="25" fillId="3" borderId="0" xfId="0" applyFont="1" applyFill="1" applyBorder="1" applyAlignment="1"/>
    <xf numFmtId="41" fontId="25" fillId="3" borderId="16" xfId="0" applyNumberFormat="1" applyFont="1" applyFill="1" applyBorder="1" applyAlignment="1">
      <alignment horizontal="center"/>
    </xf>
    <xf numFmtId="41" fontId="25" fillId="3" borderId="10" xfId="0" applyNumberFormat="1" applyFont="1" applyFill="1" applyBorder="1"/>
    <xf numFmtId="41" fontId="25" fillId="3" borderId="0" xfId="0" applyNumberFormat="1" applyFont="1" applyFill="1" applyBorder="1"/>
    <xf numFmtId="41" fontId="25" fillId="3" borderId="11" xfId="0" applyNumberFormat="1" applyFont="1" applyFill="1" applyBorder="1"/>
    <xf numFmtId="41" fontId="25" fillId="3" borderId="10" xfId="0" applyNumberFormat="1" applyFont="1" applyFill="1" applyBorder="1" applyAlignment="1">
      <alignment horizontal="center"/>
    </xf>
    <xf numFmtId="41" fontId="25" fillId="3" borderId="0" xfId="0" applyNumberFormat="1" applyFont="1" applyFill="1" applyBorder="1" applyAlignment="1">
      <alignment horizontal="center"/>
    </xf>
    <xf numFmtId="0" fontId="25" fillId="3" borderId="6" xfId="0" applyFont="1" applyFill="1" applyBorder="1" applyAlignment="1">
      <alignment horizontal="left"/>
    </xf>
    <xf numFmtId="42" fontId="37" fillId="3" borderId="17" xfId="0" applyNumberFormat="1" applyFont="1" applyFill="1" applyBorder="1" applyAlignment="1">
      <alignment horizontal="left"/>
    </xf>
    <xf numFmtId="42" fontId="37" fillId="3" borderId="12" xfId="0" applyNumberFormat="1" applyFont="1" applyFill="1" applyBorder="1" applyAlignment="1">
      <alignment horizontal="left"/>
    </xf>
    <xf numFmtId="42" fontId="37" fillId="3" borderId="6" xfId="0" applyNumberFormat="1" applyFont="1" applyFill="1" applyBorder="1" applyAlignment="1">
      <alignment horizontal="left"/>
    </xf>
    <xf numFmtId="42" fontId="37" fillId="3" borderId="7" xfId="0" applyNumberFormat="1" applyFont="1" applyFill="1" applyBorder="1" applyAlignment="1">
      <alignment horizontal="left"/>
    </xf>
    <xf numFmtId="0" fontId="25" fillId="3" borderId="0" xfId="0" applyFont="1" applyFill="1" applyAlignment="1">
      <alignment horizontal="left"/>
    </xf>
    <xf numFmtId="0" fontId="37" fillId="3" borderId="2" xfId="0" applyFont="1" applyFill="1" applyBorder="1"/>
    <xf numFmtId="0" fontId="25" fillId="3" borderId="2" xfId="0" applyFont="1" applyFill="1" applyBorder="1" applyAlignment="1">
      <alignment horizontal="center"/>
    </xf>
    <xf numFmtId="0" fontId="37" fillId="3" borderId="12" xfId="0" applyFont="1" applyFill="1" applyBorder="1"/>
    <xf numFmtId="0" fontId="37" fillId="3" borderId="6" xfId="0" applyFont="1" applyFill="1" applyBorder="1"/>
    <xf numFmtId="9" fontId="25" fillId="3" borderId="6" xfId="0" applyNumberFormat="1" applyFont="1" applyFill="1" applyBorder="1" applyAlignment="1">
      <alignment horizontal="center"/>
    </xf>
    <xf numFmtId="0" fontId="25" fillId="3" borderId="1" xfId="0" applyFont="1" applyFill="1" applyBorder="1"/>
    <xf numFmtId="0" fontId="25" fillId="3" borderId="2" xfId="0" applyFont="1" applyFill="1" applyBorder="1"/>
    <xf numFmtId="0" fontId="25" fillId="3" borderId="3" xfId="0" applyFont="1" applyFill="1" applyBorder="1"/>
    <xf numFmtId="0" fontId="25" fillId="3" borderId="0" xfId="0" applyFont="1" applyFill="1" applyBorder="1"/>
    <xf numFmtId="44" fontId="25" fillId="3" borderId="11" xfId="2" applyFont="1" applyFill="1" applyBorder="1" applyAlignment="1">
      <alignment horizontal="center"/>
    </xf>
    <xf numFmtId="0" fontId="25" fillId="3" borderId="6" xfId="0" applyFont="1" applyFill="1" applyBorder="1"/>
    <xf numFmtId="0" fontId="25" fillId="3" borderId="6" xfId="0" applyFont="1" applyFill="1" applyBorder="1" applyAlignment="1">
      <alignment horizontal="center"/>
    </xf>
    <xf numFmtId="10" fontId="25" fillId="3" borderId="7" xfId="0" applyNumberFormat="1" applyFont="1" applyFill="1" applyBorder="1" applyAlignment="1">
      <alignment horizontal="right"/>
    </xf>
    <xf numFmtId="0" fontId="25" fillId="0" borderId="0" xfId="0" applyFont="1"/>
    <xf numFmtId="0" fontId="25" fillId="3" borderId="4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1" xfId="0" applyFont="1" applyFill="1" applyBorder="1"/>
    <xf numFmtId="0" fontId="25" fillId="2" borderId="2" xfId="0" applyFont="1" applyFill="1" applyBorder="1"/>
    <xf numFmtId="0" fontId="25" fillId="2" borderId="3" xfId="0" applyFont="1" applyFill="1" applyBorder="1"/>
    <xf numFmtId="0" fontId="41" fillId="3" borderId="10" xfId="0" applyFont="1" applyFill="1" applyBorder="1"/>
    <xf numFmtId="0" fontId="25" fillId="3" borderId="16" xfId="0" applyFont="1" applyFill="1" applyBorder="1" applyAlignment="1">
      <alignment horizontal="center"/>
    </xf>
    <xf numFmtId="0" fontId="25" fillId="3" borderId="11" xfId="0" applyFont="1" applyFill="1" applyBorder="1"/>
    <xf numFmtId="1" fontId="25" fillId="3" borderId="0" xfId="0" applyNumberFormat="1" applyFont="1" applyFill="1" applyBorder="1" applyAlignment="1">
      <alignment horizontal="center"/>
    </xf>
    <xf numFmtId="1" fontId="25" fillId="3" borderId="11" xfId="0" applyNumberFormat="1" applyFont="1" applyFill="1" applyBorder="1" applyAlignment="1">
      <alignment horizontal="center"/>
    </xf>
    <xf numFmtId="1" fontId="25" fillId="3" borderId="10" xfId="0" applyNumberFormat="1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3" fontId="25" fillId="3" borderId="0" xfId="0" applyNumberFormat="1" applyFont="1" applyFill="1" applyBorder="1" applyAlignment="1">
      <alignment horizontal="center"/>
    </xf>
    <xf numFmtId="0" fontId="25" fillId="3" borderId="10" xfId="0" applyFont="1" applyFill="1" applyBorder="1" applyAlignment="1">
      <alignment horizontal="right"/>
    </xf>
    <xf numFmtId="0" fontId="25" fillId="3" borderId="11" xfId="0" applyFont="1" applyFill="1" applyBorder="1" applyAlignment="1">
      <alignment horizontal="right"/>
    </xf>
    <xf numFmtId="3" fontId="25" fillId="3" borderId="10" xfId="0" applyNumberFormat="1" applyFont="1" applyFill="1" applyBorder="1" applyAlignment="1">
      <alignment horizontal="center"/>
    </xf>
    <xf numFmtId="3" fontId="25" fillId="3" borderId="11" xfId="0" applyNumberFormat="1" applyFont="1" applyFill="1" applyBorder="1" applyAlignment="1">
      <alignment horizontal="center"/>
    </xf>
    <xf numFmtId="44" fontId="25" fillId="0" borderId="16" xfId="0" applyNumberFormat="1" applyFont="1" applyFill="1" applyBorder="1" applyAlignment="1">
      <alignment horizontal="center"/>
    </xf>
    <xf numFmtId="44" fontId="25" fillId="3" borderId="10" xfId="0" applyNumberFormat="1" applyFont="1" applyFill="1" applyBorder="1" applyAlignment="1">
      <alignment horizontal="right"/>
    </xf>
    <xf numFmtId="44" fontId="25" fillId="3" borderId="0" xfId="0" applyNumberFormat="1" applyFont="1" applyFill="1" applyBorder="1" applyAlignment="1">
      <alignment horizontal="right"/>
    </xf>
    <xf numFmtId="44" fontId="25" fillId="3" borderId="11" xfId="0" applyNumberFormat="1" applyFont="1" applyFill="1" applyBorder="1" applyAlignment="1">
      <alignment horizontal="right"/>
    </xf>
    <xf numFmtId="0" fontId="25" fillId="3" borderId="12" xfId="0" applyFont="1" applyFill="1" applyBorder="1" applyAlignment="1">
      <alignment horizontal="left"/>
    </xf>
    <xf numFmtId="10" fontId="25" fillId="3" borderId="6" xfId="0" applyNumberFormat="1" applyFont="1" applyFill="1" applyBorder="1" applyAlignment="1">
      <alignment horizontal="center"/>
    </xf>
    <xf numFmtId="10" fontId="25" fillId="3" borderId="17" xfId="0" applyNumberFormat="1" applyFont="1" applyFill="1" applyBorder="1" applyAlignment="1">
      <alignment horizontal="center"/>
    </xf>
    <xf numFmtId="10" fontId="25" fillId="3" borderId="12" xfId="4" applyNumberFormat="1" applyFont="1" applyFill="1" applyBorder="1" applyAlignment="1">
      <alignment horizontal="center"/>
    </xf>
    <xf numFmtId="10" fontId="25" fillId="3" borderId="6" xfId="4" applyNumberFormat="1" applyFont="1" applyFill="1" applyBorder="1" applyAlignment="1">
      <alignment horizontal="center"/>
    </xf>
    <xf numFmtId="10" fontId="25" fillId="3" borderId="7" xfId="0" applyNumberFormat="1" applyFont="1" applyFill="1" applyBorder="1" applyAlignment="1">
      <alignment horizontal="center"/>
    </xf>
    <xf numFmtId="10" fontId="25" fillId="3" borderId="12" xfId="0" applyNumberFormat="1" applyFont="1" applyFill="1" applyBorder="1" applyAlignment="1">
      <alignment horizontal="center"/>
    </xf>
    <xf numFmtId="10" fontId="25" fillId="3" borderId="11" xfId="0" applyNumberFormat="1" applyFont="1" applyFill="1" applyBorder="1" applyAlignment="1">
      <alignment horizontal="center"/>
    </xf>
    <xf numFmtId="177" fontId="25" fillId="3" borderId="0" xfId="1" applyNumberFormat="1" applyFont="1" applyFill="1" applyBorder="1" applyAlignment="1">
      <alignment horizontal="center"/>
    </xf>
    <xf numFmtId="0" fontId="25" fillId="3" borderId="8" xfId="0" applyFont="1" applyFill="1" applyBorder="1" applyAlignment="1">
      <alignment horizontal="left"/>
    </xf>
    <xf numFmtId="44" fontId="25" fillId="3" borderId="0" xfId="0" applyNumberFormat="1" applyFont="1" applyFill="1"/>
    <xf numFmtId="0" fontId="25" fillId="3" borderId="13" xfId="0" applyFont="1" applyFill="1" applyBorder="1" applyAlignment="1">
      <alignment horizontal="left"/>
    </xf>
    <xf numFmtId="0" fontId="37" fillId="3" borderId="12" xfId="0" applyFont="1" applyFill="1" applyBorder="1" applyAlignment="1">
      <alignment horizontal="left"/>
    </xf>
    <xf numFmtId="42" fontId="25" fillId="3" borderId="0" xfId="0" applyNumberFormat="1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" fontId="25" fillId="0" borderId="0" xfId="0" applyNumberFormat="1" applyFont="1"/>
    <xf numFmtId="10" fontId="25" fillId="3" borderId="0" xfId="0" applyNumberFormat="1" applyFont="1" applyFill="1" applyBorder="1" applyAlignment="1"/>
    <xf numFmtId="10" fontId="25" fillId="3" borderId="16" xfId="0" applyNumberFormat="1" applyFont="1" applyFill="1" applyBorder="1" applyAlignment="1"/>
    <xf numFmtId="10" fontId="25" fillId="3" borderId="10" xfId="4" applyNumberFormat="1" applyFont="1" applyFill="1" applyBorder="1" applyAlignment="1"/>
    <xf numFmtId="10" fontId="25" fillId="3" borderId="0" xfId="4" applyNumberFormat="1" applyFont="1" applyFill="1" applyBorder="1" applyAlignment="1"/>
    <xf numFmtId="10" fontId="25" fillId="3" borderId="11" xfId="0" applyNumberFormat="1" applyFont="1" applyFill="1" applyBorder="1" applyAlignment="1"/>
    <xf numFmtId="10" fontId="25" fillId="3" borderId="10" xfId="0" applyNumberFormat="1" applyFont="1" applyFill="1" applyBorder="1" applyAlignment="1"/>
    <xf numFmtId="0" fontId="25" fillId="3" borderId="16" xfId="0" applyFont="1" applyFill="1" applyBorder="1" applyAlignment="1"/>
    <xf numFmtId="0" fontId="25" fillId="3" borderId="11" xfId="0" applyFont="1" applyFill="1" applyBorder="1" applyAlignment="1"/>
    <xf numFmtId="9" fontId="25" fillId="3" borderId="16" xfId="0" applyNumberFormat="1" applyFont="1" applyFill="1" applyBorder="1" applyAlignment="1"/>
    <xf numFmtId="2" fontId="25" fillId="3" borderId="10" xfId="0" applyNumberFormat="1" applyFont="1" applyFill="1" applyBorder="1" applyAlignment="1"/>
    <xf numFmtId="2" fontId="25" fillId="3" borderId="0" xfId="0" applyNumberFormat="1" applyFont="1" applyFill="1" applyBorder="1" applyAlignment="1"/>
    <xf numFmtId="2" fontId="25" fillId="3" borderId="11" xfId="0" applyNumberFormat="1" applyFont="1" applyFill="1" applyBorder="1" applyAlignment="1"/>
    <xf numFmtId="1" fontId="25" fillId="3" borderId="10" xfId="0" applyNumberFormat="1" applyFont="1" applyFill="1" applyBorder="1" applyAlignment="1"/>
    <xf numFmtId="1" fontId="25" fillId="3" borderId="0" xfId="0" applyNumberFormat="1" applyFont="1" applyFill="1" applyBorder="1" applyAlignment="1"/>
    <xf numFmtId="1" fontId="25" fillId="3" borderId="11" xfId="0" applyNumberFormat="1" applyFont="1" applyFill="1" applyBorder="1" applyAlignment="1"/>
    <xf numFmtId="3" fontId="25" fillId="3" borderId="0" xfId="0" applyNumberFormat="1" applyFont="1" applyFill="1" applyBorder="1" applyAlignment="1"/>
    <xf numFmtId="177" fontId="25" fillId="3" borderId="11" xfId="1" applyNumberFormat="1" applyFont="1" applyFill="1" applyBorder="1" applyAlignment="1"/>
    <xf numFmtId="3" fontId="25" fillId="3" borderId="10" xfId="0" applyNumberFormat="1" applyFont="1" applyFill="1" applyBorder="1" applyAlignment="1"/>
    <xf numFmtId="3" fontId="25" fillId="3" borderId="11" xfId="0" applyNumberFormat="1" applyFont="1" applyFill="1" applyBorder="1" applyAlignment="1"/>
    <xf numFmtId="44" fontId="25" fillId="0" borderId="16" xfId="0" applyNumberFormat="1" applyFont="1" applyFill="1" applyBorder="1" applyAlignment="1"/>
    <xf numFmtId="44" fontId="25" fillId="3" borderId="0" xfId="0" applyNumberFormat="1" applyFont="1" applyFill="1" applyBorder="1" applyAlignment="1"/>
    <xf numFmtId="44" fontId="25" fillId="3" borderId="11" xfId="0" applyNumberFormat="1" applyFont="1" applyFill="1" applyBorder="1" applyAlignment="1"/>
    <xf numFmtId="10" fontId="25" fillId="3" borderId="6" xfId="0" applyNumberFormat="1" applyFont="1" applyFill="1" applyBorder="1" applyAlignment="1"/>
    <xf numFmtId="10" fontId="25" fillId="3" borderId="17" xfId="0" applyNumberFormat="1" applyFont="1" applyFill="1" applyBorder="1" applyAlignment="1"/>
    <xf numFmtId="10" fontId="25" fillId="3" borderId="12" xfId="4" applyNumberFormat="1" applyFont="1" applyFill="1" applyBorder="1" applyAlignment="1"/>
    <xf numFmtId="10" fontId="25" fillId="3" borderId="6" xfId="4" applyNumberFormat="1" applyFont="1" applyFill="1" applyBorder="1" applyAlignment="1"/>
    <xf numFmtId="10" fontId="25" fillId="3" borderId="7" xfId="0" applyNumberFormat="1" applyFont="1" applyFill="1" applyBorder="1" applyAlignment="1"/>
    <xf numFmtId="10" fontId="25" fillId="3" borderId="12" xfId="0" applyNumberFormat="1" applyFont="1" applyFill="1" applyBorder="1" applyAlignment="1"/>
    <xf numFmtId="44" fontId="25" fillId="3" borderId="16" xfId="0" applyNumberFormat="1" applyFont="1" applyFill="1" applyBorder="1" applyAlignment="1"/>
    <xf numFmtId="44" fontId="25" fillId="3" borderId="10" xfId="0" applyNumberFormat="1" applyFont="1" applyFill="1" applyBorder="1" applyAlignment="1"/>
    <xf numFmtId="10" fontId="25" fillId="3" borderId="4" xfId="0" applyNumberFormat="1" applyFont="1" applyFill="1" applyBorder="1" applyAlignment="1"/>
    <xf numFmtId="10" fontId="25" fillId="3" borderId="19" xfId="0" applyNumberFormat="1" applyFont="1" applyFill="1" applyBorder="1" applyAlignment="1"/>
    <xf numFmtId="10" fontId="25" fillId="3" borderId="8" xfId="4" applyNumberFormat="1" applyFont="1" applyFill="1" applyBorder="1" applyAlignment="1"/>
    <xf numFmtId="10" fontId="25" fillId="3" borderId="4" xfId="4" applyNumberFormat="1" applyFont="1" applyFill="1" applyBorder="1" applyAlignment="1"/>
    <xf numFmtId="10" fontId="25" fillId="3" borderId="9" xfId="0" applyNumberFormat="1" applyFont="1" applyFill="1" applyBorder="1" applyAlignment="1"/>
    <xf numFmtId="10" fontId="25" fillId="3" borderId="8" xfId="0" applyNumberFormat="1" applyFont="1" applyFill="1" applyBorder="1" applyAlignment="1"/>
    <xf numFmtId="0" fontId="25" fillId="2" borderId="2" xfId="0" applyFont="1" applyFill="1" applyBorder="1" applyAlignment="1"/>
    <xf numFmtId="0" fontId="25" fillId="2" borderId="15" xfId="0" applyFont="1" applyFill="1" applyBorder="1" applyAlignment="1"/>
    <xf numFmtId="0" fontId="25" fillId="2" borderId="1" xfId="0" applyFont="1" applyFill="1" applyBorder="1" applyAlignment="1"/>
    <xf numFmtId="0" fontId="25" fillId="2" borderId="3" xfId="0" applyFont="1" applyFill="1" applyBorder="1" applyAlignment="1"/>
    <xf numFmtId="42" fontId="25" fillId="3" borderId="19" xfId="0" applyNumberFormat="1" applyFont="1" applyFill="1" applyBorder="1" applyAlignment="1"/>
    <xf numFmtId="42" fontId="25" fillId="3" borderId="0" xfId="0" applyNumberFormat="1" applyFont="1" applyFill="1" applyBorder="1" applyAlignment="1"/>
    <xf numFmtId="42" fontId="25" fillId="3" borderId="11" xfId="0" applyNumberFormat="1" applyFont="1" applyFill="1" applyBorder="1" applyAlignment="1"/>
    <xf numFmtId="10" fontId="25" fillId="3" borderId="5" xfId="0" applyNumberFormat="1" applyFont="1" applyFill="1" applyBorder="1" applyAlignment="1"/>
    <xf numFmtId="41" fontId="25" fillId="3" borderId="18" xfId="0" applyNumberFormat="1" applyFont="1" applyFill="1" applyBorder="1" applyAlignment="1"/>
    <xf numFmtId="41" fontId="25" fillId="3" borderId="13" xfId="0" applyNumberFormat="1" applyFont="1" applyFill="1" applyBorder="1" applyAlignment="1"/>
    <xf numFmtId="41" fontId="25" fillId="3" borderId="5" xfId="0" applyNumberFormat="1" applyFont="1" applyFill="1" applyBorder="1" applyAlignment="1"/>
    <xf numFmtId="41" fontId="25" fillId="3" borderId="14" xfId="0" applyNumberFormat="1" applyFont="1" applyFill="1" applyBorder="1" applyAlignment="1"/>
    <xf numFmtId="0" fontId="25" fillId="3" borderId="6" xfId="0" applyFont="1" applyFill="1" applyBorder="1" applyAlignment="1"/>
    <xf numFmtId="42" fontId="37" fillId="3" borderId="17" xfId="0" applyNumberFormat="1" applyFont="1" applyFill="1" applyBorder="1" applyAlignment="1"/>
    <xf numFmtId="42" fontId="37" fillId="3" borderId="12" xfId="0" applyNumberFormat="1" applyFont="1" applyFill="1" applyBorder="1" applyAlignment="1"/>
    <xf numFmtId="42" fontId="37" fillId="3" borderId="6" xfId="0" applyNumberFormat="1" applyFont="1" applyFill="1" applyBorder="1" applyAlignment="1"/>
    <xf numFmtId="42" fontId="37" fillId="3" borderId="7" xfId="0" applyNumberFormat="1" applyFont="1" applyFill="1" applyBorder="1" applyAlignment="1"/>
    <xf numFmtId="42" fontId="37" fillId="3" borderId="40" xfId="0" applyNumberFormat="1" applyFont="1" applyFill="1" applyBorder="1" applyAlignment="1"/>
    <xf numFmtId="10" fontId="25" fillId="3" borderId="16" xfId="4" applyNumberFormat="1" applyFont="1" applyFill="1" applyBorder="1" applyAlignment="1"/>
    <xf numFmtId="10" fontId="25" fillId="3" borderId="11" xfId="4" applyNumberFormat="1" applyFont="1" applyFill="1" applyBorder="1" applyAlignment="1"/>
    <xf numFmtId="42" fontId="25" fillId="3" borderId="16" xfId="0" applyNumberFormat="1" applyFont="1" applyFill="1" applyBorder="1" applyAlignment="1"/>
    <xf numFmtId="42" fontId="25" fillId="3" borderId="10" xfId="0" applyNumberFormat="1" applyFont="1" applyFill="1" applyBorder="1" applyAlignment="1"/>
    <xf numFmtId="0" fontId="25" fillId="3" borderId="5" xfId="0" applyFont="1" applyFill="1" applyBorder="1" applyAlignment="1"/>
    <xf numFmtId="42" fontId="25" fillId="3" borderId="8" xfId="0" applyNumberFormat="1" applyFont="1" applyFill="1" applyBorder="1" applyAlignment="1"/>
    <xf numFmtId="42" fontId="25" fillId="3" borderId="4" xfId="0" applyNumberFormat="1" applyFont="1" applyFill="1" applyBorder="1" applyAlignment="1"/>
    <xf numFmtId="42" fontId="25" fillId="3" borderId="9" xfId="0" applyNumberFormat="1" applyFont="1" applyFill="1" applyBorder="1" applyAlignment="1"/>
    <xf numFmtId="41" fontId="25" fillId="3" borderId="16" xfId="0" applyNumberFormat="1" applyFont="1" applyFill="1" applyBorder="1" applyAlignment="1"/>
    <xf numFmtId="41" fontId="25" fillId="3" borderId="10" xfId="0" applyNumberFormat="1" applyFont="1" applyFill="1" applyBorder="1" applyAlignment="1"/>
    <xf numFmtId="41" fontId="25" fillId="3" borderId="0" xfId="0" applyNumberFormat="1" applyFont="1" applyFill="1" applyBorder="1" applyAlignment="1"/>
    <xf numFmtId="41" fontId="25" fillId="3" borderId="11" xfId="0" applyNumberFormat="1" applyFont="1" applyFill="1" applyBorder="1" applyAlignment="1"/>
    <xf numFmtId="9" fontId="25" fillId="3" borderId="0" xfId="0" applyNumberFormat="1" applyFont="1" applyFill="1" applyBorder="1" applyAlignment="1"/>
    <xf numFmtId="42" fontId="37" fillId="3" borderId="10" xfId="0" applyNumberFormat="1" applyFont="1" applyFill="1" applyBorder="1" applyAlignment="1"/>
    <xf numFmtId="42" fontId="37" fillId="3" borderId="0" xfId="0" applyNumberFormat="1" applyFont="1" applyFill="1" applyBorder="1" applyAlignment="1"/>
    <xf numFmtId="42" fontId="37" fillId="3" borderId="11" xfId="0" applyNumberFormat="1" applyFont="1" applyFill="1" applyBorder="1" applyAlignment="1"/>
    <xf numFmtId="0" fontId="25" fillId="3" borderId="2" xfId="0" applyFont="1" applyFill="1" applyBorder="1" applyAlignment="1"/>
    <xf numFmtId="10" fontId="37" fillId="3" borderId="15" xfId="0" applyNumberFormat="1" applyFont="1" applyFill="1" applyBorder="1" applyAlignment="1"/>
    <xf numFmtId="0" fontId="25" fillId="3" borderId="1" xfId="0" applyFont="1" applyFill="1" applyBorder="1" applyAlignment="1"/>
    <xf numFmtId="0" fontId="25" fillId="3" borderId="3" xfId="0" applyFont="1" applyFill="1" applyBorder="1" applyAlignment="1"/>
    <xf numFmtId="0" fontId="25" fillId="2" borderId="1" xfId="0" applyFont="1" applyFill="1" applyBorder="1" applyAlignment="1">
      <alignment horizontal="center"/>
    </xf>
    <xf numFmtId="0" fontId="25" fillId="3" borderId="9" xfId="0" applyFont="1" applyFill="1" applyBorder="1"/>
    <xf numFmtId="0" fontId="41" fillId="3" borderId="8" xfId="0" applyFont="1" applyFill="1" applyBorder="1"/>
    <xf numFmtId="0" fontId="25" fillId="3" borderId="4" xfId="0" applyFont="1" applyFill="1" applyBorder="1"/>
    <xf numFmtId="0" fontId="25" fillId="3" borderId="7" xfId="0" applyFont="1" applyFill="1" applyBorder="1" applyAlignment="1">
      <alignment horizontal="center"/>
    </xf>
    <xf numFmtId="1" fontId="25" fillId="3" borderId="6" xfId="0" applyNumberFormat="1" applyFont="1" applyFill="1" applyBorder="1" applyAlignment="1">
      <alignment horizontal="center"/>
    </xf>
    <xf numFmtId="3" fontId="25" fillId="3" borderId="7" xfId="0" applyNumberFormat="1" applyFont="1" applyFill="1" applyBorder="1" applyAlignment="1">
      <alignment horizontal="center"/>
    </xf>
    <xf numFmtId="3" fontId="25" fillId="3" borderId="8" xfId="0" applyNumberFormat="1" applyFont="1" applyFill="1" applyBorder="1" applyAlignment="1">
      <alignment horizontal="center"/>
    </xf>
    <xf numFmtId="3" fontId="25" fillId="3" borderId="9" xfId="0" applyNumberFormat="1" applyFont="1" applyFill="1" applyBorder="1" applyAlignment="1">
      <alignment horizontal="center"/>
    </xf>
    <xf numFmtId="3" fontId="25" fillId="3" borderId="12" xfId="0" applyNumberFormat="1" applyFont="1" applyFill="1" applyBorder="1" applyAlignment="1">
      <alignment horizontal="center"/>
    </xf>
    <xf numFmtId="0" fontId="43" fillId="3" borderId="0" xfId="0" applyFont="1" applyFill="1"/>
    <xf numFmtId="0" fontId="43" fillId="3" borderId="0" xfId="0" applyFont="1" applyFill="1" applyAlignment="1">
      <alignment horizontal="center"/>
    </xf>
    <xf numFmtId="0" fontId="43" fillId="0" borderId="0" xfId="0" applyFont="1"/>
    <xf numFmtId="44" fontId="43" fillId="0" borderId="0" xfId="0" applyNumberFormat="1" applyFont="1"/>
    <xf numFmtId="0" fontId="25" fillId="0" borderId="13" xfId="0" applyFont="1" applyFill="1" applyBorder="1" applyAlignment="1">
      <alignment horizontal="left"/>
    </xf>
    <xf numFmtId="10" fontId="25" fillId="0" borderId="11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25" fillId="3" borderId="4" xfId="0" applyFont="1" applyFill="1" applyBorder="1" applyAlignment="1"/>
    <xf numFmtId="0" fontId="25" fillId="3" borderId="19" xfId="0" applyFont="1" applyFill="1" applyBorder="1" applyAlignment="1"/>
    <xf numFmtId="0" fontId="25" fillId="3" borderId="8" xfId="0" applyFont="1" applyFill="1" applyBorder="1" applyAlignment="1"/>
    <xf numFmtId="0" fontId="25" fillId="3" borderId="9" xfId="0" applyFont="1" applyFill="1" applyBorder="1" applyAlignment="1"/>
    <xf numFmtId="10" fontId="25" fillId="0" borderId="0" xfId="0" applyNumberFormat="1" applyFont="1" applyFill="1" applyBorder="1" applyAlignment="1"/>
    <xf numFmtId="37" fontId="25" fillId="3" borderId="10" xfId="1" applyNumberFormat="1" applyFont="1" applyFill="1" applyBorder="1" applyAlignment="1"/>
    <xf numFmtId="37" fontId="25" fillId="3" borderId="0" xfId="1" applyNumberFormat="1" applyFont="1" applyFill="1" applyBorder="1" applyAlignment="1"/>
    <xf numFmtId="37" fontId="25" fillId="3" borderId="11" xfId="1" applyNumberFormat="1" applyFont="1" applyFill="1" applyBorder="1" applyAlignment="1"/>
    <xf numFmtId="44" fontId="25" fillId="3" borderId="17" xfId="0" applyNumberFormat="1" applyFont="1" applyFill="1" applyBorder="1" applyAlignment="1"/>
    <xf numFmtId="44" fontId="25" fillId="3" borderId="12" xfId="0" applyNumberFormat="1" applyFont="1" applyFill="1" applyBorder="1" applyAlignment="1"/>
    <xf numFmtId="44" fontId="25" fillId="3" borderId="6" xfId="0" applyNumberFormat="1" applyFont="1" applyFill="1" applyBorder="1" applyAlignment="1"/>
    <xf numFmtId="44" fontId="25" fillId="3" borderId="7" xfId="0" applyNumberFormat="1" applyFont="1" applyFill="1" applyBorder="1" applyAlignment="1"/>
    <xf numFmtId="44" fontId="25" fillId="3" borderId="19" xfId="0" applyNumberFormat="1" applyFont="1" applyFill="1" applyBorder="1" applyAlignment="1"/>
    <xf numFmtId="44" fontId="25" fillId="3" borderId="8" xfId="0" applyNumberFormat="1" applyFont="1" applyFill="1" applyBorder="1" applyAlignment="1"/>
    <xf numFmtId="44" fontId="25" fillId="3" borderId="4" xfId="0" applyNumberFormat="1" applyFont="1" applyFill="1" applyBorder="1" applyAlignment="1"/>
    <xf numFmtId="44" fontId="25" fillId="3" borderId="9" xfId="0" applyNumberFormat="1" applyFont="1" applyFill="1" applyBorder="1" applyAlignment="1"/>
    <xf numFmtId="3" fontId="25" fillId="0" borderId="24" xfId="0" applyNumberFormat="1" applyFont="1" applyBorder="1" applyAlignment="1"/>
    <xf numFmtId="3" fontId="25" fillId="0" borderId="0" xfId="0" applyNumberFormat="1" applyFont="1" applyAlignment="1"/>
    <xf numFmtId="3" fontId="25" fillId="3" borderId="10" xfId="1" applyNumberFormat="1" applyFont="1" applyFill="1" applyBorder="1" applyAlignment="1"/>
    <xf numFmtId="3" fontId="25" fillId="3" borderId="0" xfId="1" applyNumberFormat="1" applyFont="1" applyFill="1" applyBorder="1" applyAlignment="1"/>
    <xf numFmtId="3" fontId="25" fillId="3" borderId="11" xfId="1" applyNumberFormat="1" applyFont="1" applyFill="1" applyBorder="1" applyAlignment="1"/>
    <xf numFmtId="0" fontId="25" fillId="3" borderId="14" xfId="0" applyFont="1" applyFill="1" applyBorder="1" applyAlignment="1"/>
    <xf numFmtId="0" fontId="25" fillId="3" borderId="7" xfId="0" applyFont="1" applyFill="1" applyBorder="1" applyAlignment="1"/>
    <xf numFmtId="42" fontId="25" fillId="2" borderId="15" xfId="0" applyNumberFormat="1" applyFont="1" applyFill="1" applyBorder="1" applyAlignment="1"/>
    <xf numFmtId="42" fontId="25" fillId="2" borderId="1" xfId="0" applyNumberFormat="1" applyFont="1" applyFill="1" applyBorder="1" applyAlignment="1"/>
    <xf numFmtId="42" fontId="25" fillId="2" borderId="2" xfId="0" applyNumberFormat="1" applyFont="1" applyFill="1" applyBorder="1" applyAlignment="1"/>
    <xf numFmtId="42" fontId="25" fillId="2" borderId="3" xfId="0" applyNumberFormat="1" applyFont="1" applyFill="1" applyBorder="1" applyAlignment="1"/>
    <xf numFmtId="9" fontId="25" fillId="3" borderId="5" xfId="0" applyNumberFormat="1" applyFont="1" applyFill="1" applyBorder="1" applyAlignment="1"/>
    <xf numFmtId="9" fontId="25" fillId="3" borderId="6" xfId="0" applyNumberFormat="1" applyFont="1" applyFill="1" applyBorder="1" applyAlignment="1"/>
    <xf numFmtId="42" fontId="37" fillId="3" borderId="16" xfId="0" applyNumberFormat="1" applyFont="1" applyFill="1" applyBorder="1" applyAlignment="1"/>
    <xf numFmtId="8" fontId="25" fillId="0" borderId="16" xfId="0" applyNumberFormat="1" applyFont="1" applyFill="1" applyBorder="1" applyAlignment="1"/>
    <xf numFmtId="10" fontId="25" fillId="0" borderId="6" xfId="4" applyNumberFormat="1" applyFont="1" applyFill="1" applyBorder="1" applyAlignment="1"/>
    <xf numFmtId="10" fontId="25" fillId="0" borderId="6" xfId="0" applyNumberFormat="1" applyFont="1" applyFill="1" applyBorder="1" applyAlignment="1"/>
    <xf numFmtId="10" fontId="25" fillId="0" borderId="12" xfId="0" applyNumberFormat="1" applyFont="1" applyFill="1" applyBorder="1" applyAlignment="1"/>
    <xf numFmtId="10" fontId="25" fillId="0" borderId="7" xfId="0" applyNumberFormat="1" applyFont="1" applyFill="1" applyBorder="1" applyAlignment="1"/>
    <xf numFmtId="10" fontId="25" fillId="0" borderId="5" xfId="0" applyNumberFormat="1" applyFont="1" applyFill="1" applyBorder="1" applyAlignment="1"/>
    <xf numFmtId="42" fontId="37" fillId="3" borderId="15" xfId="0" applyNumberFormat="1" applyFont="1" applyFill="1" applyBorder="1" applyAlignment="1"/>
    <xf numFmtId="0" fontId="37" fillId="3" borderId="0" xfId="0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center"/>
    </xf>
    <xf numFmtId="0" fontId="37" fillId="3" borderId="8" xfId="3" applyFont="1" applyFill="1" applyBorder="1" applyAlignment="1">
      <alignment horizontal="center"/>
    </xf>
    <xf numFmtId="0" fontId="37" fillId="3" borderId="10" xfId="3" applyFont="1" applyFill="1" applyBorder="1" applyAlignment="1">
      <alignment horizontal="center"/>
    </xf>
    <xf numFmtId="0" fontId="25" fillId="0" borderId="0" xfId="0" applyFont="1" applyBorder="1"/>
    <xf numFmtId="0" fontId="37" fillId="2" borderId="12" xfId="0" applyFont="1" applyFill="1" applyBorder="1"/>
    <xf numFmtId="0" fontId="25" fillId="0" borderId="0" xfId="0" applyFont="1" applyAlignment="1">
      <alignment wrapText="1"/>
    </xf>
    <xf numFmtId="44" fontId="25" fillId="0" borderId="11" xfId="0" applyNumberFormat="1" applyFont="1" applyFill="1" applyBorder="1" applyAlignment="1">
      <alignment horizontal="center"/>
    </xf>
    <xf numFmtId="10" fontId="25" fillId="3" borderId="11" xfId="0" applyNumberFormat="1" applyFont="1" applyFill="1" applyBorder="1" applyAlignment="1">
      <alignment horizontal="right"/>
    </xf>
    <xf numFmtId="9" fontId="25" fillId="3" borderId="10" xfId="0" applyNumberFormat="1" applyFont="1" applyFill="1" applyBorder="1" applyAlignment="1"/>
    <xf numFmtId="41" fontId="25" fillId="3" borderId="12" xfId="0" applyNumberFormat="1" applyFont="1" applyFill="1" applyBorder="1" applyAlignment="1"/>
    <xf numFmtId="41" fontId="25" fillId="3" borderId="6" xfId="0" applyNumberFormat="1" applyFont="1" applyFill="1" applyBorder="1" applyAlignment="1"/>
    <xf numFmtId="41" fontId="25" fillId="3" borderId="7" xfId="0" applyNumberFormat="1" applyFont="1" applyFill="1" applyBorder="1" applyAlignment="1"/>
    <xf numFmtId="10" fontId="25" fillId="0" borderId="10" xfId="0" applyNumberFormat="1" applyFont="1" applyFill="1" applyBorder="1" applyAlignment="1"/>
    <xf numFmtId="3" fontId="25" fillId="3" borderId="16" xfId="0" applyNumberFormat="1" applyFont="1" applyFill="1" applyBorder="1" applyAlignment="1"/>
    <xf numFmtId="9" fontId="25" fillId="3" borderId="0" xfId="4" applyFont="1" applyFill="1" applyBorder="1" applyAlignment="1"/>
    <xf numFmtId="9" fontId="25" fillId="3" borderId="11" xfId="4" applyFont="1" applyFill="1" applyBorder="1" applyAlignment="1"/>
    <xf numFmtId="164" fontId="25" fillId="3" borderId="0" xfId="4" applyNumberFormat="1" applyFont="1" applyFill="1" applyBorder="1" applyAlignment="1"/>
    <xf numFmtId="164" fontId="25" fillId="3" borderId="11" xfId="4" applyNumberFormat="1" applyFont="1" applyFill="1" applyBorder="1" applyAlignment="1"/>
    <xf numFmtId="41" fontId="25" fillId="3" borderId="17" xfId="0" applyNumberFormat="1" applyFont="1" applyFill="1" applyBorder="1" applyAlignment="1"/>
    <xf numFmtId="0" fontId="25" fillId="2" borderId="6" xfId="0" applyFont="1" applyFill="1" applyBorder="1" applyAlignment="1"/>
    <xf numFmtId="0" fontId="25" fillId="2" borderId="17" xfId="0" applyFont="1" applyFill="1" applyBorder="1" applyAlignment="1"/>
    <xf numFmtId="0" fontId="25" fillId="2" borderId="12" xfId="0" applyFont="1" applyFill="1" applyBorder="1" applyAlignment="1"/>
    <xf numFmtId="9" fontId="25" fillId="3" borderId="5" xfId="0" applyNumberFormat="1" applyFont="1" applyFill="1" applyBorder="1" applyAlignment="1">
      <alignment wrapText="1"/>
    </xf>
    <xf numFmtId="41" fontId="25" fillId="3" borderId="18" xfId="0" applyNumberFormat="1" applyFont="1" applyFill="1" applyBorder="1" applyAlignment="1">
      <alignment wrapText="1"/>
    </xf>
    <xf numFmtId="41" fontId="25" fillId="3" borderId="13" xfId="0" applyNumberFormat="1" applyFont="1" applyFill="1" applyBorder="1" applyAlignment="1">
      <alignment wrapText="1"/>
    </xf>
    <xf numFmtId="41" fontId="25" fillId="3" borderId="5" xfId="0" applyNumberFormat="1" applyFont="1" applyFill="1" applyBorder="1" applyAlignment="1">
      <alignment wrapText="1"/>
    </xf>
    <xf numFmtId="41" fontId="25" fillId="3" borderId="14" xfId="0" applyNumberFormat="1" applyFont="1" applyFill="1" applyBorder="1" applyAlignment="1">
      <alignment wrapText="1"/>
    </xf>
    <xf numFmtId="8" fontId="37" fillId="3" borderId="19" xfId="0" applyNumberFormat="1" applyFont="1" applyFill="1" applyBorder="1" applyAlignment="1"/>
    <xf numFmtId="44" fontId="25" fillId="0" borderId="0" xfId="0" applyNumberFormat="1" applyFont="1" applyBorder="1"/>
    <xf numFmtId="44" fontId="25" fillId="0" borderId="0" xfId="0" applyNumberFormat="1" applyFont="1"/>
    <xf numFmtId="43" fontId="25" fillId="0" borderId="0" xfId="0" applyNumberFormat="1" applyFont="1" applyAlignment="1">
      <alignment wrapText="1"/>
    </xf>
    <xf numFmtId="0" fontId="25" fillId="0" borderId="10" xfId="0" applyFont="1" applyFill="1" applyBorder="1" applyAlignment="1">
      <alignment horizontal="left"/>
    </xf>
    <xf numFmtId="0" fontId="37" fillId="3" borderId="0" xfId="0" applyFont="1" applyFill="1" applyBorder="1"/>
    <xf numFmtId="10" fontId="37" fillId="3" borderId="0" xfId="0" applyNumberFormat="1" applyFont="1" applyFill="1" applyBorder="1" applyAlignment="1">
      <alignment horizontal="center"/>
    </xf>
    <xf numFmtId="0" fontId="25" fillId="0" borderId="10" xfId="0" applyFont="1" applyFill="1" applyBorder="1"/>
    <xf numFmtId="43" fontId="25" fillId="3" borderId="16" xfId="0" applyNumberFormat="1" applyFont="1" applyFill="1" applyBorder="1" applyAlignment="1"/>
    <xf numFmtId="43" fontId="25" fillId="3" borderId="10" xfId="0" applyNumberFormat="1" applyFont="1" applyFill="1" applyBorder="1" applyAlignment="1"/>
    <xf numFmtId="43" fontId="25" fillId="3" borderId="0" xfId="0" applyNumberFormat="1" applyFont="1" applyFill="1" applyBorder="1" applyAlignment="1"/>
    <xf numFmtId="43" fontId="25" fillId="3" borderId="11" xfId="0" applyNumberFormat="1" applyFont="1" applyFill="1" applyBorder="1" applyAlignment="1"/>
    <xf numFmtId="42" fontId="37" fillId="3" borderId="19" xfId="0" applyNumberFormat="1" applyFont="1" applyFill="1" applyBorder="1" applyAlignment="1"/>
    <xf numFmtId="0" fontId="37" fillId="3" borderId="2" xfId="3" applyFont="1" applyFill="1" applyBorder="1" applyAlignment="1">
      <alignment horizontal="center"/>
    </xf>
    <xf numFmtId="0" fontId="37" fillId="3" borderId="3" xfId="3" applyFont="1" applyFill="1" applyBorder="1" applyAlignment="1">
      <alignment horizontal="center"/>
    </xf>
    <xf numFmtId="10" fontId="37" fillId="3" borderId="2" xfId="0" applyNumberFormat="1" applyFont="1" applyFill="1" applyBorder="1" applyAlignment="1">
      <alignment horizontal="center"/>
    </xf>
    <xf numFmtId="0" fontId="25" fillId="0" borderId="12" xfId="0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7" fillId="3" borderId="12" xfId="3" applyFont="1" applyFill="1" applyBorder="1" applyAlignment="1">
      <alignment horizontal="centerContinuous"/>
    </xf>
    <xf numFmtId="0" fontId="25" fillId="3" borderId="6" xfId="3" applyFont="1" applyFill="1" applyBorder="1" applyAlignment="1">
      <alignment horizontal="centerContinuous"/>
    </xf>
    <xf numFmtId="0" fontId="43" fillId="0" borderId="0" xfId="0" applyFont="1" applyFill="1"/>
    <xf numFmtId="44" fontId="25" fillId="3" borderId="11" xfId="0" applyNumberFormat="1" applyFont="1" applyFill="1" applyBorder="1"/>
    <xf numFmtId="0" fontId="43" fillId="0" borderId="0" xfId="0" applyFont="1" applyBorder="1"/>
    <xf numFmtId="0" fontId="25" fillId="5" borderId="10" xfId="0" applyFont="1" applyFill="1" applyBorder="1" applyAlignment="1">
      <alignment horizontal="left"/>
    </xf>
    <xf numFmtId="0" fontId="43" fillId="3" borderId="0" xfId="0" applyFont="1" applyFill="1" applyBorder="1"/>
    <xf numFmtId="0" fontId="25" fillId="3" borderId="13" xfId="0" applyFont="1" applyFill="1" applyBorder="1"/>
    <xf numFmtId="41" fontId="25" fillId="3" borderId="14" xfId="0" applyNumberFormat="1" applyFont="1" applyFill="1" applyBorder="1"/>
    <xf numFmtId="3" fontId="25" fillId="3" borderId="6" xfId="0" applyNumberFormat="1" applyFont="1" applyFill="1" applyBorder="1" applyAlignment="1">
      <alignment horizontal="center"/>
    </xf>
    <xf numFmtId="43" fontId="25" fillId="0" borderId="11" xfId="0" applyNumberFormat="1" applyFont="1" applyFill="1" applyBorder="1" applyAlignment="1">
      <alignment horizontal="center"/>
    </xf>
    <xf numFmtId="43" fontId="43" fillId="3" borderId="0" xfId="0" applyNumberFormat="1" applyFont="1" applyFill="1"/>
    <xf numFmtId="10" fontId="25" fillId="0" borderId="11" xfId="0" applyNumberFormat="1" applyFont="1" applyFill="1" applyBorder="1" applyAlignment="1">
      <alignment horizontal="right"/>
    </xf>
    <xf numFmtId="6" fontId="25" fillId="0" borderId="10" xfId="0" applyNumberFormat="1" applyFont="1" applyFill="1" applyBorder="1" applyAlignment="1"/>
    <xf numFmtId="0" fontId="25" fillId="0" borderId="10" xfId="0" applyFont="1" applyFill="1" applyBorder="1" applyAlignment="1"/>
    <xf numFmtId="6" fontId="25" fillId="3" borderId="10" xfId="0" applyNumberFormat="1" applyFont="1" applyFill="1" applyBorder="1" applyAlignment="1"/>
    <xf numFmtId="43" fontId="25" fillId="3" borderId="12" xfId="0" applyNumberFormat="1" applyFont="1" applyFill="1" applyBorder="1" applyAlignment="1"/>
    <xf numFmtId="43" fontId="25" fillId="3" borderId="6" xfId="0" applyNumberFormat="1" applyFont="1" applyFill="1" applyBorder="1" applyAlignment="1"/>
    <xf numFmtId="43" fontId="25" fillId="3" borderId="7" xfId="0" applyNumberFormat="1" applyFont="1" applyFill="1" applyBorder="1" applyAlignment="1"/>
    <xf numFmtId="0" fontId="25" fillId="3" borderId="11" xfId="0" applyNumberFormat="1" applyFont="1" applyFill="1" applyBorder="1" applyAlignment="1"/>
    <xf numFmtId="0" fontId="25" fillId="3" borderId="15" xfId="0" applyFont="1" applyFill="1" applyBorder="1" applyAlignment="1"/>
    <xf numFmtId="0" fontId="25" fillId="3" borderId="8" xfId="3" applyFont="1" applyFill="1" applyBorder="1" applyAlignment="1"/>
    <xf numFmtId="0" fontId="25" fillId="3" borderId="4" xfId="3" applyFont="1" applyFill="1" applyBorder="1" applyAlignment="1"/>
    <xf numFmtId="0" fontId="37" fillId="3" borderId="4" xfId="3" applyFont="1" applyFill="1" applyBorder="1" applyAlignment="1">
      <alignment horizontal="center"/>
    </xf>
    <xf numFmtId="0" fontId="37" fillId="3" borderId="8" xfId="3" applyFont="1" applyFill="1" applyBorder="1" applyAlignment="1">
      <alignment horizontal="centerContinuous"/>
    </xf>
    <xf numFmtId="0" fontId="25" fillId="3" borderId="4" xfId="3" applyFont="1" applyFill="1" applyBorder="1" applyAlignment="1">
      <alignment horizontal="centerContinuous"/>
    </xf>
    <xf numFmtId="0" fontId="25" fillId="3" borderId="4" xfId="0" applyFont="1" applyFill="1" applyBorder="1" applyAlignment="1">
      <alignment horizontal="centerContinuous"/>
    </xf>
    <xf numFmtId="0" fontId="25" fillId="3" borderId="9" xfId="3" applyFont="1" applyFill="1" applyBorder="1" applyAlignment="1">
      <alignment horizontal="centerContinuous"/>
    </xf>
    <xf numFmtId="0" fontId="25" fillId="3" borderId="1" xfId="3" applyFont="1" applyFill="1" applyBorder="1" applyAlignment="1">
      <alignment horizontal="center"/>
    </xf>
    <xf numFmtId="177" fontId="25" fillId="3" borderId="6" xfId="1" applyNumberFormat="1" applyFont="1" applyFill="1" applyBorder="1" applyAlignment="1">
      <alignment horizontal="center"/>
    </xf>
    <xf numFmtId="0" fontId="41" fillId="3" borderId="27" xfId="0" applyFont="1" applyFill="1" applyBorder="1"/>
    <xf numFmtId="0" fontId="25" fillId="3" borderId="26" xfId="0" applyFont="1" applyFill="1" applyBorder="1" applyAlignment="1">
      <alignment horizontal="center"/>
    </xf>
    <xf numFmtId="3" fontId="25" fillId="3" borderId="26" xfId="0" applyNumberFormat="1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3" fontId="37" fillId="3" borderId="2" xfId="0" applyNumberFormat="1" applyFont="1" applyFill="1" applyBorder="1" applyAlignment="1">
      <alignment horizontal="center"/>
    </xf>
    <xf numFmtId="3" fontId="37" fillId="3" borderId="1" xfId="0" applyNumberFormat="1" applyFont="1" applyFill="1" applyBorder="1" applyAlignment="1">
      <alignment horizontal="center"/>
    </xf>
    <xf numFmtId="3" fontId="37" fillId="3" borderId="3" xfId="0" applyNumberFormat="1" applyFont="1" applyFill="1" applyBorder="1" applyAlignment="1">
      <alignment horizontal="center"/>
    </xf>
    <xf numFmtId="177" fontId="25" fillId="3" borderId="4" xfId="1" applyNumberFormat="1" applyFont="1" applyFill="1" applyBorder="1" applyAlignment="1">
      <alignment horizontal="center"/>
    </xf>
    <xf numFmtId="3" fontId="25" fillId="3" borderId="4" xfId="0" applyNumberFormat="1" applyFont="1" applyFill="1" applyBorder="1" applyAlignment="1">
      <alignment horizontal="center"/>
    </xf>
    <xf numFmtId="177" fontId="25" fillId="3" borderId="11" xfId="0" applyNumberFormat="1" applyFont="1" applyFill="1" applyBorder="1" applyAlignment="1">
      <alignment horizontal="center"/>
    </xf>
    <xf numFmtId="3" fontId="25" fillId="3" borderId="27" xfId="0" applyNumberFormat="1" applyFont="1" applyFill="1" applyBorder="1" applyAlignment="1">
      <alignment horizontal="center"/>
    </xf>
    <xf numFmtId="3" fontId="25" fillId="3" borderId="28" xfId="0" applyNumberFormat="1" applyFont="1" applyFill="1" applyBorder="1" applyAlignment="1">
      <alignment horizontal="center"/>
    </xf>
    <xf numFmtId="42" fontId="25" fillId="3" borderId="0" xfId="0" applyNumberFormat="1" applyFont="1" applyFill="1" applyAlignment="1">
      <alignment horizontal="center"/>
    </xf>
    <xf numFmtId="41" fontId="25" fillId="3" borderId="0" xfId="0" applyNumberFormat="1" applyFont="1" applyFill="1" applyAlignment="1">
      <alignment horizontal="center"/>
    </xf>
    <xf numFmtId="0" fontId="37" fillId="3" borderId="8" xfId="0" applyFont="1" applyFill="1" applyBorder="1"/>
    <xf numFmtId="0" fontId="37" fillId="3" borderId="4" xfId="0" applyFont="1" applyFill="1" applyBorder="1" applyAlignment="1">
      <alignment horizontal="center"/>
    </xf>
    <xf numFmtId="0" fontId="37" fillId="3" borderId="9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/>
    </xf>
    <xf numFmtId="0" fontId="37" fillId="3" borderId="19" xfId="0" applyFont="1" applyFill="1" applyBorder="1" applyAlignment="1">
      <alignment horizontal="center"/>
    </xf>
    <xf numFmtId="0" fontId="37" fillId="3" borderId="12" xfId="0" applyFont="1" applyFill="1" applyBorder="1" applyAlignment="1">
      <alignment horizontal="center"/>
    </xf>
    <xf numFmtId="0" fontId="37" fillId="3" borderId="17" xfId="0" applyFont="1" applyFill="1" applyBorder="1" applyAlignment="1">
      <alignment horizontal="center"/>
    </xf>
    <xf numFmtId="42" fontId="25" fillId="3" borderId="16" xfId="0" applyNumberFormat="1" applyFont="1" applyFill="1" applyBorder="1"/>
    <xf numFmtId="44" fontId="25" fillId="3" borderId="16" xfId="0" applyNumberFormat="1" applyFont="1" applyFill="1" applyBorder="1"/>
    <xf numFmtId="41" fontId="25" fillId="3" borderId="16" xfId="0" applyNumberFormat="1" applyFont="1" applyFill="1" applyBorder="1"/>
    <xf numFmtId="43" fontId="25" fillId="3" borderId="16" xfId="0" applyNumberFormat="1" applyFont="1" applyFill="1" applyBorder="1"/>
    <xf numFmtId="3" fontId="37" fillId="3" borderId="7" xfId="0" applyNumberFormat="1" applyFont="1" applyFill="1" applyBorder="1" applyAlignment="1">
      <alignment horizontal="center"/>
    </xf>
    <xf numFmtId="3" fontId="37" fillId="3" borderId="12" xfId="0" applyNumberFormat="1" applyFont="1" applyFill="1" applyBorder="1" applyAlignment="1">
      <alignment horizontal="center"/>
    </xf>
    <xf numFmtId="42" fontId="37" fillId="3" borderId="17" xfId="0" applyNumberFormat="1" applyFont="1" applyFill="1" applyBorder="1"/>
    <xf numFmtId="44" fontId="37" fillId="3" borderId="17" xfId="0" applyNumberFormat="1" applyFont="1" applyFill="1" applyBorder="1"/>
    <xf numFmtId="41" fontId="25" fillId="3" borderId="4" xfId="0" applyNumberFormat="1" applyFont="1" applyFill="1" applyBorder="1"/>
    <xf numFmtId="41" fontId="25" fillId="3" borderId="9" xfId="0" applyNumberFormat="1" applyFont="1" applyFill="1" applyBorder="1"/>
    <xf numFmtId="0" fontId="25" fillId="3" borderId="5" xfId="0" applyFont="1" applyFill="1" applyBorder="1"/>
    <xf numFmtId="41" fontId="37" fillId="3" borderId="11" xfId="0" applyNumberFormat="1" applyFont="1" applyFill="1" applyBorder="1"/>
    <xf numFmtId="0" fontId="25" fillId="3" borderId="5" xfId="0" applyFont="1" applyFill="1" applyBorder="1" applyAlignment="1">
      <alignment horizontal="right"/>
    </xf>
    <xf numFmtId="43" fontId="25" fillId="3" borderId="14" xfId="0" applyNumberFormat="1" applyFont="1" applyFill="1" applyBorder="1"/>
    <xf numFmtId="0" fontId="37" fillId="3" borderId="8" xfId="0" applyFont="1" applyFill="1" applyBorder="1" applyAlignment="1">
      <alignment horizontal="left"/>
    </xf>
    <xf numFmtId="0" fontId="25" fillId="3" borderId="16" xfId="0" applyFont="1" applyFill="1" applyBorder="1"/>
    <xf numFmtId="0" fontId="41" fillId="3" borderId="0" xfId="0" applyFont="1" applyFill="1" applyBorder="1"/>
    <xf numFmtId="0" fontId="26" fillId="3" borderId="12" xfId="0" applyFont="1" applyFill="1" applyBorder="1"/>
    <xf numFmtId="44" fontId="37" fillId="3" borderId="7" xfId="0" applyNumberFormat="1" applyFont="1" applyFill="1" applyBorder="1"/>
    <xf numFmtId="0" fontId="25" fillId="3" borderId="20" xfId="0" applyFont="1" applyFill="1" applyBorder="1"/>
    <xf numFmtId="0" fontId="25" fillId="3" borderId="21" xfId="0" applyFont="1" applyFill="1" applyBorder="1"/>
    <xf numFmtId="0" fontId="25" fillId="3" borderId="22" xfId="0" applyFont="1" applyFill="1" applyBorder="1"/>
    <xf numFmtId="0" fontId="25" fillId="3" borderId="23" xfId="0" applyFont="1" applyFill="1" applyBorder="1"/>
    <xf numFmtId="0" fontId="26" fillId="3" borderId="8" xfId="0" applyFont="1" applyFill="1" applyBorder="1"/>
    <xf numFmtId="42" fontId="37" fillId="3" borderId="8" xfId="0" applyNumberFormat="1" applyFont="1" applyFill="1" applyBorder="1"/>
    <xf numFmtId="3" fontId="37" fillId="3" borderId="9" xfId="0" applyNumberFormat="1" applyFont="1" applyFill="1" applyBorder="1" applyAlignment="1">
      <alignment horizontal="center"/>
    </xf>
    <xf numFmtId="42" fontId="37" fillId="3" borderId="19" xfId="0" applyNumberFormat="1" applyFont="1" applyFill="1" applyBorder="1"/>
    <xf numFmtId="44" fontId="37" fillId="3" borderId="9" xfId="0" applyNumberFormat="1" applyFont="1" applyFill="1" applyBorder="1"/>
    <xf numFmtId="10" fontId="25" fillId="3" borderId="11" xfId="0" applyNumberFormat="1" applyFont="1" applyFill="1" applyBorder="1"/>
    <xf numFmtId="10" fontId="25" fillId="3" borderId="7" xfId="0" applyNumberFormat="1" applyFont="1" applyFill="1" applyBorder="1"/>
    <xf numFmtId="0" fontId="22" fillId="11" borderId="1" xfId="0" applyFont="1" applyFill="1" applyBorder="1" applyAlignment="1">
      <alignment horizontal="left"/>
    </xf>
    <xf numFmtId="0" fontId="22" fillId="11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0" borderId="4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4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4" fillId="3" borderId="12" xfId="3" applyFont="1" applyFill="1" applyBorder="1" applyAlignment="1">
      <alignment horizontal="left" vertical="top" wrapText="1"/>
    </xf>
    <xf numFmtId="0" fontId="4" fillId="3" borderId="6" xfId="3" applyFont="1" applyFill="1" applyBorder="1" applyAlignment="1">
      <alignment horizontal="left" vertical="top" wrapText="1"/>
    </xf>
    <xf numFmtId="0" fontId="4" fillId="3" borderId="7" xfId="3" applyFont="1" applyFill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10" xfId="3" applyFont="1" applyBorder="1" applyAlignment="1">
      <alignment horizontal="left" vertical="top" wrapText="1"/>
    </xf>
    <xf numFmtId="0" fontId="4" fillId="0" borderId="11" xfId="3" applyFont="1" applyBorder="1" applyAlignment="1">
      <alignment horizontal="left" vertical="top" wrapText="1"/>
    </xf>
    <xf numFmtId="0" fontId="4" fillId="0" borderId="12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0" fontId="4" fillId="0" borderId="8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left" vertical="top" wrapText="1"/>
    </xf>
    <xf numFmtId="0" fontId="4" fillId="0" borderId="9" xfId="3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11" xfId="3" applyFont="1" applyFill="1" applyBorder="1" applyAlignment="1">
      <alignment horizontal="left" vertical="top" wrapText="1"/>
    </xf>
    <xf numFmtId="0" fontId="4" fillId="0" borderId="12" xfId="3" applyFont="1" applyFill="1" applyBorder="1" applyAlignment="1">
      <alignment horizontal="left" vertical="top" wrapText="1"/>
    </xf>
    <xf numFmtId="0" fontId="4" fillId="0" borderId="6" xfId="3" applyFont="1" applyFill="1" applyBorder="1" applyAlignment="1">
      <alignment horizontal="left" vertical="top" wrapText="1"/>
    </xf>
    <xf numFmtId="0" fontId="4" fillId="0" borderId="7" xfId="3" applyFont="1" applyFill="1" applyBorder="1" applyAlignment="1">
      <alignment horizontal="left" vertical="top" wrapText="1"/>
    </xf>
    <xf numFmtId="0" fontId="4" fillId="0" borderId="8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top" wrapText="1"/>
    </xf>
    <xf numFmtId="0" fontId="33" fillId="11" borderId="6" xfId="3" applyFont="1" applyFill="1" applyBorder="1" applyAlignment="1">
      <alignment horizontal="right"/>
    </xf>
    <xf numFmtId="0" fontId="35" fillId="11" borderId="0" xfId="3" applyFont="1" applyFill="1" applyAlignment="1">
      <alignment horizontal="left"/>
    </xf>
    <xf numFmtId="0" fontId="22" fillId="11" borderId="1" xfId="0" applyFont="1" applyFill="1" applyBorder="1" applyAlignment="1">
      <alignment horizontal="left"/>
    </xf>
    <xf numFmtId="0" fontId="22" fillId="11" borderId="2" xfId="0" applyFont="1" applyFill="1" applyBorder="1" applyAlignment="1">
      <alignment horizontal="left"/>
    </xf>
    <xf numFmtId="0" fontId="22" fillId="11" borderId="3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3" borderId="4" xfId="3" quotePrefix="1" applyFont="1" applyFill="1" applyBorder="1" applyAlignment="1">
      <alignment horizontal="left" wrapText="1"/>
    </xf>
    <xf numFmtId="0" fontId="4" fillId="3" borderId="0" xfId="3" quotePrefix="1" applyFont="1" applyFill="1" applyBorder="1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36" fillId="3" borderId="0" xfId="3" applyFont="1" applyFill="1" applyBorder="1" applyAlignment="1">
      <alignment horizontal="center" vertical="top" wrapText="1"/>
    </xf>
    <xf numFmtId="0" fontId="36" fillId="0" borderId="8" xfId="3" applyFont="1" applyFill="1" applyBorder="1" applyAlignment="1">
      <alignment horizontal="left" vertical="center" wrapText="1"/>
    </xf>
    <xf numFmtId="0" fontId="36" fillId="0" borderId="4" xfId="3" applyFont="1" applyFill="1" applyBorder="1" applyAlignment="1">
      <alignment horizontal="left" vertical="center" wrapText="1"/>
    </xf>
    <xf numFmtId="0" fontId="36" fillId="0" borderId="9" xfId="3" applyFont="1" applyFill="1" applyBorder="1" applyAlignment="1">
      <alignment horizontal="left" vertical="center" wrapText="1"/>
    </xf>
    <xf numFmtId="0" fontId="36" fillId="0" borderId="10" xfId="3" applyFont="1" applyFill="1" applyBorder="1" applyAlignment="1">
      <alignment horizontal="left" vertical="center" wrapText="1"/>
    </xf>
    <xf numFmtId="0" fontId="36" fillId="0" borderId="0" xfId="3" applyFont="1" applyFill="1" applyBorder="1" applyAlignment="1">
      <alignment horizontal="left" vertical="center" wrapText="1"/>
    </xf>
    <xf numFmtId="0" fontId="36" fillId="0" borderId="11" xfId="3" applyFont="1" applyFill="1" applyBorder="1" applyAlignment="1">
      <alignment horizontal="left" vertical="center" wrapText="1"/>
    </xf>
    <xf numFmtId="0" fontId="36" fillId="0" borderId="8" xfId="3" applyFont="1" applyFill="1" applyBorder="1" applyAlignment="1">
      <alignment horizontal="left" vertical="top" wrapText="1"/>
    </xf>
    <xf numFmtId="0" fontId="36" fillId="0" borderId="4" xfId="3" applyFont="1" applyFill="1" applyBorder="1" applyAlignment="1">
      <alignment horizontal="left" vertical="top" wrapText="1"/>
    </xf>
    <xf numFmtId="0" fontId="36" fillId="0" borderId="9" xfId="3" applyFont="1" applyFill="1" applyBorder="1" applyAlignment="1">
      <alignment horizontal="left" vertical="top" wrapText="1"/>
    </xf>
    <xf numFmtId="0" fontId="36" fillId="0" borderId="12" xfId="3" applyFont="1" applyFill="1" applyBorder="1" applyAlignment="1">
      <alignment horizontal="left" vertical="top" wrapText="1"/>
    </xf>
    <xf numFmtId="0" fontId="36" fillId="0" borderId="6" xfId="3" applyFont="1" applyFill="1" applyBorder="1" applyAlignment="1">
      <alignment horizontal="left" vertical="top" wrapText="1"/>
    </xf>
    <xf numFmtId="0" fontId="36" fillId="0" borderId="7" xfId="3" applyFont="1" applyFill="1" applyBorder="1" applyAlignment="1">
      <alignment horizontal="left" vertical="top" wrapText="1"/>
    </xf>
    <xf numFmtId="0" fontId="36" fillId="0" borderId="12" xfId="3" applyFont="1" applyFill="1" applyBorder="1" applyAlignment="1">
      <alignment horizontal="left" vertical="center" wrapText="1"/>
    </xf>
    <xf numFmtId="0" fontId="36" fillId="0" borderId="6" xfId="3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0" fontId="36" fillId="0" borderId="10" xfId="3" applyFont="1" applyFill="1" applyBorder="1" applyAlignment="1">
      <alignment horizontal="left" vertical="top" wrapText="1"/>
    </xf>
    <xf numFmtId="0" fontId="36" fillId="0" borderId="0" xfId="3" applyFont="1" applyFill="1" applyBorder="1" applyAlignment="1">
      <alignment horizontal="left" vertical="top" wrapText="1"/>
    </xf>
    <xf numFmtId="0" fontId="36" fillId="0" borderId="11" xfId="3" applyFont="1" applyFill="1" applyBorder="1" applyAlignment="1">
      <alignment horizontal="left" vertical="top" wrapText="1"/>
    </xf>
    <xf numFmtId="0" fontId="36" fillId="3" borderId="0" xfId="3" applyFont="1" applyFill="1" applyBorder="1" applyAlignment="1">
      <alignment horizontal="left" wrapText="1"/>
    </xf>
    <xf numFmtId="0" fontId="36" fillId="3" borderId="0" xfId="3" quotePrefix="1" applyFont="1" applyFill="1" applyBorder="1" applyAlignment="1">
      <alignment horizontal="left"/>
    </xf>
    <xf numFmtId="0" fontId="37" fillId="3" borderId="12" xfId="0" applyFont="1" applyFill="1" applyBorder="1" applyAlignment="1">
      <alignment horizontal="left"/>
    </xf>
    <xf numFmtId="0" fontId="37" fillId="3" borderId="6" xfId="0" applyFont="1" applyFill="1" applyBorder="1" applyAlignment="1">
      <alignment horizontal="left"/>
    </xf>
    <xf numFmtId="0" fontId="45" fillId="11" borderId="2" xfId="3" applyFont="1" applyFill="1" applyBorder="1" applyAlignment="1"/>
    <xf numFmtId="0" fontId="11" fillId="11" borderId="8" xfId="0" applyFont="1" applyFill="1" applyBorder="1" applyAlignment="1">
      <alignment horizontal="centerContinuous"/>
    </xf>
    <xf numFmtId="0" fontId="13" fillId="11" borderId="4" xfId="3" applyFont="1" applyFill="1" applyBorder="1" applyAlignment="1">
      <alignment horizontal="centerContinuous"/>
    </xf>
    <xf numFmtId="0" fontId="13" fillId="11" borderId="9" xfId="3" applyFont="1" applyFill="1" applyBorder="1" applyAlignment="1">
      <alignment horizontal="centerContinuous"/>
    </xf>
    <xf numFmtId="0" fontId="11" fillId="11" borderId="12" xfId="0" applyFont="1" applyFill="1" applyBorder="1" applyAlignment="1">
      <alignment horizontal="centerContinuous"/>
    </xf>
    <xf numFmtId="0" fontId="13" fillId="11" borderId="6" xfId="3" applyFont="1" applyFill="1" applyBorder="1" applyAlignment="1">
      <alignment horizontal="centerContinuous"/>
    </xf>
    <xf numFmtId="0" fontId="11" fillId="11" borderId="7" xfId="3" applyFont="1" applyFill="1" applyBorder="1" applyAlignment="1">
      <alignment horizontal="centerContinuous"/>
    </xf>
    <xf numFmtId="6" fontId="13" fillId="11" borderId="6" xfId="3" applyNumberFormat="1" applyFont="1" applyFill="1" applyBorder="1" applyAlignment="1">
      <alignment horizontal="centerContinuous"/>
    </xf>
    <xf numFmtId="0" fontId="13" fillId="11" borderId="7" xfId="3" applyFont="1" applyFill="1" applyBorder="1" applyAlignment="1">
      <alignment horizontal="centerContinuous"/>
    </xf>
    <xf numFmtId="44" fontId="11" fillId="11" borderId="1" xfId="0" applyNumberFormat="1" applyFont="1" applyFill="1" applyBorder="1" applyAlignment="1">
      <alignment horizontal="left"/>
    </xf>
    <xf numFmtId="44" fontId="13" fillId="11" borderId="2" xfId="0" applyNumberFormat="1" applyFont="1" applyFill="1" applyBorder="1" applyAlignment="1">
      <alignment horizontal="left"/>
    </xf>
    <xf numFmtId="0" fontId="13" fillId="11" borderId="2" xfId="0" applyFont="1" applyFill="1" applyBorder="1" applyAlignment="1">
      <alignment horizontal="left"/>
    </xf>
    <xf numFmtId="44" fontId="13" fillId="11" borderId="3" xfId="0" applyNumberFormat="1" applyFont="1" applyFill="1" applyBorder="1" applyAlignment="1">
      <alignment horizontal="left"/>
    </xf>
    <xf numFmtId="0" fontId="11" fillId="11" borderId="1" xfId="3" applyFont="1" applyFill="1" applyBorder="1" applyAlignment="1">
      <alignment horizontal="left"/>
    </xf>
    <xf numFmtId="6" fontId="11" fillId="11" borderId="3" xfId="3" applyNumberFormat="1" applyFont="1" applyFill="1" applyBorder="1" applyAlignment="1">
      <alignment horizontal="left"/>
    </xf>
    <xf numFmtId="0" fontId="11" fillId="11" borderId="1" xfId="0" applyFont="1" applyFill="1" applyBorder="1" applyAlignment="1">
      <alignment horizontal="left"/>
    </xf>
    <xf numFmtId="0" fontId="13" fillId="11" borderId="3" xfId="0" applyFont="1" applyFill="1" applyBorder="1" applyAlignment="1">
      <alignment horizontal="left"/>
    </xf>
    <xf numFmtId="0" fontId="11" fillId="11" borderId="2" xfId="0" applyFont="1" applyFill="1" applyBorder="1" applyAlignment="1">
      <alignment horizontal="left"/>
    </xf>
    <xf numFmtId="0" fontId="11" fillId="11" borderId="3" xfId="0" applyFont="1" applyFill="1" applyBorder="1" applyAlignment="1">
      <alignment horizontal="left"/>
    </xf>
    <xf numFmtId="0" fontId="11" fillId="11" borderId="4" xfId="0" applyFont="1" applyFill="1" applyBorder="1" applyAlignment="1">
      <alignment horizontal="centerContinuous"/>
    </xf>
    <xf numFmtId="0" fontId="11" fillId="11" borderId="9" xfId="0" applyFont="1" applyFill="1" applyBorder="1" applyAlignment="1">
      <alignment horizontal="centerContinuous"/>
    </xf>
    <xf numFmtId="0" fontId="11" fillId="11" borderId="6" xfId="0" applyFont="1" applyFill="1" applyBorder="1" applyAlignment="1">
      <alignment horizontal="centerContinuous"/>
    </xf>
    <xf numFmtId="0" fontId="11" fillId="11" borderId="7" xfId="0" applyFont="1" applyFill="1" applyBorder="1" applyAlignment="1">
      <alignment horizontal="centerContinuous"/>
    </xf>
    <xf numFmtId="0" fontId="13" fillId="11" borderId="4" xfId="0" applyFont="1" applyFill="1" applyBorder="1" applyAlignment="1">
      <alignment horizontal="centerContinuous"/>
    </xf>
    <xf numFmtId="0" fontId="13" fillId="11" borderId="9" xfId="0" applyFont="1" applyFill="1" applyBorder="1" applyAlignment="1">
      <alignment horizontal="centerContinuous"/>
    </xf>
    <xf numFmtId="0" fontId="13" fillId="11" borderId="6" xfId="0" applyFont="1" applyFill="1" applyBorder="1" applyAlignment="1">
      <alignment horizontal="centerContinuous"/>
    </xf>
    <xf numFmtId="0" fontId="13" fillId="11" borderId="7" xfId="0" applyFont="1" applyFill="1" applyBorder="1" applyAlignment="1">
      <alignment horizontal="centerContinuous"/>
    </xf>
    <xf numFmtId="41" fontId="11" fillId="11" borderId="2" xfId="0" applyNumberFormat="1" applyFont="1" applyFill="1" applyBorder="1" applyAlignment="1">
      <alignment horizontal="left"/>
    </xf>
    <xf numFmtId="3" fontId="11" fillId="11" borderId="2" xfId="0" applyNumberFormat="1" applyFont="1" applyFill="1" applyBorder="1" applyAlignment="1">
      <alignment horizontal="left"/>
    </xf>
    <xf numFmtId="41" fontId="11" fillId="11" borderId="3" xfId="0" applyNumberFormat="1" applyFont="1" applyFill="1" applyBorder="1" applyAlignment="1">
      <alignment horizontal="left"/>
    </xf>
  </cellXfs>
  <cellStyles count="33">
    <cellStyle name="Bold" xfId="6"/>
    <cellStyle name="Column Head" xfId="7"/>
    <cellStyle name="Comma" xfId="1" builtinId="3"/>
    <cellStyle name="Comma (0)" xfId="8"/>
    <cellStyle name="Comma (1)" xfId="9"/>
    <cellStyle name="Comma (2)" xfId="10"/>
    <cellStyle name="Comma 2" xfId="11"/>
    <cellStyle name="Comma 3" xfId="12"/>
    <cellStyle name="Currency" xfId="2" builtinId="4"/>
    <cellStyle name="Currency (0)" xfId="13"/>
    <cellStyle name="Currency (1)" xfId="14"/>
    <cellStyle name="Currency (2)" xfId="15"/>
    <cellStyle name="Currency 2" xfId="16"/>
    <cellStyle name="Currency 3" xfId="17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Hyperlink" xfId="28" builtinId="8"/>
    <cellStyle name="Normal" xfId="0" builtinId="0"/>
    <cellStyle name="Normal 10" xfId="18"/>
    <cellStyle name="Normal 2" xfId="3"/>
    <cellStyle name="Normal 3" xfId="19"/>
    <cellStyle name="Normal 3 2" xfId="20"/>
    <cellStyle name="Normal 4" xfId="21"/>
    <cellStyle name="Normal 5" xfId="5"/>
    <cellStyle name="Number (0)" xfId="22"/>
    <cellStyle name="Percent" xfId="4" builtinId="5"/>
    <cellStyle name="Percent (0)" xfId="23"/>
    <cellStyle name="Percent (1)" xfId="24"/>
    <cellStyle name="Percent (2)" xfId="25"/>
    <cellStyle name="Percent 2" xfId="26"/>
    <cellStyle name="Percent 3" xfId="27"/>
  </cellStyles>
  <dxfs count="0"/>
  <tableStyles count="0" defaultTableStyle="TableStyleMedium9" defaultPivotStyle="PivotStyleLight16"/>
  <colors>
    <mruColors>
      <color rgb="FFD32789"/>
      <color rgb="FF008000"/>
      <color rgb="FF0000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blog.theredpin.com/blog/a-look-into-average-price-per-square-foot-of-toronto-condos-by-neighbourhood/" TargetMode="External"/><Relationship Id="rId4" Type="http://schemas.openxmlformats.org/officeDocument/2006/relationships/hyperlink" Target="https://researchgateway.cbre.com/Layouts/GKCSearch/DownloadHelper.ashx" TargetMode="External"/><Relationship Id="rId5" Type="http://schemas.openxmlformats.org/officeDocument/2006/relationships/hyperlink" Target="https://researchgateway.cbre.com/Layouts/GKCSearch/DownloadHelper.ashx" TargetMode="External"/><Relationship Id="rId6" Type="http://schemas.openxmlformats.org/officeDocument/2006/relationships/hyperlink" Target="https://researchgateway.cbre.com/Layouts/GKCSearch/DownloadHelper.ashx" TargetMode="External"/><Relationship Id="rId7" Type="http://schemas.openxmlformats.org/officeDocument/2006/relationships/hyperlink" Target="https://researchgateway.cbre.com/Layouts/GKCSearch/DownloadHelper.ashx" TargetMode="External"/><Relationship Id="rId8" Type="http://schemas.openxmlformats.org/officeDocument/2006/relationships/hyperlink" Target="https://researchgateway.cbre.com/Layouts/GKCSearch/DownLoadPublicUrl.ashx" TargetMode="External"/><Relationship Id="rId9" Type="http://schemas.openxmlformats.org/officeDocument/2006/relationships/printerSettings" Target="../printerSettings/printerSettings21.bin"/><Relationship Id="rId1" Type="http://schemas.openxmlformats.org/officeDocument/2006/relationships/hyperlink" Target="http://www.cbc.ca/news/canada/toronto/rent-toronto-real-estate-1.4067391%20(Urbanation)" TargetMode="External"/><Relationship Id="rId2" Type="http://schemas.openxmlformats.org/officeDocument/2006/relationships/hyperlink" Target="https://researchgateway.cbre.com/Layouts/GKCSearch/DownloadHelper.ash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45"/>
  <sheetViews>
    <sheetView showGridLines="0" view="pageBreakPreview" topLeftCell="D65" zoomScale="85" zoomScaleSheetLayoutView="85" workbookViewId="0">
      <selection activeCell="H82" sqref="H82"/>
    </sheetView>
  </sheetViews>
  <sheetFormatPr baseColWidth="10" defaultColWidth="9.1640625" defaultRowHeight="16" x14ac:dyDescent="0.2"/>
  <cols>
    <col min="1" max="1" width="19.33203125" style="18" customWidth="1"/>
    <col min="2" max="2" width="30.83203125" style="18" customWidth="1"/>
    <col min="3" max="3" width="21.83203125" style="18" customWidth="1"/>
    <col min="4" max="4" width="20.5" style="9" customWidth="1"/>
    <col min="5" max="5" width="20.5" style="18" customWidth="1"/>
    <col min="6" max="6" width="22.6640625" style="18" customWidth="1"/>
    <col min="7" max="11" width="20.5" style="18" customWidth="1"/>
    <col min="12" max="12" width="21" style="18" customWidth="1"/>
    <col min="13" max="13" width="21.5" style="18" customWidth="1"/>
    <col min="14" max="14" width="27" style="18" customWidth="1"/>
    <col min="15" max="15" width="9.1640625" style="18"/>
    <col min="16" max="16" width="19.33203125" style="18" customWidth="1"/>
    <col min="17" max="16384" width="9.1640625" style="18"/>
  </cols>
  <sheetData>
    <row r="1" spans="1:14" ht="19" thickBot="1" x14ac:dyDescent="0.25">
      <c r="A1" s="408" t="s">
        <v>63</v>
      </c>
      <c r="B1" s="409"/>
      <c r="C1" s="409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410"/>
    </row>
    <row r="2" spans="1:14" ht="17" thickBot="1" x14ac:dyDescent="0.25">
      <c r="A2" s="300"/>
      <c r="B2" s="301"/>
      <c r="C2" s="301"/>
      <c r="D2" s="302" t="s">
        <v>58</v>
      </c>
      <c r="E2" s="160" t="s">
        <v>37</v>
      </c>
      <c r="F2" s="164"/>
      <c r="G2" s="161"/>
      <c r="H2" s="160" t="s">
        <v>79</v>
      </c>
      <c r="I2" s="162"/>
      <c r="J2" s="161"/>
      <c r="K2" s="163" t="s">
        <v>80</v>
      </c>
      <c r="L2" s="163"/>
      <c r="M2" s="164"/>
      <c r="N2" s="161"/>
    </row>
    <row r="3" spans="1:14" ht="17" thickBot="1" x14ac:dyDescent="0.25">
      <c r="A3" s="1"/>
      <c r="B3" s="2"/>
      <c r="C3" s="2"/>
      <c r="D3" s="3" t="s">
        <v>284</v>
      </c>
      <c r="E3" s="31">
        <v>2019</v>
      </c>
      <c r="F3" s="3">
        <f>E3+1</f>
        <v>2020</v>
      </c>
      <c r="G3" s="4">
        <f t="shared" ref="G3:L3" si="0">F3+1</f>
        <v>2021</v>
      </c>
      <c r="H3" s="31">
        <f t="shared" si="0"/>
        <v>2022</v>
      </c>
      <c r="I3" s="3">
        <f t="shared" si="0"/>
        <v>2023</v>
      </c>
      <c r="J3" s="4">
        <f t="shared" si="0"/>
        <v>2024</v>
      </c>
      <c r="K3" s="3">
        <f t="shared" si="0"/>
        <v>2025</v>
      </c>
      <c r="L3" s="3">
        <f t="shared" si="0"/>
        <v>2026</v>
      </c>
      <c r="M3" s="3">
        <f>L3+1</f>
        <v>2027</v>
      </c>
      <c r="N3" s="4">
        <f>M3+1</f>
        <v>2028</v>
      </c>
    </row>
    <row r="4" spans="1:14" ht="17" thickBot="1" x14ac:dyDescent="0.25">
      <c r="A4" s="25" t="s">
        <v>0</v>
      </c>
      <c r="B4" s="26"/>
      <c r="C4" s="26"/>
      <c r="D4" s="14"/>
      <c r="E4" s="215"/>
      <c r="F4" s="15"/>
      <c r="G4" s="21"/>
      <c r="H4" s="215"/>
      <c r="I4" s="15"/>
      <c r="J4" s="21"/>
      <c r="K4" s="15"/>
      <c r="L4" s="15"/>
      <c r="M4" s="15"/>
      <c r="N4" s="21"/>
    </row>
    <row r="5" spans="1:14" x14ac:dyDescent="0.2">
      <c r="A5" s="246" t="s">
        <v>64</v>
      </c>
      <c r="B5" s="265"/>
      <c r="C5" s="265"/>
      <c r="D5" s="411">
        <f>'2.Market-Rate Rental Housing'!C60</f>
        <v>0</v>
      </c>
      <c r="E5" s="251">
        <f>'2.Market-Rate Rental Housing'!D60</f>
        <v>0</v>
      </c>
      <c r="F5" s="272">
        <f>'2.Market-Rate Rental Housing'!E60</f>
        <v>0</v>
      </c>
      <c r="G5" s="273">
        <f>'2.Market-Rate Rental Housing'!F60</f>
        <v>3568454.1018719999</v>
      </c>
      <c r="H5" s="251">
        <f>'2.Market-Rate Rental Housing'!G60</f>
        <v>9089720.5998170879</v>
      </c>
      <c r="I5" s="272">
        <f>'2.Market-Rate Rental Housing'!H60</f>
        <v>11719837.157790137</v>
      </c>
      <c r="J5" s="273">
        <f>'2.Market-Rate Rental Housing'!I60</f>
        <v>11954233.900945939</v>
      </c>
      <c r="K5" s="272">
        <f>'2.Market-Rate Rental Housing'!J60</f>
        <v>13153751.206760036</v>
      </c>
      <c r="L5" s="272">
        <f>'2.Market-Rate Rental Housing'!K60</f>
        <v>14886288.151421856</v>
      </c>
      <c r="M5" s="272">
        <f>'2.Market-Rate Rental Housing'!L60</f>
        <v>15835688.33137949</v>
      </c>
      <c r="N5" s="273">
        <f>'2.Market-Rate Rental Housing'!M60</f>
        <v>16152402.098007083</v>
      </c>
    </row>
    <row r="6" spans="1:14" x14ac:dyDescent="0.2">
      <c r="A6" s="246" t="s">
        <v>65</v>
      </c>
      <c r="B6" s="265"/>
      <c r="C6" s="265"/>
      <c r="D6" s="412">
        <f>'3.Market-Rate For-Sale Housing'!C37</f>
        <v>0</v>
      </c>
      <c r="E6" s="413">
        <f>'3.Market-Rate For-Sale Housing'!D37</f>
        <v>0</v>
      </c>
      <c r="F6" s="412">
        <f>'3.Market-Rate For-Sale Housing'!E37</f>
        <v>52466958.902937584</v>
      </c>
      <c r="G6" s="274">
        <f>'3.Market-Rate For-Sale Housing'!F37</f>
        <v>53516298.080996335</v>
      </c>
      <c r="H6" s="413">
        <f>'3.Market-Rate For-Sale Housing'!G37</f>
        <v>54586624.042616263</v>
      </c>
      <c r="I6" s="412">
        <f>'3.Market-Rate For-Sale Housing'!H37</f>
        <v>0</v>
      </c>
      <c r="J6" s="274">
        <f>'3.Market-Rate For-Sale Housing'!I37</f>
        <v>0</v>
      </c>
      <c r="K6" s="412">
        <f>'3.Market-Rate For-Sale Housing'!J37</f>
        <v>0</v>
      </c>
      <c r="L6" s="412">
        <f>'3.Market-Rate For-Sale Housing'!K37</f>
        <v>0</v>
      </c>
      <c r="M6" s="412">
        <f>'3.Market-Rate For-Sale Housing'!L37</f>
        <v>22324785.707225975</v>
      </c>
      <c r="N6" s="274">
        <f>'3.Market-Rate For-Sale Housing'!M37</f>
        <v>22771281.421370499</v>
      </c>
    </row>
    <row r="7" spans="1:14" x14ac:dyDescent="0.2">
      <c r="A7" s="246" t="s">
        <v>66</v>
      </c>
      <c r="B7" s="265"/>
      <c r="C7" s="265"/>
      <c r="D7" s="412">
        <f>'4.Affordable Rental Housing'!C40</f>
        <v>0</v>
      </c>
      <c r="E7" s="252">
        <f>'4.Affordable Rental Housing'!D40</f>
        <v>0</v>
      </c>
      <c r="F7" s="275">
        <f>'4.Affordable Rental Housing'!E40</f>
        <v>305807.68511999998</v>
      </c>
      <c r="G7" s="276">
        <f>'4.Affordable Rental Housing'!F40</f>
        <v>757529.32285439991</v>
      </c>
      <c r="H7" s="252">
        <f>'4.Affordable Rental Housing'!G40</f>
        <v>1030239.8790819842</v>
      </c>
      <c r="I7" s="275">
        <f>'4.Affordable Rental Housing'!H40</f>
        <v>1128112.6675947725</v>
      </c>
      <c r="J7" s="276">
        <f>'4.Affordable Rental Housing'!I40</f>
        <v>1276776.282146303</v>
      </c>
      <c r="K7" s="275">
        <f>'4.Affordable Rental Housing'!J40</f>
        <v>1366623.5020010425</v>
      </c>
      <c r="L7" s="275">
        <f>'4.Affordable Rental Housing'!K40</f>
        <v>1393955.9720410635</v>
      </c>
      <c r="M7" s="275">
        <f>'4.Affordable Rental Housing'!L40</f>
        <v>1421835.0914818849</v>
      </c>
      <c r="N7" s="276">
        <f>'4.Affordable Rental Housing'!M40</f>
        <v>1450271.7933115226</v>
      </c>
    </row>
    <row r="8" spans="1:14" x14ac:dyDescent="0.2">
      <c r="A8" s="246" t="s">
        <v>330</v>
      </c>
      <c r="B8" s="265"/>
      <c r="C8" s="265"/>
      <c r="D8" s="412">
        <f>'5.Affordable For-Sale Housing '!C37</f>
        <v>0</v>
      </c>
      <c r="E8" s="252">
        <f>'5.Affordable For-Sale Housing '!D37</f>
        <v>0</v>
      </c>
      <c r="F8" s="275">
        <f>'5.Affordable For-Sale Housing '!E37</f>
        <v>3314180.6747999997</v>
      </c>
      <c r="G8" s="276">
        <f>'5.Affordable For-Sale Housing '!F37</f>
        <v>3098758.9309379999</v>
      </c>
      <c r="H8" s="252">
        <f>'5.Affordable For-Sale Housing '!G37</f>
        <v>3160734.1095567602</v>
      </c>
      <c r="I8" s="275">
        <f>'5.Affordable For-Sale Housing '!H37</f>
        <v>0</v>
      </c>
      <c r="J8" s="276">
        <f>'5.Affordable For-Sale Housing '!I37</f>
        <v>0</v>
      </c>
      <c r="K8" s="275">
        <f>'5.Affordable For-Sale Housing '!J37</f>
        <v>0</v>
      </c>
      <c r="L8" s="275">
        <f>'5.Affordable For-Sale Housing '!K37</f>
        <v>0</v>
      </c>
      <c r="M8" s="275">
        <f>'5.Affordable For-Sale Housing '!L37</f>
        <v>1268983.9470476597</v>
      </c>
      <c r="N8" s="276">
        <f>'5.Affordable For-Sale Housing '!M37</f>
        <v>1294363.6259886131</v>
      </c>
    </row>
    <row r="9" spans="1:14" x14ac:dyDescent="0.2">
      <c r="A9" s="246" t="s">
        <v>67</v>
      </c>
      <c r="B9" s="265"/>
      <c r="C9" s="265"/>
      <c r="D9" s="412">
        <f>'6.Office'!C38</f>
        <v>0</v>
      </c>
      <c r="E9" s="252">
        <f>'6.Office'!D38</f>
        <v>0</v>
      </c>
      <c r="F9" s="275">
        <f>'6.Office'!E38</f>
        <v>0</v>
      </c>
      <c r="G9" s="276">
        <f>'6.Office'!F38</f>
        <v>1254169.7939230986</v>
      </c>
      <c r="H9" s="252">
        <f>'6.Office'!G38</f>
        <v>1279253.1898015607</v>
      </c>
      <c r="I9" s="275">
        <f>'6.Office'!H38</f>
        <v>2165605.0462237615</v>
      </c>
      <c r="J9" s="276">
        <f>'6.Office'!I38</f>
        <v>8530388.4721948281</v>
      </c>
      <c r="K9" s="275">
        <f>'6.Office'!J38</f>
        <v>11800300.704813119</v>
      </c>
      <c r="L9" s="275">
        <f>'6.Office'!K38</f>
        <v>34797598.696462125</v>
      </c>
      <c r="M9" s="275">
        <f>'6.Office'!L38</f>
        <v>35493550.670391366</v>
      </c>
      <c r="N9" s="276">
        <f>'6.Office'!M38</f>
        <v>36203421.683799192</v>
      </c>
    </row>
    <row r="10" spans="1:14" x14ac:dyDescent="0.2">
      <c r="A10" s="246" t="s">
        <v>335</v>
      </c>
      <c r="B10" s="265"/>
      <c r="C10" s="265"/>
      <c r="D10" s="412">
        <f>'7.Industrial &amp; School'!C38</f>
        <v>0</v>
      </c>
      <c r="E10" s="252">
        <f>'7.Industrial &amp; School'!D38</f>
        <v>0</v>
      </c>
      <c r="F10" s="275">
        <f>'7.Industrial &amp; School'!E38</f>
        <v>0</v>
      </c>
      <c r="G10" s="276">
        <f>'7.Industrial &amp; School'!F38</f>
        <v>0</v>
      </c>
      <c r="H10" s="252">
        <f>'7.Industrial &amp; School'!G38</f>
        <v>0</v>
      </c>
      <c r="I10" s="275">
        <f>'7.Industrial &amp; School'!H38</f>
        <v>0</v>
      </c>
      <c r="J10" s="276">
        <f>'7.Industrial &amp; School'!I38</f>
        <v>0</v>
      </c>
      <c r="K10" s="275">
        <f>'7.Industrial &amp; School'!J38</f>
        <v>0</v>
      </c>
      <c r="L10" s="275">
        <f>'7.Industrial &amp; School'!K38</f>
        <v>0</v>
      </c>
      <c r="M10" s="275">
        <f>'7.Industrial &amp; School'!L38</f>
        <v>0</v>
      </c>
      <c r="N10" s="276">
        <f>'7.Industrial &amp; School'!M38</f>
        <v>0</v>
      </c>
    </row>
    <row r="11" spans="1:14" x14ac:dyDescent="0.2">
      <c r="A11" s="246" t="s">
        <v>68</v>
      </c>
      <c r="B11" s="265"/>
      <c r="C11" s="265"/>
      <c r="D11" s="412">
        <f>'8.Market-Rate Retail'!C83</f>
        <v>0</v>
      </c>
      <c r="E11" s="252">
        <f>'8.Market-Rate Retail'!D83</f>
        <v>0</v>
      </c>
      <c r="F11" s="275">
        <f>'8.Market-Rate Retail'!E83</f>
        <v>2018740.98979872</v>
      </c>
      <c r="G11" s="276">
        <f>'8.Market-Rate Retail'!F83</f>
        <v>3075558.3270697822</v>
      </c>
      <c r="H11" s="252">
        <f>'8.Market-Rate Retail'!G83</f>
        <v>3137069.4936111784</v>
      </c>
      <c r="I11" s="275">
        <f>'8.Market-Rate Retail'!H83</f>
        <v>3820207.1341149989</v>
      </c>
      <c r="J11" s="276">
        <f>'8.Market-Rate Retail'!I83</f>
        <v>4309903.4178643506</v>
      </c>
      <c r="K11" s="275">
        <f>'8.Market-Rate Retail'!J83</f>
        <v>4396101.4862216357</v>
      </c>
      <c r="L11" s="275">
        <f>'8.Market-Rate Retail'!K83</f>
        <v>4484023.5159460688</v>
      </c>
      <c r="M11" s="275">
        <f>'8.Market-Rate Retail'!L83</f>
        <v>5371657.8035064749</v>
      </c>
      <c r="N11" s="276">
        <f>'8.Market-Rate Retail'!M83</f>
        <v>6010667.4177911999</v>
      </c>
    </row>
    <row r="12" spans="1:14" x14ac:dyDescent="0.2">
      <c r="A12" s="246" t="s">
        <v>49</v>
      </c>
      <c r="B12" s="265"/>
      <c r="C12" s="265"/>
      <c r="D12" s="412">
        <f>'9.Hotel'!C15</f>
        <v>0</v>
      </c>
      <c r="E12" s="252">
        <f>'9.Hotel'!D15</f>
        <v>0</v>
      </c>
      <c r="F12" s="275">
        <f>'9.Hotel'!E15</f>
        <v>0</v>
      </c>
      <c r="G12" s="276">
        <f>'9.Hotel'!F15</f>
        <v>0</v>
      </c>
      <c r="H12" s="252">
        <f>'9.Hotel'!G15</f>
        <v>0</v>
      </c>
      <c r="I12" s="275">
        <f>'9.Hotel'!H15</f>
        <v>8446772.6138593648</v>
      </c>
      <c r="J12" s="276">
        <f>'9.Hotel'!I15</f>
        <v>8615708.066136552</v>
      </c>
      <c r="K12" s="275">
        <f>'9.Hotel'!J15</f>
        <v>8788022.2274592817</v>
      </c>
      <c r="L12" s="275">
        <f>'9.Hotel'!K15</f>
        <v>8963782.6720084678</v>
      </c>
      <c r="M12" s="275">
        <f>'9.Hotel'!L15</f>
        <v>9143058.325448636</v>
      </c>
      <c r="N12" s="276">
        <f>'9.Hotel'!M15</f>
        <v>9325919.4919576105</v>
      </c>
    </row>
    <row r="13" spans="1:14" x14ac:dyDescent="0.2">
      <c r="A13" s="246" t="s">
        <v>315</v>
      </c>
      <c r="B13" s="265"/>
      <c r="C13" s="265"/>
      <c r="D13" s="412">
        <f>'10.Structured Parking'!C88</f>
        <v>0</v>
      </c>
      <c r="E13" s="252">
        <f>'10.Structured Parking'!D88</f>
        <v>0</v>
      </c>
      <c r="F13" s="275">
        <f>'10.Structured Parking'!E88</f>
        <v>4509777.2884559995</v>
      </c>
      <c r="G13" s="276">
        <f>'10.Structured Parking'!F88</f>
        <v>4599972.8342251182</v>
      </c>
      <c r="H13" s="252">
        <f>'10.Structured Parking'!G88</f>
        <v>4691972.2909096219</v>
      </c>
      <c r="I13" s="275">
        <f>'10.Structured Parking'!H88</f>
        <v>7791174.1583850449</v>
      </c>
      <c r="J13" s="276">
        <f>'10.Structured Parking'!I88</f>
        <v>7946997.6415527454</v>
      </c>
      <c r="K13" s="275">
        <f>'10.Structured Parking'!J88</f>
        <v>8105937.5943837995</v>
      </c>
      <c r="L13" s="275">
        <f>'10.Structured Parking'!K88</f>
        <v>8268056.3462714748</v>
      </c>
      <c r="M13" s="275">
        <f>'10.Structured Parking'!L88</f>
        <v>8433417.4731969032</v>
      </c>
      <c r="N13" s="276">
        <f>'10.Structured Parking'!M88</f>
        <v>14849763.279638557</v>
      </c>
    </row>
    <row r="14" spans="1:14" hidden="1" x14ac:dyDescent="0.2">
      <c r="A14" s="253" t="s">
        <v>51</v>
      </c>
      <c r="B14" s="287"/>
      <c r="C14" s="287"/>
      <c r="D14" s="414">
        <f>'11.Surface Parking'!C65</f>
        <v>0</v>
      </c>
      <c r="E14" s="280">
        <f>'11.Surface Parking'!D65</f>
        <v>-7341.45</v>
      </c>
      <c r="F14" s="281">
        <f>'11.Surface Parking'!E65</f>
        <v>-7488.2789999999995</v>
      </c>
      <c r="G14" s="282">
        <f>'11.Surface Parking'!F65</f>
        <v>400233.53599200002</v>
      </c>
      <c r="H14" s="280">
        <f>'11.Surface Parking'!G65</f>
        <v>408238.20671184006</v>
      </c>
      <c r="I14" s="281">
        <f>'11.Surface Parking'!H65</f>
        <v>416402.97084607685</v>
      </c>
      <c r="J14" s="282">
        <f>'11.Surface Parking'!I65</f>
        <v>424731.03026299842</v>
      </c>
      <c r="K14" s="281">
        <f>'11.Surface Parking'!J65</f>
        <v>433225.65086825832</v>
      </c>
      <c r="L14" s="281">
        <f>'11.Surface Parking'!K65</f>
        <v>441890.16388562345</v>
      </c>
      <c r="M14" s="281">
        <f>'11.Surface Parking'!L65</f>
        <v>450727.96716333588</v>
      </c>
      <c r="N14" s="282">
        <f>'11.Surface Parking'!M65</f>
        <v>459742.52650660265</v>
      </c>
    </row>
    <row r="15" spans="1:14" ht="17" thickBot="1" x14ac:dyDescent="0.25">
      <c r="A15" s="239" t="s">
        <v>1</v>
      </c>
      <c r="B15" s="240"/>
      <c r="C15" s="240"/>
      <c r="D15" s="290">
        <f t="shared" ref="D15:M15" si="1">SUM(D5:D14)</f>
        <v>0</v>
      </c>
      <c r="E15" s="241">
        <f t="shared" si="1"/>
        <v>-7341.45</v>
      </c>
      <c r="F15" s="291">
        <f t="shared" si="1"/>
        <v>62607977.262112305</v>
      </c>
      <c r="G15" s="292">
        <f t="shared" si="1"/>
        <v>70270974.927870721</v>
      </c>
      <c r="H15" s="241">
        <f t="shared" si="1"/>
        <v>77383851.812106296</v>
      </c>
      <c r="I15" s="291">
        <f t="shared" si="1"/>
        <v>35488111.748814158</v>
      </c>
      <c r="J15" s="292">
        <f t="shared" si="1"/>
        <v>43058738.811103724</v>
      </c>
      <c r="K15" s="291">
        <f t="shared" si="1"/>
        <v>48043962.37250717</v>
      </c>
      <c r="L15" s="291">
        <f t="shared" si="1"/>
        <v>73235595.518036678</v>
      </c>
      <c r="M15" s="291">
        <f t="shared" si="1"/>
        <v>99743705.316841736</v>
      </c>
      <c r="N15" s="292">
        <f>SUM(N5:N14)</f>
        <v>108517833.33837087</v>
      </c>
    </row>
    <row r="16" spans="1:14" ht="17" thickBot="1" x14ac:dyDescent="0.25">
      <c r="A16" s="25" t="s">
        <v>2</v>
      </c>
      <c r="B16" s="26"/>
      <c r="C16" s="26"/>
      <c r="D16" s="14"/>
      <c r="E16" s="215"/>
      <c r="F16" s="15"/>
      <c r="G16" s="21"/>
      <c r="H16" s="215"/>
      <c r="I16" s="15"/>
      <c r="J16" s="21"/>
      <c r="K16" s="15"/>
      <c r="L16" s="15"/>
      <c r="M16" s="15"/>
      <c r="N16" s="21"/>
    </row>
    <row r="17" spans="1:16" x14ac:dyDescent="0.2">
      <c r="A17" s="246" t="s">
        <v>64</v>
      </c>
      <c r="B17" s="265"/>
      <c r="C17" s="265"/>
      <c r="D17" s="411">
        <f>'2.Market-Rate Rental Housing'!C66</f>
        <v>0</v>
      </c>
      <c r="E17" s="415">
        <f>'2.Market-Rate Rental Housing'!D66</f>
        <v>90936453.081169918</v>
      </c>
      <c r="F17" s="411">
        <f>'2.Market-Rate Rental Housing'!E66</f>
        <v>46377591.071396656</v>
      </c>
      <c r="G17" s="271">
        <f>'2.Market-Rate Rental Housing'!F66</f>
        <v>0</v>
      </c>
      <c r="H17" s="415">
        <f>'2.Market-Rate Rental Housing'!G66</f>
        <v>0</v>
      </c>
      <c r="I17" s="411">
        <f>'2.Market-Rate Rental Housing'!H66</f>
        <v>0</v>
      </c>
      <c r="J17" s="271">
        <f>'2.Market-Rate Rental Housing'!I66</f>
        <v>0</v>
      </c>
      <c r="K17" s="411">
        <f>'2.Market-Rate Rental Housing'!J66</f>
        <v>0</v>
      </c>
      <c r="L17" s="411">
        <f>'2.Market-Rate Rental Housing'!K66</f>
        <v>38933253.851261474</v>
      </c>
      <c r="M17" s="411">
        <f>'2.Market-Rate Rental Housing'!L66</f>
        <v>0</v>
      </c>
      <c r="N17" s="271">
        <f>'2.Market-Rate Rental Housing'!M66</f>
        <v>0</v>
      </c>
    </row>
    <row r="18" spans="1:16" x14ac:dyDescent="0.2">
      <c r="A18" s="246" t="s">
        <v>65</v>
      </c>
      <c r="B18" s="265"/>
      <c r="C18" s="265"/>
      <c r="D18" s="412">
        <f>'3.Market-Rate For-Sale Housing'!C43</f>
        <v>0</v>
      </c>
      <c r="E18" s="252">
        <f>'3.Market-Rate For-Sale Housing'!D43</f>
        <v>45468226.540584959</v>
      </c>
      <c r="F18" s="275">
        <f>'3.Market-Rate For-Sale Housing'!E43</f>
        <v>23188795.535698328</v>
      </c>
      <c r="G18" s="276">
        <f>'3.Market-Rate For-Sale Housing'!F43</f>
        <v>0</v>
      </c>
      <c r="H18" s="252">
        <f>'3.Market-Rate For-Sale Housing'!G43</f>
        <v>0</v>
      </c>
      <c r="I18" s="275">
        <f>'3.Market-Rate For-Sale Housing'!H43</f>
        <v>0</v>
      </c>
      <c r="J18" s="276">
        <f>'3.Market-Rate For-Sale Housing'!I43</f>
        <v>0</v>
      </c>
      <c r="K18" s="275">
        <f>'3.Market-Rate For-Sale Housing'!J43</f>
        <v>0</v>
      </c>
      <c r="L18" s="275">
        <f>'3.Market-Rate For-Sale Housing'!K43</f>
        <v>19466626.925630737</v>
      </c>
      <c r="M18" s="275">
        <f>'3.Market-Rate For-Sale Housing'!L43</f>
        <v>0</v>
      </c>
      <c r="N18" s="276">
        <f>'3.Market-Rate For-Sale Housing'!M43</f>
        <v>0</v>
      </c>
    </row>
    <row r="19" spans="1:16" x14ac:dyDescent="0.2">
      <c r="A19" s="246" t="s">
        <v>66</v>
      </c>
      <c r="B19" s="265"/>
      <c r="C19" s="265"/>
      <c r="D19" s="412">
        <f>'4.Affordable Rental Housing'!C46</f>
        <v>0</v>
      </c>
      <c r="E19" s="252">
        <f>'4.Affordable Rental Housing'!D46</f>
        <v>10103962.791659521</v>
      </c>
      <c r="F19" s="275">
        <f>'4.Affordable Rental Housing'!E46</f>
        <v>5153021.0237463554</v>
      </c>
      <c r="G19" s="276">
        <f>'4.Affordable Rental Housing'!F46</f>
        <v>0</v>
      </c>
      <c r="H19" s="252">
        <f>'4.Affordable Rental Housing'!G46</f>
        <v>0</v>
      </c>
      <c r="I19" s="275">
        <f>'4.Affordable Rental Housing'!H46</f>
        <v>0</v>
      </c>
      <c r="J19" s="276">
        <f>'4.Affordable Rental Housing'!I46</f>
        <v>0</v>
      </c>
      <c r="K19" s="275">
        <f>'4.Affordable Rental Housing'!J46</f>
        <v>2827372.1447711759</v>
      </c>
      <c r="L19" s="275">
        <f>'4.Affordable Rental Housing'!K46</f>
        <v>1441959.7938332998</v>
      </c>
      <c r="M19" s="275">
        <f>'4.Affordable Rental Housing'!L46</f>
        <v>0</v>
      </c>
      <c r="N19" s="276">
        <f>'4.Affordable Rental Housing'!M46</f>
        <v>0</v>
      </c>
    </row>
    <row r="20" spans="1:16" x14ac:dyDescent="0.2">
      <c r="A20" s="246" t="s">
        <v>330</v>
      </c>
      <c r="B20" s="265"/>
      <c r="C20" s="265"/>
      <c r="D20" s="412">
        <f>'5.Affordable For-Sale Housing '!C43</f>
        <v>0</v>
      </c>
      <c r="E20" s="252">
        <f>'5.Affordable For-Sale Housing '!D43</f>
        <v>5051981.3958297605</v>
      </c>
      <c r="F20" s="275">
        <f>'5.Affordable For-Sale Housing '!E43</f>
        <v>2576510.5118731777</v>
      </c>
      <c r="G20" s="276">
        <f>'5.Affordable For-Sale Housing '!F43</f>
        <v>0</v>
      </c>
      <c r="H20" s="252">
        <f>'5.Affordable For-Sale Housing '!G43</f>
        <v>0</v>
      </c>
      <c r="I20" s="275">
        <f>'5.Affordable For-Sale Housing '!H43</f>
        <v>0</v>
      </c>
      <c r="J20" s="276">
        <f>'5.Affordable For-Sale Housing '!I43</f>
        <v>0</v>
      </c>
      <c r="K20" s="275">
        <f>'5.Affordable For-Sale Housing '!J43</f>
        <v>2120695.4898344497</v>
      </c>
      <c r="L20" s="275">
        <f>'5.Affordable For-Sale Housing '!K43</f>
        <v>0</v>
      </c>
      <c r="M20" s="275">
        <f>'5.Affordable For-Sale Housing '!L43</f>
        <v>0</v>
      </c>
      <c r="N20" s="276">
        <f>'5.Affordable For-Sale Housing '!M43</f>
        <v>0</v>
      </c>
    </row>
    <row r="21" spans="1:16" x14ac:dyDescent="0.2">
      <c r="A21" s="246" t="s">
        <v>67</v>
      </c>
      <c r="B21" s="265"/>
      <c r="C21" s="265"/>
      <c r="D21" s="412">
        <f>'6.Office'!C44</f>
        <v>0</v>
      </c>
      <c r="E21" s="252">
        <f>'6.Office'!D44</f>
        <v>0</v>
      </c>
      <c r="F21" s="275">
        <f>'6.Office'!E44</f>
        <v>10164910.662129484</v>
      </c>
      <c r="G21" s="276">
        <f>'6.Office'!F44</f>
        <v>0</v>
      </c>
      <c r="H21" s="252">
        <f>'6.Office'!G44</f>
        <v>0</v>
      </c>
      <c r="I21" s="275">
        <f>'6.Office'!H44</f>
        <v>58350792.313637353</v>
      </c>
      <c r="J21" s="276">
        <f>'6.Office'!I44</f>
        <v>0</v>
      </c>
      <c r="K21" s="275">
        <f>'6.Office'!J44</f>
        <v>84038853.101511106</v>
      </c>
      <c r="L21" s="275">
        <f>'6.Office'!K44</f>
        <v>85721396.546688572</v>
      </c>
      <c r="M21" s="275">
        <f>'6.Office'!L44</f>
        <v>43717912.23881118</v>
      </c>
      <c r="N21" s="276">
        <f>'6.Office'!M44</f>
        <v>0</v>
      </c>
    </row>
    <row r="22" spans="1:16" x14ac:dyDescent="0.2">
      <c r="A22" s="246" t="s">
        <v>347</v>
      </c>
      <c r="B22" s="265"/>
      <c r="C22" s="265"/>
      <c r="D22" s="412">
        <f>'7.Industrial &amp; School'!C44</f>
        <v>0</v>
      </c>
      <c r="E22" s="252">
        <f>'7.Industrial &amp; School'!D44</f>
        <v>0</v>
      </c>
      <c r="F22" s="275">
        <f>'7.Industrial &amp; School'!E44</f>
        <v>0</v>
      </c>
      <c r="G22" s="276">
        <f>'7.Industrial &amp; School'!F44</f>
        <v>0</v>
      </c>
      <c r="H22" s="252">
        <f>'7.Industrial &amp; School'!G44</f>
        <v>0</v>
      </c>
      <c r="I22" s="275">
        <f>'7.Industrial &amp; School'!H44</f>
        <v>0</v>
      </c>
      <c r="J22" s="276">
        <f>'7.Industrial &amp; School'!I44</f>
        <v>0</v>
      </c>
      <c r="K22" s="275">
        <f>'7.Industrial &amp; School'!J44</f>
        <v>0</v>
      </c>
      <c r="L22" s="275">
        <f>'7.Industrial &amp; School'!K44</f>
        <v>0</v>
      </c>
      <c r="M22" s="275">
        <f>'7.Industrial &amp; School'!L44</f>
        <v>0</v>
      </c>
      <c r="N22" s="276">
        <f>'7.Industrial &amp; School'!M44</f>
        <v>0</v>
      </c>
    </row>
    <row r="23" spans="1:16" x14ac:dyDescent="0.2">
      <c r="A23" s="246" t="s">
        <v>68</v>
      </c>
      <c r="B23" s="265"/>
      <c r="C23" s="265"/>
      <c r="D23" s="412">
        <f>'8.Market-Rate Retail'!C91</f>
        <v>0</v>
      </c>
      <c r="E23" s="252">
        <f>'8.Market-Rate Retail'!D91</f>
        <v>0</v>
      </c>
      <c r="F23" s="275">
        <f>'8.Market-Rate Retail'!E91</f>
        <v>11762486.97033024</v>
      </c>
      <c r="G23" s="276">
        <f>'8.Market-Rate Retail'!F91</f>
        <v>9110980.6473247483</v>
      </c>
      <c r="H23" s="252">
        <f>'8.Market-Rate Retail'!G91</f>
        <v>0</v>
      </c>
      <c r="I23" s="275">
        <f>'8.Market-Rate Retail'!H91</f>
        <v>6895621.8004473485</v>
      </c>
      <c r="J23" s="276">
        <f>'8.Market-Rate Retail'!I91</f>
        <v>7033534.2364562955</v>
      </c>
      <c r="K23" s="275">
        <f>'8.Market-Rate Retail'!J91</f>
        <v>0</v>
      </c>
      <c r="L23" s="275">
        <f>'8.Market-Rate Retail'!K91</f>
        <v>0</v>
      </c>
      <c r="M23" s="275">
        <f>'8.Market-Rate Retail'!L91</f>
        <v>8138573.4512202991</v>
      </c>
      <c r="N23" s="276">
        <f>'8.Market-Rate Retail'!M91</f>
        <v>9791722.1702323798</v>
      </c>
    </row>
    <row r="24" spans="1:16" x14ac:dyDescent="0.2">
      <c r="A24" s="246" t="s">
        <v>49</v>
      </c>
      <c r="B24" s="265"/>
      <c r="C24" s="265"/>
      <c r="D24" s="412">
        <f>'9.Hotel'!C21</f>
        <v>0</v>
      </c>
      <c r="E24" s="252">
        <f>'9.Hotel'!D21</f>
        <v>0</v>
      </c>
      <c r="F24" s="275">
        <f>'9.Hotel'!E21</f>
        <v>0</v>
      </c>
      <c r="G24" s="276">
        <f>'9.Hotel'!F21</f>
        <v>0</v>
      </c>
      <c r="H24" s="252">
        <f>'9.Hotel'!G21</f>
        <v>49007905.570017494</v>
      </c>
      <c r="I24" s="275">
        <f>'9.Hotel'!H21</f>
        <v>0</v>
      </c>
      <c r="J24" s="276">
        <f>'9.Hotel'!I21</f>
        <v>0</v>
      </c>
      <c r="K24" s="275">
        <f>'9.Hotel'!J21</f>
        <v>0</v>
      </c>
      <c r="L24" s="275">
        <f>'9.Hotel'!K21</f>
        <v>0</v>
      </c>
      <c r="M24" s="275">
        <f>'9.Hotel'!L21</f>
        <v>0</v>
      </c>
      <c r="N24" s="276">
        <f>'9.Hotel'!M21</f>
        <v>0</v>
      </c>
    </row>
    <row r="25" spans="1:16" x14ac:dyDescent="0.2">
      <c r="A25" s="246" t="s">
        <v>50</v>
      </c>
      <c r="B25" s="265"/>
      <c r="C25" s="265"/>
      <c r="D25" s="412">
        <f>'10.Structured Parking'!C94</f>
        <v>0</v>
      </c>
      <c r="E25" s="252">
        <f>'10.Structured Parking'!D94</f>
        <v>5292986.6463695997</v>
      </c>
      <c r="F25" s="275">
        <f>'10.Structured Parking'!E94</f>
        <v>4099838.6670491518</v>
      </c>
      <c r="G25" s="276">
        <f>'10.Structured Parking'!F94</f>
        <v>0</v>
      </c>
      <c r="H25" s="252">
        <f>'10.Structured Parking'!G94</f>
        <v>3102952.1393092088</v>
      </c>
      <c r="I25" s="275">
        <f>'10.Structured Parking'!H94</f>
        <v>3165011.1820953931</v>
      </c>
      <c r="J25" s="276">
        <f>'10.Structured Parking'!I94</f>
        <v>0</v>
      </c>
      <c r="K25" s="275">
        <f>'10.Structured Parking'!J94</f>
        <v>4574611.6649865666</v>
      </c>
      <c r="L25" s="275">
        <f>'10.Structured Parking'!K94</f>
        <v>3662266.3818005286</v>
      </c>
      <c r="M25" s="275">
        <f>'10.Structured Parking'!L94</f>
        <v>4406164.6846224787</v>
      </c>
      <c r="N25" s="276">
        <f>'10.Structured Parking'!M94</f>
        <v>0</v>
      </c>
    </row>
    <row r="26" spans="1:16" hidden="1" x14ac:dyDescent="0.2">
      <c r="A26" s="246" t="s">
        <v>51</v>
      </c>
      <c r="B26" s="265"/>
      <c r="C26" s="265"/>
      <c r="D26" s="412">
        <f>'11.Surface Parking'!C71</f>
        <v>0</v>
      </c>
      <c r="E26" s="252">
        <f>'11.Surface Parking'!D71</f>
        <v>0</v>
      </c>
      <c r="F26" s="275">
        <f>'11.Surface Parking'!E71</f>
        <v>0</v>
      </c>
      <c r="G26" s="276">
        <f>'11.Surface Parking'!F71</f>
        <v>381902.22899999993</v>
      </c>
      <c r="H26" s="252">
        <f>'11.Surface Parking'!G71</f>
        <v>0</v>
      </c>
      <c r="I26" s="275">
        <f>'11.Surface Parking'!H71</f>
        <v>0</v>
      </c>
      <c r="J26" s="276">
        <f>'11.Surface Parking'!I71</f>
        <v>0</v>
      </c>
      <c r="K26" s="275">
        <f>'11.Surface Parking'!J71</f>
        <v>0</v>
      </c>
      <c r="L26" s="275">
        <f>'11.Surface Parking'!K71</f>
        <v>0</v>
      </c>
      <c r="M26" s="275">
        <f>'11.Surface Parking'!L71</f>
        <v>0</v>
      </c>
      <c r="N26" s="276">
        <f>'11.Surface Parking'!M71</f>
        <v>0</v>
      </c>
    </row>
    <row r="27" spans="1:16" x14ac:dyDescent="0.2">
      <c r="A27" s="246" t="s">
        <v>69</v>
      </c>
      <c r="B27" s="265"/>
      <c r="C27" s="265"/>
      <c r="D27" s="412">
        <f>'Land Acquisition'!J6</f>
        <v>15806939.15</v>
      </c>
      <c r="E27" s="252">
        <f>'Land Acquisition'!J7</f>
        <v>22620905.100000001</v>
      </c>
      <c r="F27" s="275">
        <v>0</v>
      </c>
      <c r="G27" s="276">
        <f t="shared" ref="G27:N29" si="2">F27</f>
        <v>0</v>
      </c>
      <c r="H27" s="252">
        <f t="shared" si="2"/>
        <v>0</v>
      </c>
      <c r="I27" s="275">
        <f t="shared" si="2"/>
        <v>0</v>
      </c>
      <c r="J27" s="276">
        <f t="shared" si="2"/>
        <v>0</v>
      </c>
      <c r="K27" s="275">
        <f t="shared" si="2"/>
        <v>0</v>
      </c>
      <c r="L27" s="275">
        <f t="shared" si="2"/>
        <v>0</v>
      </c>
      <c r="M27" s="275">
        <f t="shared" si="2"/>
        <v>0</v>
      </c>
      <c r="N27" s="276">
        <f t="shared" si="2"/>
        <v>0</v>
      </c>
    </row>
    <row r="28" spans="1:16" x14ac:dyDescent="0.2">
      <c r="A28" s="246" t="s">
        <v>9</v>
      </c>
      <c r="B28" s="265"/>
      <c r="C28" s="265"/>
      <c r="D28" s="412">
        <f>'1.Infrastructure Costs'!D18</f>
        <v>0</v>
      </c>
      <c r="E28" s="252">
        <f>'1.Infrastructure Costs'!E18</f>
        <v>10886028.199999999</v>
      </c>
      <c r="F28" s="275">
        <f>'1.Infrastructure Costs'!F18</f>
        <v>5401207.8155999994</v>
      </c>
      <c r="G28" s="276">
        <f>'1.Infrastructure Costs'!G18</f>
        <v>0</v>
      </c>
      <c r="H28" s="252">
        <f>'1.Infrastructure Costs'!H18</f>
        <v>7979220.6130975671</v>
      </c>
      <c r="I28" s="275">
        <f>'1.Infrastructure Costs'!I18</f>
        <v>735778.58465306868</v>
      </c>
      <c r="J28" s="276">
        <f>'1.Infrastructure Costs'!J18</f>
        <v>0</v>
      </c>
      <c r="K28" s="275">
        <f>'1.Infrastructure Costs'!K18</f>
        <v>1531008.0789461052</v>
      </c>
      <c r="L28" s="275">
        <f>'1.Infrastructure Costs'!L18</f>
        <v>2895942.3758780528</v>
      </c>
      <c r="M28" s="275">
        <f>'1.Infrastructure Costs'!M18</f>
        <v>7638596.4459203184</v>
      </c>
      <c r="N28" s="276">
        <f>'1.Infrastructure Costs'!N18</f>
        <v>0</v>
      </c>
    </row>
    <row r="29" spans="1:16" x14ac:dyDescent="0.2">
      <c r="A29" s="253" t="s">
        <v>358</v>
      </c>
      <c r="B29" s="287"/>
      <c r="C29" s="287"/>
      <c r="D29" s="414">
        <f>'Land Acquisition'!F18</f>
        <v>3452540</v>
      </c>
      <c r="E29" s="280">
        <v>0</v>
      </c>
      <c r="F29" s="281">
        <f>E29</f>
        <v>0</v>
      </c>
      <c r="G29" s="282">
        <f t="shared" si="2"/>
        <v>0</v>
      </c>
      <c r="H29" s="280">
        <f t="shared" si="2"/>
        <v>0</v>
      </c>
      <c r="I29" s="281">
        <f t="shared" si="2"/>
        <v>0</v>
      </c>
      <c r="J29" s="282">
        <f t="shared" si="2"/>
        <v>0</v>
      </c>
      <c r="K29" s="281">
        <f t="shared" si="2"/>
        <v>0</v>
      </c>
      <c r="L29" s="281">
        <f t="shared" si="2"/>
        <v>0</v>
      </c>
      <c r="M29" s="281">
        <f t="shared" si="2"/>
        <v>0</v>
      </c>
      <c r="N29" s="282">
        <f t="shared" si="2"/>
        <v>0</v>
      </c>
    </row>
    <row r="30" spans="1:16" x14ac:dyDescent="0.2">
      <c r="A30" s="246" t="s">
        <v>337</v>
      </c>
      <c r="B30" s="265"/>
      <c r="C30" s="265"/>
      <c r="D30" s="412">
        <f>F83</f>
        <v>5921652</v>
      </c>
      <c r="E30" s="252"/>
      <c r="F30" s="275"/>
      <c r="G30" s="276"/>
      <c r="H30" s="252"/>
      <c r="I30" s="275"/>
      <c r="J30" s="276"/>
      <c r="K30" s="275"/>
      <c r="L30" s="275"/>
      <c r="M30" s="275"/>
      <c r="N30" s="276"/>
    </row>
    <row r="31" spans="1:16" ht="17" thickBot="1" x14ac:dyDescent="0.25">
      <c r="A31" s="239" t="s">
        <v>3</v>
      </c>
      <c r="B31" s="240"/>
      <c r="C31" s="233"/>
      <c r="D31" s="285">
        <f>SUM(D17:D30)</f>
        <v>25181131.149999999</v>
      </c>
      <c r="E31" s="241">
        <f t="shared" ref="E31:N31" si="3">SUM(E17:E29)</f>
        <v>190360543.75561377</v>
      </c>
      <c r="F31" s="291">
        <f t="shared" si="3"/>
        <v>108724362.25782338</v>
      </c>
      <c r="G31" s="292">
        <f t="shared" si="3"/>
        <v>9492882.8763247486</v>
      </c>
      <c r="H31" s="241">
        <f t="shared" si="3"/>
        <v>60090078.322424263</v>
      </c>
      <c r="I31" s="291">
        <f t="shared" si="3"/>
        <v>69147203.880833164</v>
      </c>
      <c r="J31" s="292">
        <f t="shared" si="3"/>
        <v>7033534.2364562955</v>
      </c>
      <c r="K31" s="288">
        <f t="shared" si="3"/>
        <v>95092540.480049402</v>
      </c>
      <c r="L31" s="288">
        <f t="shared" si="3"/>
        <v>152121445.87509269</v>
      </c>
      <c r="M31" s="288">
        <f t="shared" si="3"/>
        <v>63901246.820574276</v>
      </c>
      <c r="N31" s="289">
        <f t="shared" si="3"/>
        <v>9791722.1702323798</v>
      </c>
    </row>
    <row r="32" spans="1:16" ht="17" thickBot="1" x14ac:dyDescent="0.25">
      <c r="A32" s="25" t="s">
        <v>4</v>
      </c>
      <c r="B32" s="26"/>
      <c r="C32" s="26"/>
      <c r="D32" s="228"/>
      <c r="E32" s="215"/>
      <c r="F32" s="15"/>
      <c r="G32" s="21"/>
      <c r="H32" s="215"/>
      <c r="I32" s="15"/>
      <c r="J32" s="21"/>
      <c r="K32" s="215"/>
      <c r="L32" s="15"/>
      <c r="M32" s="15"/>
      <c r="N32" s="21"/>
      <c r="P32" s="222"/>
    </row>
    <row r="33" spans="1:14" x14ac:dyDescent="0.2">
      <c r="A33" s="269" t="s">
        <v>5</v>
      </c>
      <c r="B33" s="270"/>
      <c r="C33" s="234"/>
      <c r="D33" s="271">
        <f>D15</f>
        <v>0</v>
      </c>
      <c r="E33" s="251">
        <f t="shared" ref="E33:N33" si="4">E15</f>
        <v>-7341.45</v>
      </c>
      <c r="F33" s="272">
        <f t="shared" si="4"/>
        <v>62607977.262112305</v>
      </c>
      <c r="G33" s="273">
        <f t="shared" si="4"/>
        <v>70270974.927870721</v>
      </c>
      <c r="H33" s="251">
        <f t="shared" si="4"/>
        <v>77383851.812106296</v>
      </c>
      <c r="I33" s="272">
        <f t="shared" si="4"/>
        <v>35488111.748814158</v>
      </c>
      <c r="J33" s="273">
        <f t="shared" si="4"/>
        <v>43058738.811103724</v>
      </c>
      <c r="K33" s="251">
        <f t="shared" si="4"/>
        <v>48043962.37250717</v>
      </c>
      <c r="L33" s="272">
        <f t="shared" si="4"/>
        <v>73235595.518036678</v>
      </c>
      <c r="M33" s="272">
        <f t="shared" si="4"/>
        <v>99743705.316841736</v>
      </c>
      <c r="N33" s="273">
        <f t="shared" si="4"/>
        <v>108517833.33837087</v>
      </c>
    </row>
    <row r="34" spans="1:14" x14ac:dyDescent="0.2">
      <c r="A34" s="246" t="s">
        <v>59</v>
      </c>
      <c r="B34" s="256" t="s">
        <v>249</v>
      </c>
      <c r="C34" s="405">
        <f>N33/N34</f>
        <v>6.3964076338202863E-2</v>
      </c>
      <c r="D34" s="274"/>
      <c r="E34" s="404">
        <f>D115*1.03</f>
        <v>31379480.295500003</v>
      </c>
      <c r="F34" s="275"/>
      <c r="G34" s="276"/>
      <c r="H34" s="252"/>
      <c r="I34" s="275"/>
      <c r="J34" s="276"/>
      <c r="K34" s="252"/>
      <c r="L34" s="277"/>
      <c r="M34" s="278"/>
      <c r="N34" s="276">
        <f>SUM('2.Market-Rate Rental Housing'!M69+'4.Affordable Rental Housing'!M49+'6.Office'!M47+'7.Industrial &amp; School'!M47+'8.Market-Rate Retail'!M94+'9.Hotel'!M24+'10.Structured Parking'!M97+'11.Surface Parking'!M74)</f>
        <v>1696543427.9797151</v>
      </c>
    </row>
    <row r="35" spans="1:14" x14ac:dyDescent="0.2">
      <c r="A35" s="246" t="s">
        <v>29</v>
      </c>
      <c r="B35" s="234"/>
      <c r="C35" s="416">
        <v>0.03</v>
      </c>
      <c r="D35" s="274"/>
      <c r="E35" s="252">
        <f>-E34*C35</f>
        <v>-941384.408865</v>
      </c>
      <c r="F35" s="275"/>
      <c r="G35" s="276"/>
      <c r="H35" s="252"/>
      <c r="I35" s="275"/>
      <c r="J35" s="276"/>
      <c r="K35" s="252"/>
      <c r="L35" s="275"/>
      <c r="M35" s="275"/>
      <c r="N35" s="276">
        <f>N34*-C35</f>
        <v>-50896302.839391455</v>
      </c>
    </row>
    <row r="36" spans="1:14" x14ac:dyDescent="0.2">
      <c r="A36" s="253" t="s">
        <v>215</v>
      </c>
      <c r="B36" s="238"/>
      <c r="C36" s="238"/>
      <c r="D36" s="279">
        <f>-D31</f>
        <v>-25181131.149999999</v>
      </c>
      <c r="E36" s="280">
        <f t="shared" ref="E36:N36" si="5">-E31</f>
        <v>-190360543.75561377</v>
      </c>
      <c r="F36" s="281">
        <f t="shared" si="5"/>
        <v>-108724362.25782338</v>
      </c>
      <c r="G36" s="282">
        <f t="shared" si="5"/>
        <v>-9492882.8763247486</v>
      </c>
      <c r="H36" s="280">
        <f t="shared" si="5"/>
        <v>-60090078.322424263</v>
      </c>
      <c r="I36" s="281">
        <f t="shared" si="5"/>
        <v>-69147203.880833164</v>
      </c>
      <c r="J36" s="282">
        <f t="shared" si="5"/>
        <v>-7033534.2364562955</v>
      </c>
      <c r="K36" s="280">
        <f t="shared" si="5"/>
        <v>-95092540.480049402</v>
      </c>
      <c r="L36" s="281">
        <f t="shared" si="5"/>
        <v>-152121445.87509269</v>
      </c>
      <c r="M36" s="281">
        <f t="shared" si="5"/>
        <v>-63901246.820574276</v>
      </c>
      <c r="N36" s="282">
        <f t="shared" si="5"/>
        <v>-9791722.1702323798</v>
      </c>
    </row>
    <row r="37" spans="1:14" x14ac:dyDescent="0.2">
      <c r="A37" s="255" t="s">
        <v>6</v>
      </c>
      <c r="B37" s="256"/>
      <c r="C37" s="256"/>
      <c r="D37" s="283">
        <f>SUM(D33:D36)</f>
        <v>-25181131.149999999</v>
      </c>
      <c r="E37" s="284">
        <f t="shared" ref="E37:N37" si="6">SUM(E33:E36)</f>
        <v>-159929789.31897879</v>
      </c>
      <c r="F37" s="285">
        <f t="shared" si="6"/>
        <v>-46116384.995711073</v>
      </c>
      <c r="G37" s="283">
        <f t="shared" si="6"/>
        <v>60778092.05154597</v>
      </c>
      <c r="H37" s="284">
        <f t="shared" si="6"/>
        <v>17293773.489682034</v>
      </c>
      <c r="I37" s="285">
        <f t="shared" si="6"/>
        <v>-33659092.132019006</v>
      </c>
      <c r="J37" s="283">
        <f t="shared" si="6"/>
        <v>36025204.574647427</v>
      </c>
      <c r="K37" s="284">
        <f t="shared" si="6"/>
        <v>-47048578.107542232</v>
      </c>
      <c r="L37" s="285">
        <f t="shared" si="6"/>
        <v>-78885850.357056007</v>
      </c>
      <c r="M37" s="285">
        <f t="shared" si="6"/>
        <v>35842458.49626746</v>
      </c>
      <c r="N37" s="283">
        <f t="shared" si="6"/>
        <v>1744373236.3084621</v>
      </c>
    </row>
    <row r="38" spans="1:14" ht="17" thickBot="1" x14ac:dyDescent="0.25">
      <c r="A38" s="286" t="s">
        <v>282</v>
      </c>
      <c r="B38" s="261"/>
      <c r="C38" s="261"/>
      <c r="D38" s="417">
        <f>-Financing!B20</f>
        <v>0</v>
      </c>
      <c r="E38" s="418">
        <f>-Financing!C20</f>
        <v>-10064378.319336826</v>
      </c>
      <c r="F38" s="419">
        <f>-Financing!D20</f>
        <v>-16587840.054806227</v>
      </c>
      <c r="G38" s="420">
        <f>-Financing!E20</f>
        <v>-17157413.027385712</v>
      </c>
      <c r="H38" s="418">
        <f>-Financing!F20</f>
        <v>-20762817.72673117</v>
      </c>
      <c r="I38" s="419">
        <f>-Financing!G20</f>
        <v>-24911649.959581159</v>
      </c>
      <c r="J38" s="420">
        <f>-Financing!H20</f>
        <v>-25333662.013768535</v>
      </c>
      <c r="K38" s="418">
        <f>-Financing!I20</f>
        <v>-31039214.442571498</v>
      </c>
      <c r="L38" s="419">
        <f>-Financing!J20</f>
        <v>-40166501.195077054</v>
      </c>
      <c r="M38" s="419">
        <f>-Financing!K20</f>
        <v>-44000576.004311509</v>
      </c>
      <c r="N38" s="420">
        <f>-Financing!L20</f>
        <v>-44588079.334525459</v>
      </c>
    </row>
    <row r="39" spans="1:14" ht="17" thickBot="1" x14ac:dyDescent="0.25">
      <c r="A39" s="407" t="s">
        <v>356</v>
      </c>
      <c r="B39" s="256"/>
      <c r="C39" s="256"/>
      <c r="D39" s="412">
        <f>Financing!B35</f>
        <v>-167888934.75</v>
      </c>
      <c r="E39" s="275">
        <f>Financing!C35</f>
        <v>-10071719.769336825</v>
      </c>
      <c r="F39" s="275">
        <f>Financing!D35</f>
        <v>46020137.20730608</v>
      </c>
      <c r="G39" s="275">
        <f>Financing!E35</f>
        <v>53113561.900485009</v>
      </c>
      <c r="H39" s="275">
        <f>Financing!F35</f>
        <v>56621034.08537513</v>
      </c>
      <c r="I39" s="275">
        <f>Financing!G35</f>
        <v>10576461.789232999</v>
      </c>
      <c r="J39" s="275">
        <f>Financing!H35</f>
        <v>17725076.797335189</v>
      </c>
      <c r="K39" s="275">
        <f>Financing!I35</f>
        <v>17004747.929935671</v>
      </c>
      <c r="L39" s="275">
        <f>Financing!J35</f>
        <v>33069094.322959624</v>
      </c>
      <c r="M39" s="275">
        <f>Financing!K35</f>
        <v>55743129.312530227</v>
      </c>
      <c r="N39" s="275">
        <f>Financing!L35</f>
        <v>966442223.56874478</v>
      </c>
    </row>
    <row r="40" spans="1:14" x14ac:dyDescent="0.2">
      <c r="A40" s="293"/>
      <c r="B40" s="294"/>
      <c r="C40" s="294"/>
      <c r="D40" s="295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x14ac:dyDescent="0.2">
      <c r="A41" s="22" t="s">
        <v>216</v>
      </c>
      <c r="B41" s="22"/>
      <c r="C41" s="225">
        <f>D37+NPV(0.09,E37:N37)</f>
        <v>536084426.88855553</v>
      </c>
      <c r="D41" s="6"/>
      <c r="E41" s="8"/>
      <c r="F41" s="8"/>
      <c r="G41" s="8"/>
      <c r="H41" s="7"/>
      <c r="I41" s="8"/>
      <c r="J41" s="8"/>
      <c r="K41" s="8"/>
      <c r="L41" s="8"/>
      <c r="M41" s="8"/>
      <c r="N41" s="8"/>
    </row>
    <row r="42" spans="1:14" ht="17" thickBot="1" x14ac:dyDescent="0.25">
      <c r="A42" s="296" t="s">
        <v>70</v>
      </c>
      <c r="B42" s="22"/>
      <c r="C42" s="346">
        <f>M76/N34</f>
        <v>0.34904224904910958</v>
      </c>
      <c r="D42" s="6"/>
      <c r="E42" s="8"/>
      <c r="F42" s="8"/>
      <c r="G42" s="8"/>
      <c r="H42" s="23"/>
      <c r="I42" s="8"/>
      <c r="J42" s="8"/>
      <c r="K42" s="8"/>
      <c r="L42" s="8"/>
      <c r="M42" s="8"/>
      <c r="N42" s="8"/>
    </row>
    <row r="43" spans="1:14" x14ac:dyDescent="0.2">
      <c r="A43" s="22" t="s">
        <v>71</v>
      </c>
      <c r="B43" s="22"/>
      <c r="C43" s="346">
        <f>IRR(D37:N37,0)</f>
        <v>0.2686684352657287</v>
      </c>
      <c r="D43" s="6"/>
      <c r="E43" s="8"/>
      <c r="F43" s="8"/>
      <c r="G43" s="28" t="s">
        <v>72</v>
      </c>
      <c r="H43" s="29"/>
      <c r="I43" s="29"/>
      <c r="J43" s="223">
        <f>D27</f>
        <v>15806939.15</v>
      </c>
      <c r="K43" s="8"/>
      <c r="L43" s="8"/>
      <c r="M43" s="8"/>
      <c r="N43" s="8"/>
    </row>
    <row r="44" spans="1:14" ht="17" thickBot="1" x14ac:dyDescent="0.25">
      <c r="A44" s="22" t="s">
        <v>248</v>
      </c>
      <c r="B44" s="22"/>
      <c r="C44" s="346">
        <f>Financing!$B$37</f>
        <v>0.28149912053711845</v>
      </c>
      <c r="D44" s="298" t="s">
        <v>247</v>
      </c>
      <c r="E44" s="8"/>
      <c r="F44" s="8"/>
      <c r="G44" s="218" t="s">
        <v>73</v>
      </c>
      <c r="H44" s="17"/>
      <c r="I44" s="17"/>
      <c r="J44" s="224">
        <f>N34</f>
        <v>1696543427.9797151</v>
      </c>
      <c r="K44" s="8"/>
      <c r="L44" s="8"/>
      <c r="M44" s="8"/>
      <c r="N44" s="8"/>
    </row>
    <row r="45" spans="1:14" s="7" customFormat="1" ht="17" thickBot="1" x14ac:dyDescent="0.25">
      <c r="A45" s="297"/>
      <c r="B45" s="27"/>
      <c r="C45" s="27"/>
      <c r="D45" s="16"/>
      <c r="E45" s="17"/>
      <c r="F45" s="17"/>
      <c r="G45" s="227"/>
      <c r="H45" s="17"/>
      <c r="I45" s="17"/>
      <c r="J45" s="17"/>
      <c r="K45" s="17"/>
      <c r="L45" s="17"/>
      <c r="M45" s="17"/>
      <c r="N45" s="17"/>
    </row>
    <row r="46" spans="1:14" ht="17" thickBot="1" x14ac:dyDescent="0.25">
      <c r="A46" s="421" t="s">
        <v>74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10"/>
    </row>
    <row r="47" spans="1:14" ht="17" thickBot="1" x14ac:dyDescent="0.25">
      <c r="A47" s="30"/>
      <c r="B47" s="13"/>
      <c r="C47" s="13"/>
      <c r="D47" s="5" t="s">
        <v>58</v>
      </c>
      <c r="E47" s="160" t="s">
        <v>37</v>
      </c>
      <c r="F47" s="164"/>
      <c r="G47" s="161"/>
      <c r="H47" s="160" t="s">
        <v>79</v>
      </c>
      <c r="I47" s="162"/>
      <c r="J47" s="161"/>
      <c r="K47" s="163" t="s">
        <v>80</v>
      </c>
      <c r="L47" s="163"/>
      <c r="M47" s="164"/>
      <c r="N47" s="161"/>
    </row>
    <row r="48" spans="1:14" s="9" customFormat="1" ht="17" thickBot="1" x14ac:dyDescent="0.25">
      <c r="A48" s="1"/>
      <c r="B48" s="2"/>
      <c r="C48" s="3" t="s">
        <v>30</v>
      </c>
      <c r="D48" s="3" t="s">
        <v>284</v>
      </c>
      <c r="E48" s="31">
        <v>2019</v>
      </c>
      <c r="F48" s="3">
        <f t="shared" ref="F48:N48" si="7">E48+1</f>
        <v>2020</v>
      </c>
      <c r="G48" s="4">
        <f t="shared" si="7"/>
        <v>2021</v>
      </c>
      <c r="H48" s="31">
        <f t="shared" si="7"/>
        <v>2022</v>
      </c>
      <c r="I48" s="3">
        <f t="shared" si="7"/>
        <v>2023</v>
      </c>
      <c r="J48" s="4">
        <f t="shared" si="7"/>
        <v>2024</v>
      </c>
      <c r="K48" s="3">
        <f t="shared" si="7"/>
        <v>2025</v>
      </c>
      <c r="L48" s="3">
        <f t="shared" si="7"/>
        <v>2026</v>
      </c>
      <c r="M48" s="3">
        <f t="shared" si="7"/>
        <v>2027</v>
      </c>
      <c r="N48" s="4">
        <f t="shared" si="7"/>
        <v>2028</v>
      </c>
    </row>
    <row r="49" spans="1:14" ht="17" thickBot="1" x14ac:dyDescent="0.25">
      <c r="A49" s="20" t="s">
        <v>328</v>
      </c>
      <c r="B49" s="20"/>
      <c r="C49" s="20"/>
      <c r="D49" s="32"/>
      <c r="E49" s="215"/>
      <c r="F49" s="15"/>
      <c r="G49" s="21"/>
      <c r="H49" s="215"/>
      <c r="I49" s="15"/>
      <c r="J49" s="21"/>
      <c r="K49" s="15"/>
      <c r="L49" s="15"/>
      <c r="M49" s="15"/>
      <c r="N49" s="21"/>
    </row>
    <row r="50" spans="1:14" x14ac:dyDescent="0.2">
      <c r="A50" s="246" t="s">
        <v>64</v>
      </c>
      <c r="B50" s="265"/>
      <c r="C50" s="423">
        <f>SUM('2.Market-Rate Rental Housing'!C78:C82)</f>
        <v>768.45066666666662</v>
      </c>
      <c r="D50" s="266">
        <f>SUM('2.Market-Rate Rental Housing'!C9,'2.Market-Rate Rental Housing'!C19,'2.Market-Rate Rental Housing'!C29,'2.Market-Rate Rental Housing'!C39,'2.Market-Rate Rental Housing'!C49)</f>
        <v>0</v>
      </c>
      <c r="E50" s="424">
        <f>SUM('2.Market-Rate Rental Housing'!D9,'2.Market-Rate Rental Housing'!D19,'2.Market-Rate Rental Housing'!D29,'2.Market-Rate Rental Housing'!D39,'2.Market-Rate Rental Housing'!D49)</f>
        <v>410</v>
      </c>
      <c r="F50" s="425">
        <f>SUM('2.Market-Rate Rental Housing'!E9,'2.Market-Rate Rental Housing'!E19,'2.Market-Rate Rental Housing'!E29,'2.Market-Rate Rental Housing'!E39,'2.Market-Rate Rental Housing'!E49)</f>
        <v>205</v>
      </c>
      <c r="G50" s="426">
        <f>SUM('2.Market-Rate Rental Housing'!F9,'2.Market-Rate Rental Housing'!F19,'2.Market-Rate Rental Housing'!F29,'2.Market-Rate Rental Housing'!F39,'2.Market-Rate Rental Housing'!F49)</f>
        <v>0</v>
      </c>
      <c r="H50" s="424">
        <f>SUM('2.Market-Rate Rental Housing'!G9,'2.Market-Rate Rental Housing'!G19,'2.Market-Rate Rental Housing'!G29,'2.Market-Rate Rental Housing'!G39,'2.Market-Rate Rental Housing'!G49)</f>
        <v>0</v>
      </c>
      <c r="I50" s="425">
        <f>SUM('2.Market-Rate Rental Housing'!H9,'2.Market-Rate Rental Housing'!H19,'2.Market-Rate Rental Housing'!H29,'2.Market-Rate Rental Housing'!H39,'2.Market-Rate Rental Housing'!H49)</f>
        <v>0</v>
      </c>
      <c r="J50" s="426">
        <f>SUM('2.Market-Rate Rental Housing'!I9,'2.Market-Rate Rental Housing'!I19,'2.Market-Rate Rental Housing'!I29,'2.Market-Rate Rental Housing'!I39,'2.Market-Rate Rental Housing'!I49)</f>
        <v>0</v>
      </c>
      <c r="K50" s="266">
        <f>SUM('2.Market-Rate Rental Housing'!J9,'2.Market-Rate Rental Housing'!J19,'2.Market-Rate Rental Housing'!J29,'2.Market-Rate Rental Housing'!J39,'2.Market-Rate Rental Housing'!J49)</f>
        <v>0</v>
      </c>
      <c r="L50" s="266">
        <f>SUM('2.Market-Rate Rental Housing'!K9,'2.Market-Rate Rental Housing'!K19,'2.Market-Rate Rental Housing'!K29,'2.Market-Rate Rental Housing'!K39,'2.Market-Rate Rental Housing'!K49)</f>
        <v>153</v>
      </c>
      <c r="M50" s="266">
        <f>SUM('2.Market-Rate Rental Housing'!L9,'2.Market-Rate Rental Housing'!L19,'2.Market-Rate Rental Housing'!L29,'2.Market-Rate Rental Housing'!L39,'2.Market-Rate Rental Housing'!L49)</f>
        <v>0</v>
      </c>
      <c r="N50" s="268">
        <f>SUM('2.Market-Rate Rental Housing'!M9,'2.Market-Rate Rental Housing'!M19,'2.Market-Rate Rental Housing'!M29,'2.Market-Rate Rental Housing'!M39,'2.Market-Rate Rental Housing'!M49)</f>
        <v>0</v>
      </c>
    </row>
    <row r="51" spans="1:14" x14ac:dyDescent="0.2">
      <c r="A51" s="246" t="s">
        <v>65</v>
      </c>
      <c r="B51" s="265"/>
      <c r="C51" s="423">
        <f>SUM('3.Market-Rate For-Sale Housing'!C53:C55)</f>
        <v>384.22533333333331</v>
      </c>
      <c r="D51" s="427">
        <f>SUM('3.Market-Rate For-Sale Housing'!C18,'3.Market-Rate For-Sale Housing'!C27,'3.Market-Rate For-Sale Housing'!C9)</f>
        <v>0</v>
      </c>
      <c r="E51" s="428">
        <f>SUM('3.Market-Rate For-Sale Housing'!D18,'3.Market-Rate For-Sale Housing'!D27,'3.Market-Rate For-Sale Housing'!D9)</f>
        <v>205</v>
      </c>
      <c r="F51" s="429">
        <f>SUM('3.Market-Rate For-Sale Housing'!E18,'3.Market-Rate For-Sale Housing'!E27,'3.Market-Rate For-Sale Housing'!E9)</f>
        <v>103</v>
      </c>
      <c r="G51" s="430">
        <f>SUM('3.Market-Rate For-Sale Housing'!F18,'3.Market-Rate For-Sale Housing'!F27,'3.Market-Rate For-Sale Housing'!F9)</f>
        <v>0</v>
      </c>
      <c r="H51" s="431">
        <f>SUM('3.Market-Rate For-Sale Housing'!G18,'3.Market-Rate For-Sale Housing'!G27,'3.Market-Rate For-Sale Housing'!G9)</f>
        <v>0</v>
      </c>
      <c r="I51" s="429">
        <f>SUM('3.Market-Rate For-Sale Housing'!H18,'3.Market-Rate For-Sale Housing'!H27,'3.Market-Rate For-Sale Housing'!H9)</f>
        <v>0</v>
      </c>
      <c r="J51" s="430">
        <f>SUM('3.Market-Rate For-Sale Housing'!I18,'3.Market-Rate For-Sale Housing'!I27,'3.Market-Rate For-Sale Housing'!I9)</f>
        <v>0</v>
      </c>
      <c r="K51" s="429">
        <f>SUM('3.Market-Rate For-Sale Housing'!J18,'3.Market-Rate For-Sale Housing'!J27,'3.Market-Rate For-Sale Housing'!J9)</f>
        <v>0</v>
      </c>
      <c r="L51" s="429">
        <f>SUM('3.Market-Rate For-Sale Housing'!K18,'3.Market-Rate For-Sale Housing'!K27,'3.Market-Rate For-Sale Housing'!K9)</f>
        <v>76</v>
      </c>
      <c r="M51" s="429">
        <f>SUM('3.Market-Rate For-Sale Housing'!L18,'3.Market-Rate For-Sale Housing'!L27,'3.Market-Rate For-Sale Housing'!L9)</f>
        <v>0</v>
      </c>
      <c r="N51" s="430">
        <f>SUM('3.Market-Rate For-Sale Housing'!M18,'3.Market-Rate For-Sale Housing'!M27,'3.Market-Rate For-Sale Housing'!M9)</f>
        <v>0</v>
      </c>
    </row>
    <row r="52" spans="1:14" x14ac:dyDescent="0.2">
      <c r="A52" s="246" t="s">
        <v>66</v>
      </c>
      <c r="B52" s="265"/>
      <c r="C52" s="423">
        <f>SUM('4.Affordable Rental Housing'!C58:C60)</f>
        <v>85.382666666666665</v>
      </c>
      <c r="D52" s="266">
        <f>SUM('4.Affordable Rental Housing'!C9,'4.Affordable Rental Housing'!C19,'4.Affordable Rental Housing'!C29)</f>
        <v>0</v>
      </c>
      <c r="E52" s="267">
        <f>SUM('4.Affordable Rental Housing'!D9,'4.Affordable Rental Housing'!D19,'4.Affordable Rental Housing'!D29)</f>
        <v>46</v>
      </c>
      <c r="F52" s="266">
        <f>SUM('4.Affordable Rental Housing'!E9,'4.Affordable Rental Housing'!E19,'4.Affordable Rental Housing'!E29)</f>
        <v>23</v>
      </c>
      <c r="G52" s="268">
        <f>SUM('4.Affordable Rental Housing'!F9,'4.Affordable Rental Housing'!F19,'4.Affordable Rental Housing'!F29)</f>
        <v>0</v>
      </c>
      <c r="H52" s="267">
        <f>SUM('4.Affordable Rental Housing'!G9,'4.Affordable Rental Housing'!G19,'4.Affordable Rental Housing'!G29)</f>
        <v>0</v>
      </c>
      <c r="I52" s="266">
        <f>SUM('4.Affordable Rental Housing'!H9,'4.Affordable Rental Housing'!H19,'4.Affordable Rental Housing'!H29)</f>
        <v>0</v>
      </c>
      <c r="J52" s="268">
        <f>SUM('4.Affordable Rental Housing'!I9,'4.Affordable Rental Housing'!I19,'4.Affordable Rental Housing'!I29)</f>
        <v>0</v>
      </c>
      <c r="K52" s="266">
        <f>SUM('4.Affordable Rental Housing'!J9,'4.Affordable Rental Housing'!J19,'4.Affordable Rental Housing'!J29)</f>
        <v>11</v>
      </c>
      <c r="L52" s="266">
        <f>SUM('4.Affordable Rental Housing'!K9,'4.Affordable Rental Housing'!K19,'4.Affordable Rental Housing'!K29)</f>
        <v>6</v>
      </c>
      <c r="M52" s="266">
        <f>SUM('4.Affordable Rental Housing'!L9,'4.Affordable Rental Housing'!L19,'4.Affordable Rental Housing'!L29)</f>
        <v>0</v>
      </c>
      <c r="N52" s="268">
        <f>SUM('4.Affordable Rental Housing'!M9,'4.Affordable Rental Housing'!M19,'4.Affordable Rental Housing'!M29)</f>
        <v>0</v>
      </c>
    </row>
    <row r="53" spans="1:14" x14ac:dyDescent="0.2">
      <c r="A53" s="246" t="s">
        <v>330</v>
      </c>
      <c r="B53" s="265"/>
      <c r="C53" s="423">
        <f>SUM('5.Affordable For-Sale Housing '!C53:C55)</f>
        <v>42.692000000000007</v>
      </c>
      <c r="D53" s="266">
        <f>SUM('5.Affordable For-Sale Housing '!C9,'5.Affordable For-Sale Housing '!C18,'5.Affordable For-Sale Housing '!C27)</f>
        <v>0</v>
      </c>
      <c r="E53" s="267">
        <f>SUM('5.Affordable For-Sale Housing '!D9,'5.Affordable For-Sale Housing '!D18,'5.Affordable For-Sale Housing '!D27)</f>
        <v>23</v>
      </c>
      <c r="F53" s="266">
        <f>SUM('5.Affordable For-Sale Housing '!E9,'5.Affordable For-Sale Housing '!E18,'5.Affordable For-Sale Housing '!E27)</f>
        <v>11</v>
      </c>
      <c r="G53" s="268">
        <f>SUM('5.Affordable For-Sale Housing '!F9,'5.Affordable For-Sale Housing '!F18,'5.Affordable For-Sale Housing '!F27)</f>
        <v>0</v>
      </c>
      <c r="H53" s="267">
        <f>SUM('5.Affordable For-Sale Housing '!G9,'5.Affordable For-Sale Housing '!G18,'5.Affordable For-Sale Housing '!G27)</f>
        <v>0</v>
      </c>
      <c r="I53" s="266">
        <f>SUM('5.Affordable For-Sale Housing '!H9,'5.Affordable For-Sale Housing '!H18,'5.Affordable For-Sale Housing '!H27)</f>
        <v>0</v>
      </c>
      <c r="J53" s="268">
        <f>SUM('5.Affordable For-Sale Housing '!I9,'5.Affordable For-Sale Housing '!I18,'5.Affordable For-Sale Housing '!I27)</f>
        <v>0</v>
      </c>
      <c r="K53" s="266">
        <f>SUM('5.Affordable For-Sale Housing '!J9,'5.Affordable For-Sale Housing '!J18,'5.Affordable For-Sale Housing '!J27)</f>
        <v>8</v>
      </c>
      <c r="L53" s="266">
        <f>SUM('5.Affordable For-Sale Housing '!K9,'5.Affordable For-Sale Housing '!K18,'5.Affordable For-Sale Housing '!K27)</f>
        <v>0</v>
      </c>
      <c r="M53" s="266">
        <f>SUM('5.Affordable For-Sale Housing '!L9,'5.Affordable For-Sale Housing '!L18,'5.Affordable For-Sale Housing '!L27)</f>
        <v>0</v>
      </c>
      <c r="N53" s="268">
        <f>SUM('5.Affordable For-Sale Housing '!M9,'5.Affordable For-Sale Housing '!M18,'5.Affordable For-Sale Housing '!M27)</f>
        <v>0</v>
      </c>
    </row>
    <row r="54" spans="1:14" x14ac:dyDescent="0.2">
      <c r="A54" s="235" t="s">
        <v>49</v>
      </c>
      <c r="B54" s="234"/>
      <c r="C54" s="432">
        <f>'9.Hotel'!C33</f>
        <v>330</v>
      </c>
      <c r="D54" s="266">
        <f>'9.Hotel'!C8</f>
        <v>0</v>
      </c>
      <c r="E54" s="267">
        <f>'9.Hotel'!D8</f>
        <v>0</v>
      </c>
      <c r="F54" s="266">
        <f>'9.Hotel'!E8</f>
        <v>0</v>
      </c>
      <c r="G54" s="268">
        <f>'9.Hotel'!F8</f>
        <v>0</v>
      </c>
      <c r="H54" s="267">
        <f>'9.Hotel'!G8</f>
        <v>0</v>
      </c>
      <c r="I54" s="266">
        <f>'9.Hotel'!H8</f>
        <v>330</v>
      </c>
      <c r="J54" s="268">
        <f>'9.Hotel'!I8</f>
        <v>0</v>
      </c>
      <c r="K54" s="266">
        <f>'9.Hotel'!J8</f>
        <v>0</v>
      </c>
      <c r="L54" s="266">
        <f>'9.Hotel'!K8</f>
        <v>0</v>
      </c>
      <c r="M54" s="266">
        <f>'9.Hotel'!L8</f>
        <v>0</v>
      </c>
      <c r="N54" s="268">
        <f>'9.Hotel'!M8</f>
        <v>0</v>
      </c>
    </row>
    <row r="55" spans="1:14" ht="17" thickBot="1" x14ac:dyDescent="0.25">
      <c r="A55" s="235" t="s">
        <v>50</v>
      </c>
      <c r="B55" s="234"/>
      <c r="C55" s="433">
        <f>SUM('10.Structured Parking'!C106:C109)</f>
        <v>846.32333333333327</v>
      </c>
      <c r="D55" s="266">
        <f>D66/'10.Structured Parking'!$D$112</f>
        <v>0</v>
      </c>
      <c r="E55" s="267">
        <f>E66/'10.Structured Parking'!$D$112</f>
        <v>171.16333333333333</v>
      </c>
      <c r="F55" s="266">
        <f>F66/'10.Structured Parking'!$D$112</f>
        <v>129.97999999999999</v>
      </c>
      <c r="G55" s="268">
        <f>G66/'10.Structured Parking'!$D$112</f>
        <v>0</v>
      </c>
      <c r="H55" s="267">
        <f>H66/'10.Structured Parking'!$D$112</f>
        <v>94.555000000000007</v>
      </c>
      <c r="I55" s="266">
        <f>I66/'10.Structured Parking'!$D$112</f>
        <v>94.555000000000007</v>
      </c>
      <c r="J55" s="268">
        <f>J66/'10.Structured Parking'!$D$112</f>
        <v>0</v>
      </c>
      <c r="K55" s="266">
        <f>K66/'10.Structured Parking'!$D$112</f>
        <v>131.36000000000001</v>
      </c>
      <c r="L55" s="266">
        <f>L66/'10.Structured Parking'!$D$112</f>
        <v>103.1</v>
      </c>
      <c r="M55" s="266">
        <f>M66/'10.Structured Parking'!$D$112</f>
        <v>121.61</v>
      </c>
      <c r="N55" s="268">
        <f>N66/'10.Structured Parking'!$D$112</f>
        <v>0</v>
      </c>
    </row>
    <row r="56" spans="1:14" ht="17" hidden="1" thickBot="1" x14ac:dyDescent="0.25">
      <c r="A56" s="235" t="s">
        <v>51</v>
      </c>
      <c r="B56" s="234"/>
      <c r="C56" s="433">
        <f>SUM('11.Surface Parking'!C83:C85)</f>
        <v>47.983333333333334</v>
      </c>
      <c r="D56" s="266">
        <f>D67/'11.Surface Parking'!$D$88</f>
        <v>0</v>
      </c>
      <c r="E56" s="267">
        <f>E67/'11.Surface Parking'!$D$88</f>
        <v>0</v>
      </c>
      <c r="F56" s="266">
        <f>F67/'11.Surface Parking'!$D$88</f>
        <v>0</v>
      </c>
      <c r="G56" s="268">
        <f>G67/'11.Surface Parking'!$D$88</f>
        <v>47.983333333333334</v>
      </c>
      <c r="H56" s="267">
        <f>H67/'11.Surface Parking'!$D$88</f>
        <v>0</v>
      </c>
      <c r="I56" s="266">
        <f>I67/'11.Surface Parking'!$D$88</f>
        <v>0</v>
      </c>
      <c r="J56" s="268">
        <f>J67/'11.Surface Parking'!$D$88</f>
        <v>0</v>
      </c>
      <c r="K56" s="266">
        <f>K67/'11.Surface Parking'!$D$88</f>
        <v>0</v>
      </c>
      <c r="L56" s="266">
        <f>L67/'11.Surface Parking'!$D$88</f>
        <v>0</v>
      </c>
      <c r="M56" s="266">
        <f>M67/'11.Surface Parking'!$D$88</f>
        <v>0</v>
      </c>
      <c r="N56" s="268">
        <f>N67/'11.Surface Parking'!$D$88</f>
        <v>0</v>
      </c>
    </row>
    <row r="57" spans="1:14" ht="17" thickBot="1" x14ac:dyDescent="0.25">
      <c r="A57" s="19" t="s">
        <v>31</v>
      </c>
      <c r="B57" s="20"/>
      <c r="C57" s="14"/>
      <c r="D57" s="14"/>
      <c r="E57" s="215"/>
      <c r="F57" s="15"/>
      <c r="G57" s="21"/>
      <c r="H57" s="215"/>
      <c r="I57" s="15"/>
      <c r="J57" s="21"/>
      <c r="K57" s="15"/>
      <c r="L57" s="15"/>
      <c r="M57" s="15"/>
      <c r="N57" s="21"/>
    </row>
    <row r="58" spans="1:14" x14ac:dyDescent="0.2">
      <c r="A58" s="246" t="s">
        <v>64</v>
      </c>
      <c r="B58" s="247"/>
      <c r="C58" s="434">
        <f>SUM('2.Market-Rate Rental Housing'!D78:D82)</f>
        <v>576338</v>
      </c>
      <c r="D58" s="266">
        <f>D50*'2.Market-Rate Rental Housing'!$B$12</f>
        <v>0</v>
      </c>
      <c r="E58" s="267">
        <f>E50*'2.Market-Rate Rental Housing'!$B$12</f>
        <v>307500</v>
      </c>
      <c r="F58" s="266">
        <f>F50*'2.Market-Rate Rental Housing'!$B$12</f>
        <v>153750</v>
      </c>
      <c r="G58" s="268">
        <f>G50*'2.Market-Rate Rental Housing'!$B$12</f>
        <v>0</v>
      </c>
      <c r="H58" s="267">
        <f>H50*'2.Market-Rate Rental Housing'!$B$12</f>
        <v>0</v>
      </c>
      <c r="I58" s="266">
        <f>I50*'2.Market-Rate Rental Housing'!$B$12</f>
        <v>0</v>
      </c>
      <c r="J58" s="268">
        <f>J50*'2.Market-Rate Rental Housing'!$B$12</f>
        <v>0</v>
      </c>
      <c r="K58" s="266">
        <f>K50*'2.Market-Rate Rental Housing'!$B$12</f>
        <v>0</v>
      </c>
      <c r="L58" s="266">
        <f>L50*'2.Market-Rate Rental Housing'!$B$12</f>
        <v>114750</v>
      </c>
      <c r="M58" s="266">
        <f>M50*'2.Market-Rate Rental Housing'!$B$12</f>
        <v>0</v>
      </c>
      <c r="N58" s="268">
        <f>N50*'2.Market-Rate Rental Housing'!$B$12</f>
        <v>0</v>
      </c>
    </row>
    <row r="59" spans="1:14" x14ac:dyDescent="0.2">
      <c r="A59" s="246" t="s">
        <v>65</v>
      </c>
      <c r="B59" s="247"/>
      <c r="C59" s="434">
        <f>SUM('3.Market-Rate For-Sale Housing'!D53:D55)</f>
        <v>288169</v>
      </c>
      <c r="D59" s="266">
        <f>D51*'3.Market-Rate For-Sale Housing'!$B$21</f>
        <v>0</v>
      </c>
      <c r="E59" s="267">
        <f>E51*'3.Market-Rate For-Sale Housing'!$B$21</f>
        <v>153750</v>
      </c>
      <c r="F59" s="266">
        <f>F51*'3.Market-Rate For-Sale Housing'!$B$21</f>
        <v>77250</v>
      </c>
      <c r="G59" s="268">
        <f>G51*'3.Market-Rate For-Sale Housing'!$B$21</f>
        <v>0</v>
      </c>
      <c r="H59" s="267">
        <f>H51*'3.Market-Rate For-Sale Housing'!$B$21</f>
        <v>0</v>
      </c>
      <c r="I59" s="266">
        <f>I51*'3.Market-Rate For-Sale Housing'!$B$21</f>
        <v>0</v>
      </c>
      <c r="J59" s="268">
        <f>J51*'3.Market-Rate For-Sale Housing'!$B$21</f>
        <v>0</v>
      </c>
      <c r="K59" s="266">
        <f>K51*'3.Market-Rate For-Sale Housing'!$B$21</f>
        <v>0</v>
      </c>
      <c r="L59" s="266">
        <f>L51*'3.Market-Rate For-Sale Housing'!$B$21</f>
        <v>57000</v>
      </c>
      <c r="M59" s="266">
        <f>M51*'3.Market-Rate For-Sale Housing'!$B$21</f>
        <v>0</v>
      </c>
      <c r="N59" s="268">
        <f>N51*'3.Market-Rate For-Sale Housing'!$B$21</f>
        <v>0</v>
      </c>
    </row>
    <row r="60" spans="1:14" x14ac:dyDescent="0.2">
      <c r="A60" s="246" t="s">
        <v>66</v>
      </c>
      <c r="B60" s="247"/>
      <c r="C60" s="434">
        <f>SUM('4.Affordable Rental Housing'!D58:D60)</f>
        <v>64037</v>
      </c>
      <c r="D60" s="266">
        <f>D52*'4.Affordable Rental Housing'!$B$12</f>
        <v>0</v>
      </c>
      <c r="E60" s="267">
        <f>E52*'4.Affordable Rental Housing'!$B$12</f>
        <v>34500</v>
      </c>
      <c r="F60" s="266">
        <f>F52*'4.Affordable Rental Housing'!$B$12</f>
        <v>17250</v>
      </c>
      <c r="G60" s="268">
        <f>G52*'4.Affordable Rental Housing'!$B$12</f>
        <v>0</v>
      </c>
      <c r="H60" s="267">
        <f>H52*'4.Affordable Rental Housing'!$B$12</f>
        <v>0</v>
      </c>
      <c r="I60" s="266">
        <f>I52*'4.Affordable Rental Housing'!$B$12</f>
        <v>0</v>
      </c>
      <c r="J60" s="268">
        <f>J52*'4.Affordable Rental Housing'!$B$12</f>
        <v>0</v>
      </c>
      <c r="K60" s="266">
        <f>K52*'4.Affordable Rental Housing'!$B$12</f>
        <v>8250</v>
      </c>
      <c r="L60" s="266">
        <f>L52*'4.Affordable Rental Housing'!$B$12</f>
        <v>4500</v>
      </c>
      <c r="M60" s="266">
        <f>M52*'4.Affordable Rental Housing'!$B$12</f>
        <v>0</v>
      </c>
      <c r="N60" s="268">
        <f>N52*'4.Affordable Rental Housing'!$B$12</f>
        <v>0</v>
      </c>
    </row>
    <row r="61" spans="1:14" x14ac:dyDescent="0.2">
      <c r="A61" s="246" t="s">
        <v>330</v>
      </c>
      <c r="B61" s="247"/>
      <c r="C61" s="434">
        <f>SUM('5.Affordable For-Sale Housing '!D53:D55)</f>
        <v>32019</v>
      </c>
      <c r="D61" s="266">
        <f>D53*'5.Affordable For-Sale Housing '!$B$12</f>
        <v>0</v>
      </c>
      <c r="E61" s="267">
        <f>E53*'5.Affordable For-Sale Housing '!$B$12</f>
        <v>17250</v>
      </c>
      <c r="F61" s="266">
        <f>F53*'5.Affordable For-Sale Housing '!$B$12</f>
        <v>8250</v>
      </c>
      <c r="G61" s="268">
        <f>G53*'5.Affordable For-Sale Housing '!$B$12</f>
        <v>0</v>
      </c>
      <c r="H61" s="267">
        <f>H53*'5.Affordable For-Sale Housing '!$B$12</f>
        <v>0</v>
      </c>
      <c r="I61" s="266">
        <f>I53*'5.Affordable For-Sale Housing '!$B$12</f>
        <v>0</v>
      </c>
      <c r="J61" s="268">
        <f>J53*'5.Affordable For-Sale Housing '!$B$12</f>
        <v>0</v>
      </c>
      <c r="K61" s="266">
        <f>K53*'5.Affordable For-Sale Housing '!$B$12</f>
        <v>6000</v>
      </c>
      <c r="L61" s="266">
        <f>L53*'5.Affordable For-Sale Housing '!$B$12</f>
        <v>0</v>
      </c>
      <c r="M61" s="266">
        <f>M53*'5.Affordable For-Sale Housing '!$B$12</f>
        <v>0</v>
      </c>
      <c r="N61" s="268">
        <f>N53*'5.Affordable For-Sale Housing '!$B$12</f>
        <v>0</v>
      </c>
    </row>
    <row r="62" spans="1:14" x14ac:dyDescent="0.2">
      <c r="A62" s="246" t="s">
        <v>67</v>
      </c>
      <c r="B62" s="234"/>
      <c r="C62" s="434">
        <f>SUM('6.Office'!C56:C57)</f>
        <v>249220</v>
      </c>
      <c r="D62" s="266">
        <f>'Development Schedule'!D84</f>
        <v>0</v>
      </c>
      <c r="E62" s="267">
        <f>'Development Schedule'!E84</f>
        <v>0</v>
      </c>
      <c r="F62" s="266">
        <f>'Development Schedule'!F84</f>
        <v>38884</v>
      </c>
      <c r="G62" s="268">
        <f>'Development Schedule'!G84</f>
        <v>0</v>
      </c>
      <c r="H62" s="267">
        <f>'Development Schedule'!H84</f>
        <v>0</v>
      </c>
      <c r="I62" s="266">
        <f>'Development Schedule'!I84</f>
        <v>210336</v>
      </c>
      <c r="J62" s="268">
        <f>'Development Schedule'!J84</f>
        <v>0</v>
      </c>
      <c r="K62" s="266">
        <f>'Development Schedule'!K84</f>
        <v>291170</v>
      </c>
      <c r="L62" s="266">
        <f>'Development Schedule'!L84</f>
        <v>291176</v>
      </c>
      <c r="M62" s="266">
        <f>'Development Schedule'!M84</f>
        <v>145588</v>
      </c>
      <c r="N62" s="268">
        <f>'Development Schedule'!N84</f>
        <v>0</v>
      </c>
    </row>
    <row r="63" spans="1:14" x14ac:dyDescent="0.2">
      <c r="A63" s="246" t="s">
        <v>348</v>
      </c>
      <c r="B63" s="234"/>
      <c r="C63" s="434">
        <f>SUM('7.Industrial &amp; School'!C56:C58)</f>
        <v>0</v>
      </c>
      <c r="D63" s="266">
        <f>'Development Schedule'!D83</f>
        <v>0</v>
      </c>
      <c r="E63" s="267">
        <f>'Development Schedule'!E83</f>
        <v>0</v>
      </c>
      <c r="F63" s="266">
        <f>'Development Schedule'!F83</f>
        <v>0</v>
      </c>
      <c r="G63" s="268">
        <f>'Development Schedule'!G83</f>
        <v>0</v>
      </c>
      <c r="H63" s="267">
        <f>'Development Schedule'!H83</f>
        <v>0</v>
      </c>
      <c r="I63" s="266">
        <f>'Development Schedule'!I83</f>
        <v>0</v>
      </c>
      <c r="J63" s="268">
        <f>'Development Schedule'!J83</f>
        <v>0</v>
      </c>
      <c r="K63" s="266">
        <f>'Development Schedule'!K83</f>
        <v>0</v>
      </c>
      <c r="L63" s="266">
        <f>'Development Schedule'!L83</f>
        <v>0</v>
      </c>
      <c r="M63" s="266">
        <f>'Development Schedule'!M83</f>
        <v>0</v>
      </c>
      <c r="N63" s="268">
        <f>'Development Schedule'!N83</f>
        <v>0</v>
      </c>
    </row>
    <row r="64" spans="1:14" x14ac:dyDescent="0.2">
      <c r="A64" s="246" t="s">
        <v>123</v>
      </c>
      <c r="B64" s="234"/>
      <c r="C64" s="434">
        <f>SUM('8.Market-Rate Retail'!C103:C110)</f>
        <v>214489</v>
      </c>
      <c r="D64" s="266">
        <f>'Development Schedule'!D78</f>
        <v>0</v>
      </c>
      <c r="E64" s="267">
        <f>'Development Schedule'!E78</f>
        <v>51349</v>
      </c>
      <c r="F64" s="266">
        <f>'Development Schedule'!F78</f>
        <v>38994</v>
      </c>
      <c r="G64" s="268">
        <f>'Development Schedule'!G78</f>
        <v>0</v>
      </c>
      <c r="H64" s="267">
        <f>'Development Schedule'!H78</f>
        <v>28366.5</v>
      </c>
      <c r="I64" s="266">
        <f>'Development Schedule'!I78</f>
        <v>28366.5</v>
      </c>
      <c r="J64" s="268">
        <f>'Development Schedule'!J78</f>
        <v>0</v>
      </c>
      <c r="K64" s="266">
        <f>'Development Schedule'!K78</f>
        <v>0</v>
      </c>
      <c r="L64" s="266">
        <f>'Development Schedule'!L78</f>
        <v>30930</v>
      </c>
      <c r="M64" s="266">
        <f>'Development Schedule'!M78</f>
        <v>36483</v>
      </c>
      <c r="N64" s="268">
        <f>'Development Schedule'!N78</f>
        <v>0</v>
      </c>
    </row>
    <row r="65" spans="1:14" x14ac:dyDescent="0.2">
      <c r="A65" s="246" t="s">
        <v>49</v>
      </c>
      <c r="B65" s="234"/>
      <c r="C65" s="434">
        <f>SUM('9.Hotel'!D33)</f>
        <v>165000</v>
      </c>
      <c r="D65" s="266">
        <f>'Development Schedule'!D77</f>
        <v>0</v>
      </c>
      <c r="E65" s="267">
        <f>'Development Schedule'!E77</f>
        <v>0</v>
      </c>
      <c r="F65" s="266">
        <f>'Development Schedule'!F77</f>
        <v>0</v>
      </c>
      <c r="G65" s="268">
        <f>'Development Schedule'!G77</f>
        <v>0</v>
      </c>
      <c r="H65" s="267">
        <f>'Development Schedule'!H77</f>
        <v>165000</v>
      </c>
      <c r="I65" s="266">
        <f>'Development Schedule'!I77</f>
        <v>0</v>
      </c>
      <c r="J65" s="268">
        <f>'Development Schedule'!J77</f>
        <v>0</v>
      </c>
      <c r="K65" s="266">
        <f>'Development Schedule'!K77</f>
        <v>0</v>
      </c>
      <c r="L65" s="266">
        <f>'Development Schedule'!L77</f>
        <v>0</v>
      </c>
      <c r="M65" s="266">
        <f>'Development Schedule'!M77</f>
        <v>0</v>
      </c>
      <c r="N65" s="268">
        <f>'Development Schedule'!N77</f>
        <v>0</v>
      </c>
    </row>
    <row r="66" spans="1:14" x14ac:dyDescent="0.2">
      <c r="A66" s="246" t="s">
        <v>50</v>
      </c>
      <c r="B66" s="234"/>
      <c r="C66" s="434">
        <f>SUM('10.Structured Parking'!D106:D109)</f>
        <v>253897</v>
      </c>
      <c r="D66" s="266">
        <f>'Development Schedule'!D85</f>
        <v>0</v>
      </c>
      <c r="E66" s="267">
        <f>'Development Schedule'!E85</f>
        <v>51349</v>
      </c>
      <c r="F66" s="266">
        <f>'Development Schedule'!F85</f>
        <v>38994</v>
      </c>
      <c r="G66" s="268">
        <f>'Development Schedule'!G85</f>
        <v>0</v>
      </c>
      <c r="H66" s="267">
        <f>'Development Schedule'!H85</f>
        <v>28366.5</v>
      </c>
      <c r="I66" s="266">
        <f>'Development Schedule'!I85</f>
        <v>28366.5</v>
      </c>
      <c r="J66" s="268">
        <f>'Development Schedule'!J85</f>
        <v>0</v>
      </c>
      <c r="K66" s="266">
        <f>'Development Schedule'!K85</f>
        <v>39408</v>
      </c>
      <c r="L66" s="266">
        <f>'Development Schedule'!L85</f>
        <v>30930</v>
      </c>
      <c r="M66" s="266">
        <f>'Development Schedule'!M85</f>
        <v>36483</v>
      </c>
      <c r="N66" s="268">
        <f>'Development Schedule'!N85</f>
        <v>0</v>
      </c>
    </row>
    <row r="67" spans="1:14" hidden="1" x14ac:dyDescent="0.2">
      <c r="A67" s="253" t="s">
        <v>51</v>
      </c>
      <c r="B67" s="238"/>
      <c r="C67" s="435">
        <f>SUM('11.Surface Parking'!D83:D85)</f>
        <v>14395</v>
      </c>
      <c r="D67" s="436">
        <f>'Development Schedule'!D86</f>
        <v>0</v>
      </c>
      <c r="E67" s="437">
        <f>'Development Schedule'!E86</f>
        <v>0</v>
      </c>
      <c r="F67" s="436">
        <f>'Development Schedule'!F86</f>
        <v>0</v>
      </c>
      <c r="G67" s="438">
        <f>'Development Schedule'!G86</f>
        <v>14395</v>
      </c>
      <c r="H67" s="437">
        <f>'Development Schedule'!H86</f>
        <v>0</v>
      </c>
      <c r="I67" s="436">
        <f>'Development Schedule'!I86</f>
        <v>0</v>
      </c>
      <c r="J67" s="438">
        <f>'Development Schedule'!J86</f>
        <v>0</v>
      </c>
      <c r="K67" s="436">
        <f>'Development Schedule'!K86</f>
        <v>0</v>
      </c>
      <c r="L67" s="436">
        <f>'Development Schedule'!L86</f>
        <v>0</v>
      </c>
      <c r="M67" s="436">
        <f>'Development Schedule'!M86</f>
        <v>0</v>
      </c>
      <c r="N67" s="438">
        <f>'Development Schedule'!N86</f>
        <v>0</v>
      </c>
    </row>
    <row r="68" spans="1:14" ht="17" thickBot="1" x14ac:dyDescent="0.25">
      <c r="A68" s="260" t="s">
        <v>32</v>
      </c>
      <c r="B68" s="240"/>
      <c r="C68" s="261"/>
      <c r="D68" s="262">
        <f>SUM(D58:D67)</f>
        <v>0</v>
      </c>
      <c r="E68" s="263">
        <f t="shared" ref="E68:N68" si="8">SUM(E58:E67)</f>
        <v>615698</v>
      </c>
      <c r="F68" s="262">
        <f t="shared" si="8"/>
        <v>373372</v>
      </c>
      <c r="G68" s="264">
        <f t="shared" si="8"/>
        <v>14395</v>
      </c>
      <c r="H68" s="263">
        <f t="shared" si="8"/>
        <v>221733</v>
      </c>
      <c r="I68" s="262">
        <f t="shared" si="8"/>
        <v>267069</v>
      </c>
      <c r="J68" s="264">
        <f t="shared" si="8"/>
        <v>0</v>
      </c>
      <c r="K68" s="262">
        <f t="shared" si="8"/>
        <v>344828</v>
      </c>
      <c r="L68" s="262">
        <f t="shared" si="8"/>
        <v>529286</v>
      </c>
      <c r="M68" s="262">
        <f t="shared" si="8"/>
        <v>218554</v>
      </c>
      <c r="N68" s="264">
        <f t="shared" si="8"/>
        <v>0</v>
      </c>
    </row>
    <row r="69" spans="1:14" s="7" customFormat="1" ht="17" thickBot="1" x14ac:dyDescent="0.25">
      <c r="A69" s="226"/>
      <c r="B69" s="219"/>
      <c r="C69" s="220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</row>
    <row r="70" spans="1:14" ht="17" thickBot="1" x14ac:dyDescent="0.25">
      <c r="A70" s="421" t="s">
        <v>126</v>
      </c>
      <c r="B70" s="422"/>
      <c r="C70" s="422"/>
      <c r="D70" s="422"/>
      <c r="E70" s="422"/>
      <c r="F70" s="410"/>
      <c r="G70" s="407"/>
      <c r="H70" s="7"/>
      <c r="I70" s="439" t="s">
        <v>228</v>
      </c>
      <c r="J70" s="409"/>
      <c r="K70" s="409"/>
      <c r="L70" s="409"/>
      <c r="M70" s="409"/>
      <c r="N70" s="440"/>
    </row>
    <row r="71" spans="1:14" s="11" customFormat="1" ht="16.5" customHeight="1" thickBot="1" x14ac:dyDescent="0.25">
      <c r="A71" s="243" t="s">
        <v>2</v>
      </c>
      <c r="B71" s="229"/>
      <c r="C71" s="244"/>
      <c r="D71" s="245"/>
      <c r="E71" s="230" t="s">
        <v>53</v>
      </c>
      <c r="F71" s="231" t="s">
        <v>35</v>
      </c>
      <c r="G71" s="5"/>
      <c r="H71" s="10"/>
      <c r="I71" s="441"/>
      <c r="J71" s="245"/>
      <c r="K71" s="245"/>
      <c r="L71" s="229"/>
      <c r="M71" s="230" t="s">
        <v>52</v>
      </c>
      <c r="N71" s="231" t="s">
        <v>75</v>
      </c>
    </row>
    <row r="72" spans="1:14" x14ac:dyDescent="0.2">
      <c r="A72" s="246" t="s">
        <v>64</v>
      </c>
      <c r="B72" s="247"/>
      <c r="C72" s="247"/>
      <c r="D72" s="234"/>
      <c r="E72" s="396">
        <f>F72/C50</f>
        <v>229354.08302570894</v>
      </c>
      <c r="F72" s="401">
        <f t="shared" ref="F72:F80" si="9">SUM(D17:N17)</f>
        <v>176247298.00382805</v>
      </c>
      <c r="G72" s="8"/>
      <c r="H72" s="7"/>
      <c r="I72" s="487" t="s">
        <v>76</v>
      </c>
      <c r="J72" s="219"/>
      <c r="K72" s="219"/>
      <c r="L72" s="488"/>
      <c r="M72" s="391"/>
      <c r="N72" s="493"/>
    </row>
    <row r="73" spans="1:14" x14ac:dyDescent="0.2">
      <c r="A73" s="246" t="s">
        <v>65</v>
      </c>
      <c r="B73" s="247"/>
      <c r="C73" s="247"/>
      <c r="D73" s="234"/>
      <c r="E73" s="397">
        <f>F73/C51</f>
        <v>229354.08302570894</v>
      </c>
      <c r="F73" s="386">
        <f t="shared" si="9"/>
        <v>88123649.001914024</v>
      </c>
      <c r="G73" s="8"/>
      <c r="H73" s="7"/>
      <c r="I73" s="235" t="s">
        <v>344</v>
      </c>
      <c r="J73" s="234"/>
      <c r="K73" s="234"/>
      <c r="L73" s="489"/>
      <c r="M73" s="251">
        <f>Budget!C14</f>
        <v>83313869.415084869</v>
      </c>
      <c r="N73" s="237">
        <f>M73/$M$83</f>
        <v>0.10775334159513743</v>
      </c>
    </row>
    <row r="74" spans="1:14" x14ac:dyDescent="0.2">
      <c r="A74" s="246" t="s">
        <v>66</v>
      </c>
      <c r="B74" s="247"/>
      <c r="C74" s="247"/>
      <c r="D74" s="234"/>
      <c r="E74" s="398">
        <f>F74/C52</f>
        <v>228691.80029526312</v>
      </c>
      <c r="F74" s="386">
        <f t="shared" si="9"/>
        <v>19526315.754010353</v>
      </c>
      <c r="G74" s="8"/>
      <c r="H74" s="7"/>
      <c r="I74" s="235" t="s">
        <v>343</v>
      </c>
      <c r="J74" s="234"/>
      <c r="K74" s="234"/>
      <c r="L74" s="490"/>
      <c r="M74" s="251">
        <f>Budget!C15</f>
        <v>89621383.650000006</v>
      </c>
      <c r="N74" s="237">
        <f>M74/$M$83</f>
        <v>0.11591111581379523</v>
      </c>
    </row>
    <row r="75" spans="1:14" x14ac:dyDescent="0.2">
      <c r="A75" s="265" t="s">
        <v>330</v>
      </c>
      <c r="B75" s="247"/>
      <c r="C75" s="247"/>
      <c r="D75" s="234"/>
      <c r="E75" s="397">
        <f>F75/C53</f>
        <v>228360.99029179674</v>
      </c>
      <c r="F75" s="386">
        <f t="shared" si="9"/>
        <v>9749187.3975373879</v>
      </c>
      <c r="G75" s="8"/>
      <c r="H75" s="7"/>
      <c r="I75" s="232" t="s">
        <v>77</v>
      </c>
      <c r="J75" s="233"/>
      <c r="K75" s="233"/>
      <c r="L75" s="490"/>
      <c r="M75" s="235"/>
      <c r="N75" s="237"/>
    </row>
    <row r="76" spans="1:14" x14ac:dyDescent="0.2">
      <c r="A76" s="18" t="s">
        <v>316</v>
      </c>
      <c r="E76" s="399">
        <f>F76/C62</f>
        <v>1131.5057574142434</v>
      </c>
      <c r="F76" s="402">
        <f t="shared" si="9"/>
        <v>281993864.86277771</v>
      </c>
      <c r="G76" s="8"/>
      <c r="H76" s="7"/>
      <c r="I76" s="235" t="s">
        <v>227</v>
      </c>
      <c r="J76" s="234"/>
      <c r="K76" s="234"/>
      <c r="L76" s="490"/>
      <c r="M76" s="252">
        <f>Budget!C12</f>
        <v>592165333.7115258</v>
      </c>
      <c r="N76" s="237">
        <f>M76/$M$83</f>
        <v>0.76587240434500214</v>
      </c>
    </row>
    <row r="77" spans="1:14" x14ac:dyDescent="0.2">
      <c r="A77" s="246" t="s">
        <v>349</v>
      </c>
      <c r="B77" s="234"/>
      <c r="C77" s="247"/>
      <c r="D77" s="234"/>
      <c r="E77" s="397" t="e">
        <f>F77/C63</f>
        <v>#DIV/0!</v>
      </c>
      <c r="F77" s="386">
        <f t="shared" si="9"/>
        <v>0</v>
      </c>
      <c r="G77" s="8"/>
      <c r="H77" s="7"/>
      <c r="I77" s="235"/>
      <c r="J77" s="234"/>
      <c r="K77" s="234"/>
      <c r="L77" s="490"/>
      <c r="M77" s="235"/>
      <c r="N77" s="236"/>
    </row>
    <row r="78" spans="1:14" x14ac:dyDescent="0.2">
      <c r="A78" s="246" t="s">
        <v>68</v>
      </c>
      <c r="B78" s="234"/>
      <c r="C78" s="247"/>
      <c r="D78" s="234"/>
      <c r="E78" s="397">
        <f>F78/C64</f>
        <v>245.85372338913092</v>
      </c>
      <c r="F78" s="386">
        <f t="shared" si="9"/>
        <v>52732919.276011303</v>
      </c>
      <c r="G78" s="8"/>
      <c r="H78" s="7"/>
      <c r="I78" s="232" t="s">
        <v>78</v>
      </c>
      <c r="J78" s="233"/>
      <c r="K78" s="233"/>
      <c r="L78" s="490"/>
      <c r="M78" s="235"/>
      <c r="N78" s="236"/>
    </row>
    <row r="79" spans="1:14" x14ac:dyDescent="0.2">
      <c r="A79" s="246" t="s">
        <v>49</v>
      </c>
      <c r="B79" s="234"/>
      <c r="C79" s="247"/>
      <c r="D79" s="234"/>
      <c r="E79" s="400">
        <f>F79/C54</f>
        <v>148508.80475762876</v>
      </c>
      <c r="F79" s="386">
        <f t="shared" si="9"/>
        <v>49007905.570017494</v>
      </c>
      <c r="G79" s="8"/>
      <c r="H79" s="7"/>
      <c r="I79" s="379" t="s">
        <v>332</v>
      </c>
      <c r="J79" s="234"/>
      <c r="K79" s="234"/>
      <c r="L79" s="490"/>
      <c r="M79" s="252">
        <f>Budget!C17</f>
        <v>6500000</v>
      </c>
      <c r="N79" s="237">
        <f>M79/$M$83</f>
        <v>8.4067241779263585E-3</v>
      </c>
    </row>
    <row r="80" spans="1:14" x14ac:dyDescent="0.2">
      <c r="A80" s="246" t="s">
        <v>177</v>
      </c>
      <c r="B80" s="234"/>
      <c r="C80" s="247"/>
      <c r="D80" s="234"/>
      <c r="E80" s="400">
        <f>F80/(C55)</f>
        <v>33443.283732654891</v>
      </c>
      <c r="F80" s="386">
        <f t="shared" si="9"/>
        <v>28303831.366232928</v>
      </c>
      <c r="G80" s="8"/>
      <c r="H80" s="7"/>
      <c r="I80" s="379" t="s">
        <v>336</v>
      </c>
      <c r="J80" s="234"/>
      <c r="K80" s="234"/>
      <c r="L80" s="490"/>
      <c r="M80" s="252">
        <f>Budget!C18</f>
        <v>90000</v>
      </c>
      <c r="N80" s="237">
        <f>M80/$M$83</f>
        <v>1.1640079630974957E-4</v>
      </c>
    </row>
    <row r="81" spans="1:14" x14ac:dyDescent="0.2">
      <c r="A81" s="246" t="s">
        <v>217</v>
      </c>
      <c r="B81" s="234"/>
      <c r="C81" s="247"/>
      <c r="D81" s="234"/>
      <c r="E81" s="397">
        <f>F81/'Land Acquisition'!D9</f>
        <v>102.43764694749076</v>
      </c>
      <c r="F81" s="248">
        <f>SUM(D27:N27)</f>
        <v>38427844.25</v>
      </c>
      <c r="G81" s="8"/>
      <c r="H81" s="7"/>
      <c r="I81" s="33" t="s">
        <v>345</v>
      </c>
      <c r="J81" s="7"/>
      <c r="K81" s="7"/>
      <c r="L81" s="385"/>
      <c r="M81" s="252">
        <f>Budget!C19</f>
        <v>1500000</v>
      </c>
      <c r="N81" s="237">
        <f>M81/$M$83</f>
        <v>1.9400132718291594E-3</v>
      </c>
    </row>
    <row r="82" spans="1:14" ht="17" thickBot="1" x14ac:dyDescent="0.25">
      <c r="A82" s="246" t="s">
        <v>214</v>
      </c>
      <c r="B82" s="234"/>
      <c r="C82" s="247"/>
      <c r="D82" s="234"/>
      <c r="E82" s="442">
        <v>2</v>
      </c>
      <c r="F82" s="403">
        <f>SUM(D29:N29)</f>
        <v>3452540</v>
      </c>
      <c r="G82" s="5"/>
      <c r="H82" s="7"/>
      <c r="I82" s="491"/>
      <c r="J82" s="492"/>
      <c r="K82" s="492"/>
      <c r="L82" s="486"/>
      <c r="M82" s="491"/>
      <c r="N82" s="494"/>
    </row>
    <row r="83" spans="1:14" ht="19" thickBot="1" x14ac:dyDescent="0.25">
      <c r="A83" s="243" t="s">
        <v>337</v>
      </c>
      <c r="B83" s="388"/>
      <c r="C83" s="389"/>
      <c r="D83" s="388"/>
      <c r="E83" s="443"/>
      <c r="F83" s="390">
        <f>Budget!C8</f>
        <v>5921652</v>
      </c>
      <c r="G83" s="7"/>
      <c r="H83" s="7"/>
      <c r="I83" s="239" t="s">
        <v>331</v>
      </c>
      <c r="J83" s="240"/>
      <c r="K83" s="240"/>
      <c r="L83" s="486"/>
      <c r="M83" s="241">
        <f>SUM(M73:M81)</f>
        <v>773190586.77661061</v>
      </c>
      <c r="N83" s="242">
        <f>SUM(N73:N81)</f>
        <v>1</v>
      </c>
    </row>
    <row r="84" spans="1:14" ht="17" thickBot="1" x14ac:dyDescent="0.25">
      <c r="A84" s="243" t="s">
        <v>125</v>
      </c>
      <c r="B84" s="249"/>
      <c r="C84" s="249"/>
      <c r="D84" s="250"/>
      <c r="E84" s="230" t="s">
        <v>55</v>
      </c>
      <c r="F84" s="231" t="s">
        <v>56</v>
      </c>
      <c r="G84" s="7"/>
      <c r="H84" s="7"/>
      <c r="I84" s="18" t="s">
        <v>334</v>
      </c>
    </row>
    <row r="85" spans="1:14" x14ac:dyDescent="0.2">
      <c r="A85" s="246" t="s">
        <v>304</v>
      </c>
      <c r="B85" s="234"/>
      <c r="C85" s="247"/>
      <c r="D85" s="234"/>
      <c r="E85" s="484">
        <f>SUM('1.Infrastructure Costs'!D12:N12)</f>
        <v>4435176.3487999998</v>
      </c>
      <c r="F85" s="482"/>
      <c r="G85" s="299"/>
      <c r="H85" s="7"/>
      <c r="I85" s="393" t="s">
        <v>346</v>
      </c>
    </row>
    <row r="86" spans="1:14" x14ac:dyDescent="0.2">
      <c r="A86" s="246" t="s">
        <v>305</v>
      </c>
      <c r="B86" s="234"/>
      <c r="C86" s="247"/>
      <c r="D86" s="234"/>
      <c r="E86" s="248">
        <f>SUM('1.Infrastructure Costs'!D13:N13)</f>
        <v>6543135.8446245668</v>
      </c>
      <c r="F86" s="483"/>
      <c r="G86" s="7"/>
      <c r="H86" s="7"/>
      <c r="I86" s="18" t="s">
        <v>333</v>
      </c>
    </row>
    <row r="87" spans="1:14" ht="17" thickBot="1" x14ac:dyDescent="0.25">
      <c r="A87" s="246" t="s">
        <v>353</v>
      </c>
      <c r="B87" s="234"/>
      <c r="C87" s="247"/>
      <c r="D87" s="234"/>
      <c r="E87" s="248">
        <f>SUM('1.Infrastructure Costs'!D14:N14)</f>
        <v>197852.86799999999</v>
      </c>
      <c r="F87" s="483"/>
      <c r="G87" s="7"/>
      <c r="H87" s="7"/>
    </row>
    <row r="88" spans="1:14" ht="17" thickBot="1" x14ac:dyDescent="0.25">
      <c r="A88" s="246" t="s">
        <v>297</v>
      </c>
      <c r="B88" s="234"/>
      <c r="C88" s="247"/>
      <c r="D88" s="234"/>
      <c r="E88" s="248">
        <f>SUM('1.Infrastructure Costs'!D15:N15)</f>
        <v>94784.112000000008</v>
      </c>
      <c r="F88" s="483"/>
      <c r="G88" s="7"/>
      <c r="H88" s="7"/>
      <c r="I88" s="444" t="s">
        <v>260</v>
      </c>
      <c r="J88" s="445"/>
      <c r="K88" s="445"/>
      <c r="L88" s="445"/>
      <c r="M88" s="445"/>
      <c r="N88" s="446"/>
    </row>
    <row r="89" spans="1:14" x14ac:dyDescent="0.2">
      <c r="A89" s="246" t="s">
        <v>352</v>
      </c>
      <c r="B89" s="234"/>
      <c r="C89" s="247"/>
      <c r="D89" s="234"/>
      <c r="E89" s="248">
        <f>SUM('1.Infrastructure Costs'!D16:N16)</f>
        <v>7659344.9403917529</v>
      </c>
      <c r="F89" s="483"/>
      <c r="G89" s="7"/>
      <c r="H89" s="7"/>
      <c r="I89" s="300"/>
      <c r="J89" s="301"/>
      <c r="K89" s="302" t="s">
        <v>262</v>
      </c>
      <c r="L89" s="300"/>
      <c r="M89" s="301"/>
      <c r="N89" s="319"/>
    </row>
    <row r="90" spans="1:14" ht="19" thickBot="1" x14ac:dyDescent="0.25">
      <c r="A90" s="394" t="s">
        <v>54</v>
      </c>
      <c r="B90" s="238"/>
      <c r="C90" s="254"/>
      <c r="D90" s="238"/>
      <c r="E90" s="485"/>
      <c r="F90" s="248">
        <f>SUM('1.Infrastructure Costs'!D9:N9)</f>
        <v>18137488.000278793</v>
      </c>
      <c r="G90" s="7"/>
      <c r="H90" s="7"/>
      <c r="I90" s="34" t="s">
        <v>261</v>
      </c>
      <c r="J90" s="297"/>
      <c r="K90" s="318" t="s">
        <v>263</v>
      </c>
      <c r="L90" s="347" t="s">
        <v>264</v>
      </c>
      <c r="M90" s="343"/>
      <c r="N90" s="344"/>
    </row>
    <row r="91" spans="1:14" ht="16.5" customHeight="1" thickBot="1" x14ac:dyDescent="0.25">
      <c r="A91" s="255" t="s">
        <v>34</v>
      </c>
      <c r="B91" s="256"/>
      <c r="C91" s="256"/>
      <c r="D91" s="234"/>
      <c r="E91" s="257">
        <f>SUM(E85:E90)</f>
        <v>18930294.113816321</v>
      </c>
      <c r="F91" s="257">
        <f>SUM(F85:F90)</f>
        <v>18137488.000278793</v>
      </c>
      <c r="G91" s="7"/>
      <c r="H91" s="299"/>
      <c r="I91" s="300" t="s">
        <v>321</v>
      </c>
      <c r="J91" s="301"/>
      <c r="K91" s="447">
        <f>3.03*1.03^2</f>
        <v>3.2145269999999995</v>
      </c>
      <c r="L91" s="1370" t="s">
        <v>285</v>
      </c>
      <c r="M91" s="1371"/>
      <c r="N91" s="1372"/>
    </row>
    <row r="92" spans="1:14" ht="16.25" customHeight="1" thickBot="1" x14ac:dyDescent="0.25">
      <c r="A92" s="243" t="s">
        <v>3</v>
      </c>
      <c r="B92" s="258"/>
      <c r="C92" s="258"/>
      <c r="D92" s="388"/>
      <c r="E92" s="448"/>
      <c r="F92" s="259">
        <f>SUM(F72:F83,F91)</f>
        <v>771624495.48260808</v>
      </c>
      <c r="I92" s="309"/>
      <c r="J92" s="297"/>
      <c r="K92" s="297"/>
      <c r="L92" s="1373"/>
      <c r="M92" s="1374"/>
      <c r="N92" s="1375"/>
    </row>
    <row r="93" spans="1:14" ht="16.5" customHeight="1" thickBot="1" x14ac:dyDescent="0.25">
      <c r="D93" s="12"/>
      <c r="E93" s="24"/>
      <c r="G93" s="387"/>
      <c r="I93" s="30" t="s">
        <v>265</v>
      </c>
      <c r="J93" s="13"/>
      <c r="K93" s="449">
        <v>5.8999999999999997E-2</v>
      </c>
      <c r="L93" s="30" t="s">
        <v>286</v>
      </c>
      <c r="M93" s="13"/>
      <c r="N93" s="320"/>
    </row>
    <row r="94" spans="1:14" ht="16.5" customHeight="1" thickBot="1" x14ac:dyDescent="0.25">
      <c r="A94" s="444" t="s">
        <v>250</v>
      </c>
      <c r="B94" s="445"/>
      <c r="C94" s="445"/>
      <c r="D94" s="445"/>
      <c r="E94" s="445"/>
      <c r="F94" s="446"/>
      <c r="I94" s="392" t="s">
        <v>320</v>
      </c>
      <c r="J94" s="13"/>
      <c r="K94" s="450">
        <v>1.36</v>
      </c>
      <c r="L94" s="391" t="s">
        <v>340</v>
      </c>
      <c r="M94" s="301"/>
      <c r="N94" s="319"/>
    </row>
    <row r="95" spans="1:14" ht="15.5" customHeight="1" x14ac:dyDescent="0.2">
      <c r="A95" s="303"/>
      <c r="B95" s="301"/>
      <c r="C95" s="304" t="s">
        <v>128</v>
      </c>
      <c r="D95" s="304" t="s">
        <v>129</v>
      </c>
      <c r="E95" s="304" t="s">
        <v>130</v>
      </c>
      <c r="F95" s="305" t="s">
        <v>32</v>
      </c>
      <c r="I95" s="300" t="s">
        <v>266</v>
      </c>
      <c r="J95" s="301"/>
      <c r="K95" s="447">
        <f>437*1.03^2</f>
        <v>463.61329999999998</v>
      </c>
      <c r="L95" s="1376" t="s">
        <v>287</v>
      </c>
      <c r="M95" s="1368"/>
      <c r="N95" s="1377"/>
    </row>
    <row r="96" spans="1:14" ht="19" thickBot="1" x14ac:dyDescent="0.25">
      <c r="A96" s="306" t="s">
        <v>131</v>
      </c>
      <c r="B96" s="297"/>
      <c r="C96" s="307" t="s">
        <v>251</v>
      </c>
      <c r="D96" s="307" t="s">
        <v>252</v>
      </c>
      <c r="E96" s="307" t="s">
        <v>253</v>
      </c>
      <c r="F96" s="308" t="s">
        <v>258</v>
      </c>
      <c r="I96" s="33"/>
      <c r="J96" s="7"/>
      <c r="K96" s="7"/>
      <c r="L96" s="1378"/>
      <c r="M96" s="1369"/>
      <c r="N96" s="1379"/>
    </row>
    <row r="97" spans="1:14" ht="15" customHeight="1" thickBot="1" x14ac:dyDescent="0.25">
      <c r="A97" s="246" t="s">
        <v>255</v>
      </c>
      <c r="B97" s="7"/>
      <c r="C97" s="451">
        <f>193.05*1.03</f>
        <v>198.84150000000002</v>
      </c>
      <c r="D97" s="312">
        <f>C97*0.2</f>
        <v>39.768300000000011</v>
      </c>
      <c r="E97" s="313">
        <f t="shared" ref="E97:E102" si="10">C97*0.04</f>
        <v>7.9536600000000011</v>
      </c>
      <c r="F97" s="310">
        <f t="shared" ref="F97:F104" si="11">SUM(C97:E97)</f>
        <v>246.56346000000005</v>
      </c>
      <c r="I97" s="309"/>
      <c r="J97" s="297"/>
      <c r="K97" s="297"/>
      <c r="L97" s="1380"/>
      <c r="M97" s="1381"/>
      <c r="N97" s="1382"/>
    </row>
    <row r="98" spans="1:14" ht="17" thickBot="1" x14ac:dyDescent="0.25">
      <c r="A98" s="33" t="s">
        <v>254</v>
      </c>
      <c r="B98" s="7"/>
      <c r="C98" s="313">
        <f>172.2*1.03</f>
        <v>177.36599999999999</v>
      </c>
      <c r="D98" s="312">
        <f t="shared" ref="D98:D104" si="12">C98*0.2</f>
        <v>35.473199999999999</v>
      </c>
      <c r="E98" s="313">
        <f t="shared" si="10"/>
        <v>7.0946399999999992</v>
      </c>
      <c r="F98" s="311">
        <f t="shared" si="11"/>
        <v>219.93383999999998</v>
      </c>
      <c r="I98" s="30" t="s">
        <v>329</v>
      </c>
      <c r="J98" s="13"/>
      <c r="K98" s="452">
        <v>251.35</v>
      </c>
      <c r="L98" s="24" t="s">
        <v>341</v>
      </c>
    </row>
    <row r="99" spans="1:14" x14ac:dyDescent="0.2">
      <c r="A99" s="33" t="s">
        <v>256</v>
      </c>
      <c r="B99" s="7"/>
      <c r="C99" s="313">
        <f>156.87*1.03</f>
        <v>161.5761</v>
      </c>
      <c r="D99" s="312">
        <f t="shared" si="12"/>
        <v>32.315220000000004</v>
      </c>
      <c r="E99" s="313">
        <f t="shared" si="10"/>
        <v>6.463044</v>
      </c>
      <c r="F99" s="311">
        <f t="shared" si="11"/>
        <v>200.354364</v>
      </c>
      <c r="I99" s="300" t="s">
        <v>267</v>
      </c>
      <c r="J99" s="301"/>
      <c r="K99" s="447">
        <f>21.46*1.03^2</f>
        <v>22.766914</v>
      </c>
      <c r="L99" s="1376" t="s">
        <v>288</v>
      </c>
      <c r="M99" s="1368"/>
      <c r="N99" s="1377"/>
    </row>
    <row r="100" spans="1:14" ht="17" thickBot="1" x14ac:dyDescent="0.25">
      <c r="A100" s="395" t="s">
        <v>257</v>
      </c>
      <c r="B100" s="7"/>
      <c r="C100" s="313">
        <f>250.47*1.03</f>
        <v>257.98410000000001</v>
      </c>
      <c r="D100" s="312">
        <f t="shared" si="12"/>
        <v>51.596820000000008</v>
      </c>
      <c r="E100" s="313">
        <f t="shared" si="10"/>
        <v>10.319364</v>
      </c>
      <c r="F100" s="311">
        <f t="shared" si="11"/>
        <v>319.900284</v>
      </c>
      <c r="I100" s="309"/>
      <c r="J100" s="297"/>
      <c r="K100" s="297"/>
      <c r="L100" s="1380"/>
      <c r="M100" s="1381"/>
      <c r="N100" s="1382"/>
    </row>
    <row r="101" spans="1:14" ht="17" thickBot="1" x14ac:dyDescent="0.25">
      <c r="A101" s="395" t="s">
        <v>88</v>
      </c>
      <c r="B101" s="7"/>
      <c r="C101" s="313">
        <f>124.18*1.03</f>
        <v>127.90540000000001</v>
      </c>
      <c r="D101" s="312">
        <f t="shared" si="12"/>
        <v>25.581080000000004</v>
      </c>
      <c r="E101" s="313">
        <f t="shared" si="10"/>
        <v>5.1162160000000005</v>
      </c>
      <c r="F101" s="311">
        <f t="shared" si="11"/>
        <v>158.60269600000004</v>
      </c>
      <c r="I101" s="30" t="s">
        <v>198</v>
      </c>
      <c r="J101" s="13"/>
      <c r="K101" s="453">
        <v>0.115</v>
      </c>
      <c r="L101" s="30" t="s">
        <v>289</v>
      </c>
      <c r="M101" s="13"/>
      <c r="N101" s="320"/>
    </row>
    <row r="102" spans="1:14" ht="15" customHeight="1" x14ac:dyDescent="0.2">
      <c r="A102" s="395" t="s">
        <v>49</v>
      </c>
      <c r="B102" s="7"/>
      <c r="C102" s="313">
        <f>202.59*1.03</f>
        <v>208.6677</v>
      </c>
      <c r="D102" s="312">
        <f t="shared" si="12"/>
        <v>41.733540000000005</v>
      </c>
      <c r="E102" s="313">
        <f t="shared" si="10"/>
        <v>8.3467079999999996</v>
      </c>
      <c r="F102" s="311">
        <f t="shared" si="11"/>
        <v>258.74794800000001</v>
      </c>
      <c r="I102" s="300" t="s">
        <v>268</v>
      </c>
      <c r="J102" s="301"/>
      <c r="K102" s="454">
        <v>20</v>
      </c>
      <c r="L102" s="1383" t="s">
        <v>327</v>
      </c>
      <c r="M102" s="1384"/>
      <c r="N102" s="1385"/>
    </row>
    <row r="103" spans="1:14" x14ac:dyDescent="0.2">
      <c r="A103" s="395" t="s">
        <v>50</v>
      </c>
      <c r="B103" s="7"/>
      <c r="C103" s="313">
        <v>37.5</v>
      </c>
      <c r="D103" s="312">
        <f t="shared" si="12"/>
        <v>7.5</v>
      </c>
      <c r="E103" s="313">
        <f>C103*0.04</f>
        <v>1.5</v>
      </c>
      <c r="F103" s="311">
        <f t="shared" si="11"/>
        <v>46.5</v>
      </c>
      <c r="I103" s="33" t="s">
        <v>269</v>
      </c>
      <c r="J103" s="7"/>
      <c r="K103" s="455">
        <v>30</v>
      </c>
      <c r="L103" s="1386"/>
      <c r="M103" s="1387"/>
      <c r="N103" s="1388"/>
    </row>
    <row r="104" spans="1:14" ht="15" customHeight="1" thickBot="1" x14ac:dyDescent="0.25">
      <c r="A104" s="406" t="s">
        <v>350</v>
      </c>
      <c r="B104" s="297"/>
      <c r="C104" s="315">
        <f>121.65*1.03</f>
        <v>125.29950000000001</v>
      </c>
      <c r="D104" s="314">
        <f t="shared" si="12"/>
        <v>25.059900000000003</v>
      </c>
      <c r="E104" s="315">
        <f>C104*0.04</f>
        <v>5.0119800000000003</v>
      </c>
      <c r="F104" s="316">
        <f t="shared" si="11"/>
        <v>155.37138000000002</v>
      </c>
      <c r="I104" s="33" t="s">
        <v>270</v>
      </c>
      <c r="J104" s="7"/>
      <c r="K104" s="455">
        <v>15</v>
      </c>
      <c r="L104" s="1386"/>
      <c r="M104" s="1387"/>
      <c r="N104" s="1388"/>
    </row>
    <row r="105" spans="1:14" ht="17" thickBot="1" x14ac:dyDescent="0.25">
      <c r="A105" s="317" t="s">
        <v>290</v>
      </c>
      <c r="I105" s="309" t="s">
        <v>199</v>
      </c>
      <c r="J105" s="297"/>
      <c r="K105" s="456">
        <v>0.05</v>
      </c>
      <c r="L105" s="1389"/>
      <c r="M105" s="1390"/>
      <c r="N105" s="1391"/>
    </row>
    <row r="106" spans="1:14" x14ac:dyDescent="0.2">
      <c r="A106" s="18" t="s">
        <v>338</v>
      </c>
      <c r="I106" s="300" t="s">
        <v>271</v>
      </c>
      <c r="J106" s="301"/>
      <c r="K106" s="447">
        <v>110</v>
      </c>
      <c r="L106" s="1392" t="s">
        <v>355</v>
      </c>
      <c r="M106" s="1393"/>
      <c r="N106" s="1394"/>
    </row>
    <row r="107" spans="1:14" x14ac:dyDescent="0.2">
      <c r="A107" s="18" t="s">
        <v>259</v>
      </c>
      <c r="I107" s="33" t="s">
        <v>272</v>
      </c>
      <c r="J107" s="7"/>
      <c r="K107" s="457">
        <v>0.67</v>
      </c>
      <c r="L107" s="1395"/>
      <c r="M107" s="1396"/>
      <c r="N107" s="1397"/>
    </row>
    <row r="108" spans="1:14" ht="17" thickBot="1" x14ac:dyDescent="0.25">
      <c r="A108" s="321" t="s">
        <v>280</v>
      </c>
      <c r="B108" s="321"/>
      <c r="C108" s="321"/>
      <c r="D108" s="321"/>
      <c r="E108" s="321"/>
      <c r="F108" s="321"/>
      <c r="I108" s="309" t="s">
        <v>273</v>
      </c>
      <c r="J108" s="297"/>
      <c r="K108" s="458">
        <v>0.35</v>
      </c>
      <c r="L108" s="1398"/>
      <c r="M108" s="1399"/>
      <c r="N108" s="1400"/>
    </row>
    <row r="109" spans="1:14" x14ac:dyDescent="0.2">
      <c r="A109" s="18" t="s">
        <v>279</v>
      </c>
      <c r="I109" s="300" t="s">
        <v>295</v>
      </c>
      <c r="J109" s="301"/>
      <c r="K109" s="459">
        <v>7</v>
      </c>
      <c r="L109" s="300" t="s">
        <v>326</v>
      </c>
      <c r="M109" s="301"/>
      <c r="N109" s="319"/>
    </row>
    <row r="110" spans="1:14" ht="17" thickBot="1" x14ac:dyDescent="0.25">
      <c r="I110" s="309" t="s">
        <v>200</v>
      </c>
      <c r="J110" s="297"/>
      <c r="K110" s="460">
        <v>7.0000000000000007E-2</v>
      </c>
      <c r="L110" s="309"/>
      <c r="M110" s="297"/>
      <c r="N110" s="354"/>
    </row>
    <row r="111" spans="1:14" ht="17" thickBot="1" x14ac:dyDescent="0.25">
      <c r="B111" s="1365" t="s">
        <v>213</v>
      </c>
      <c r="C111" s="1366"/>
      <c r="D111" s="1366"/>
      <c r="E111" s="1366"/>
      <c r="F111" s="1367"/>
      <c r="I111" s="300" t="s">
        <v>322</v>
      </c>
      <c r="J111" s="301"/>
      <c r="K111" s="461">
        <v>200</v>
      </c>
      <c r="L111" s="33" t="s">
        <v>323</v>
      </c>
      <c r="M111" s="7"/>
      <c r="N111" s="385"/>
    </row>
    <row r="112" spans="1:14" ht="17" thickBot="1" x14ac:dyDescent="0.25">
      <c r="B112" s="322"/>
      <c r="C112" s="304" t="s">
        <v>360</v>
      </c>
      <c r="D112" s="304" t="s">
        <v>204</v>
      </c>
      <c r="E112" s="323" t="s">
        <v>205</v>
      </c>
      <c r="F112" s="305" t="s">
        <v>183</v>
      </c>
      <c r="I112" s="309" t="s">
        <v>324</v>
      </c>
      <c r="J112" s="297"/>
      <c r="K112" s="462">
        <v>3</v>
      </c>
      <c r="L112" s="33"/>
      <c r="M112" s="7"/>
      <c r="N112" s="385"/>
    </row>
    <row r="113" spans="2:14" ht="15" customHeight="1" thickBot="1" x14ac:dyDescent="0.25">
      <c r="B113" s="306" t="s">
        <v>201</v>
      </c>
      <c r="C113" s="307" t="s">
        <v>203</v>
      </c>
      <c r="D113" s="307" t="s">
        <v>183</v>
      </c>
      <c r="E113" s="324" t="s">
        <v>98</v>
      </c>
      <c r="F113" s="308" t="s">
        <v>187</v>
      </c>
      <c r="G113" s="380"/>
      <c r="I113" s="300" t="s">
        <v>274</v>
      </c>
      <c r="J113" s="301"/>
      <c r="K113" s="463">
        <v>0.06</v>
      </c>
      <c r="L113" s="1401" t="s">
        <v>354</v>
      </c>
      <c r="M113" s="1402"/>
      <c r="N113" s="1403"/>
    </row>
    <row r="114" spans="2:14" x14ac:dyDescent="0.2">
      <c r="B114" s="325" t="s">
        <v>206</v>
      </c>
      <c r="C114" s="326" t="s">
        <v>361</v>
      </c>
      <c r="D114" s="383">
        <f>'Land Values'!D9</f>
        <v>89621383.650000006</v>
      </c>
      <c r="E114" s="466">
        <v>936540</v>
      </c>
      <c r="F114" s="327">
        <f>D114/E114</f>
        <v>95.694133352553024</v>
      </c>
      <c r="G114" s="381"/>
      <c r="I114" s="33" t="s">
        <v>275</v>
      </c>
      <c r="J114" s="7"/>
      <c r="K114" s="464">
        <v>6.2E-2</v>
      </c>
      <c r="L114" s="1404"/>
      <c r="M114" s="1405"/>
      <c r="N114" s="1406"/>
    </row>
    <row r="115" spans="2:14" x14ac:dyDescent="0.2">
      <c r="B115" s="325" t="s">
        <v>207</v>
      </c>
      <c r="C115" s="326" t="s">
        <v>359</v>
      </c>
      <c r="D115" s="384">
        <f>'Land Values'!D13</f>
        <v>30465514.850000001</v>
      </c>
      <c r="E115" s="466">
        <v>117612</v>
      </c>
      <c r="F115" s="328">
        <f>D115/E115</f>
        <v>259.03406837737646</v>
      </c>
      <c r="G115" s="381"/>
      <c r="I115" s="33" t="s">
        <v>276</v>
      </c>
      <c r="J115" s="7"/>
      <c r="K115" s="464">
        <v>6.2E-2</v>
      </c>
      <c r="L115" s="1404"/>
      <c r="M115" s="1405"/>
      <c r="N115" s="1406"/>
    </row>
    <row r="116" spans="2:14" x14ac:dyDescent="0.2">
      <c r="B116" s="325" t="s">
        <v>208</v>
      </c>
      <c r="C116" s="326" t="s">
        <v>359</v>
      </c>
      <c r="D116" s="384">
        <f>'Land Values'!D17</f>
        <v>15806939.15</v>
      </c>
      <c r="E116" s="466">
        <v>283140</v>
      </c>
      <c r="F116" s="328">
        <f>D116/E116</f>
        <v>55.827290916154553</v>
      </c>
      <c r="G116" s="383"/>
      <c r="I116" s="33" t="s">
        <v>277</v>
      </c>
      <c r="J116" s="7"/>
      <c r="K116" s="464">
        <v>0.08</v>
      </c>
      <c r="L116" s="1404"/>
      <c r="M116" s="1405"/>
      <c r="N116" s="1406"/>
    </row>
    <row r="117" spans="2:14" x14ac:dyDescent="0.2">
      <c r="B117" s="325" t="s">
        <v>318</v>
      </c>
      <c r="C117" s="326" t="s">
        <v>361</v>
      </c>
      <c r="D117" s="384">
        <f>'Land Values'!D22</f>
        <v>22620905.100000001</v>
      </c>
      <c r="E117" s="466">
        <f>'Land Values'!E22</f>
        <v>123174</v>
      </c>
      <c r="F117" s="328">
        <f>D117/E117</f>
        <v>183.65</v>
      </c>
      <c r="G117" s="384"/>
      <c r="I117" s="33" t="s">
        <v>294</v>
      </c>
      <c r="J117" s="7"/>
      <c r="K117" s="464">
        <v>6.9000000000000006E-2</v>
      </c>
      <c r="L117" s="349"/>
      <c r="M117" s="350"/>
      <c r="N117" s="351"/>
    </row>
    <row r="118" spans="2:14" ht="17" thickBot="1" x14ac:dyDescent="0.25">
      <c r="B118" s="325"/>
      <c r="C118" s="326"/>
      <c r="D118" s="384"/>
      <c r="E118" s="466"/>
      <c r="F118" s="328"/>
      <c r="G118" s="384"/>
      <c r="I118" s="309" t="s">
        <v>278</v>
      </c>
      <c r="J118" s="297"/>
      <c r="K118" s="465">
        <v>0.11</v>
      </c>
      <c r="L118" s="309"/>
      <c r="M118" s="297"/>
      <c r="N118" s="354"/>
    </row>
    <row r="119" spans="2:14" ht="17" thickBot="1" x14ac:dyDescent="0.25">
      <c r="B119" s="306" t="s">
        <v>32</v>
      </c>
      <c r="C119" s="329"/>
      <c r="D119" s="330">
        <f>SUM(D114:D118)</f>
        <v>158514742.75</v>
      </c>
      <c r="E119" s="331">
        <f>SUM(E114:E118)</f>
        <v>1460466</v>
      </c>
      <c r="F119" s="333">
        <f>K135/E119</f>
        <v>0</v>
      </c>
      <c r="G119" s="384"/>
      <c r="I119" s="1368" t="s">
        <v>283</v>
      </c>
      <c r="J119" s="1368"/>
      <c r="K119" s="1368"/>
      <c r="L119" s="1368"/>
      <c r="M119" s="1368"/>
      <c r="N119" s="1368"/>
    </row>
    <row r="120" spans="2:14" x14ac:dyDescent="0.2">
      <c r="B120" s="375" t="s">
        <v>317</v>
      </c>
      <c r="C120" s="376"/>
      <c r="D120" s="467"/>
      <c r="E120" s="468"/>
      <c r="F120" s="468"/>
      <c r="G120" s="384"/>
      <c r="I120" s="1369"/>
      <c r="J120" s="1369"/>
      <c r="K120" s="1369"/>
      <c r="L120" s="1369"/>
      <c r="M120" s="1369"/>
      <c r="N120" s="1369"/>
    </row>
    <row r="121" spans="2:14" x14ac:dyDescent="0.2">
      <c r="B121" s="375" t="s">
        <v>319</v>
      </c>
      <c r="C121" s="376"/>
      <c r="D121" s="467"/>
      <c r="E121" s="468"/>
      <c r="F121" s="468"/>
      <c r="G121" s="382"/>
      <c r="H121" s="380"/>
    </row>
    <row r="122" spans="2:14" ht="17" thickBot="1" x14ac:dyDescent="0.25">
      <c r="B122" s="35"/>
      <c r="C122" s="47"/>
      <c r="D122" s="469"/>
      <c r="E122" s="470"/>
      <c r="F122" s="470"/>
      <c r="G122" s="334"/>
      <c r="H122" s="381"/>
    </row>
    <row r="123" spans="2:14" ht="17" thickBot="1" x14ac:dyDescent="0.25">
      <c r="B123" s="471" t="s">
        <v>209</v>
      </c>
      <c r="C123" s="472"/>
      <c r="D123" s="473"/>
      <c r="E123" s="474"/>
      <c r="F123" s="475"/>
      <c r="G123" s="334"/>
      <c r="H123" s="381"/>
    </row>
    <row r="124" spans="2:14" x14ac:dyDescent="0.2">
      <c r="B124" s="377" t="s">
        <v>83</v>
      </c>
      <c r="C124" s="378"/>
      <c r="D124" s="476"/>
      <c r="E124" s="477"/>
      <c r="F124" s="478">
        <f>'Land Acquisition'!D9</f>
        <v>375134</v>
      </c>
      <c r="G124" s="469"/>
      <c r="H124" s="383"/>
    </row>
    <row r="125" spans="2:14" x14ac:dyDescent="0.2">
      <c r="B125" s="336" t="s">
        <v>291</v>
      </c>
      <c r="C125" s="337"/>
      <c r="D125" s="337"/>
      <c r="E125" s="337"/>
      <c r="F125" s="479">
        <v>0</v>
      </c>
      <c r="H125" s="384"/>
    </row>
    <row r="126" spans="2:14" x14ac:dyDescent="0.2">
      <c r="B126" s="338" t="s">
        <v>210</v>
      </c>
      <c r="C126" s="339"/>
      <c r="D126" s="339"/>
      <c r="E126" s="339"/>
      <c r="F126" s="340">
        <f>SUM(F124:F125)</f>
        <v>375134</v>
      </c>
      <c r="H126" s="384"/>
    </row>
    <row r="127" spans="2:14" x14ac:dyDescent="0.2">
      <c r="B127" s="336" t="s">
        <v>357</v>
      </c>
      <c r="C127" s="337"/>
      <c r="D127" s="337"/>
      <c r="E127" s="342" t="s">
        <v>211</v>
      </c>
      <c r="F127" s="480">
        <v>2</v>
      </c>
      <c r="H127" s="384"/>
      <c r="I127" s="380"/>
      <c r="J127" s="380"/>
      <c r="K127" s="380"/>
      <c r="L127" s="380"/>
      <c r="M127" s="7"/>
    </row>
    <row r="128" spans="2:14" ht="19" thickBot="1" x14ac:dyDescent="0.25">
      <c r="B128" s="306" t="s">
        <v>281</v>
      </c>
      <c r="C128" s="341"/>
      <c r="D128" s="341"/>
      <c r="E128" s="341"/>
      <c r="F128" s="332">
        <f>F126*F127</f>
        <v>750268</v>
      </c>
      <c r="H128" s="384"/>
      <c r="I128" s="381"/>
      <c r="J128" s="381"/>
      <c r="K128" s="381"/>
      <c r="L128" s="7"/>
    </row>
    <row r="129" spans="2:12" x14ac:dyDescent="0.2">
      <c r="B129" s="317" t="s">
        <v>325</v>
      </c>
      <c r="C129" s="317"/>
      <c r="D129" s="317"/>
      <c r="E129" s="317"/>
      <c r="F129" s="317"/>
      <c r="H129" s="382"/>
      <c r="I129" s="381"/>
      <c r="J129" s="381"/>
      <c r="K129" s="381"/>
      <c r="L129" s="7"/>
    </row>
    <row r="130" spans="2:12" x14ac:dyDescent="0.2">
      <c r="H130" s="334"/>
      <c r="I130" s="383"/>
      <c r="J130" s="383"/>
      <c r="K130" s="383"/>
      <c r="L130" s="7"/>
    </row>
    <row r="131" spans="2:12" x14ac:dyDescent="0.2">
      <c r="G131" s="35"/>
      <c r="H131" s="334"/>
      <c r="I131" s="384"/>
      <c r="J131" s="384"/>
      <c r="K131" s="384"/>
      <c r="L131" s="7"/>
    </row>
    <row r="132" spans="2:12" x14ac:dyDescent="0.2">
      <c r="H132" s="469"/>
      <c r="I132" s="384"/>
      <c r="J132" s="384"/>
      <c r="K132" s="384"/>
      <c r="L132" s="7"/>
    </row>
    <row r="133" spans="2:12" x14ac:dyDescent="0.2">
      <c r="H133" s="469"/>
      <c r="I133" s="384"/>
      <c r="J133" s="384"/>
      <c r="K133" s="384"/>
      <c r="L133" s="7"/>
    </row>
    <row r="134" spans="2:12" x14ac:dyDescent="0.2">
      <c r="H134" s="469"/>
      <c r="I134" s="384"/>
      <c r="J134" s="384"/>
      <c r="K134" s="384"/>
      <c r="L134" s="7"/>
    </row>
    <row r="135" spans="2:12" x14ac:dyDescent="0.2">
      <c r="H135" s="35"/>
      <c r="I135" s="382"/>
      <c r="J135" s="382"/>
      <c r="K135" s="382"/>
      <c r="L135" s="7"/>
    </row>
    <row r="136" spans="2:12" x14ac:dyDescent="0.2">
      <c r="H136" s="35"/>
      <c r="I136" s="334"/>
      <c r="J136" s="334"/>
      <c r="K136" s="334"/>
      <c r="L136" s="335"/>
    </row>
    <row r="137" spans="2:12" x14ac:dyDescent="0.2">
      <c r="H137" s="35"/>
      <c r="I137" s="334"/>
      <c r="J137" s="334"/>
      <c r="K137" s="334"/>
      <c r="L137" s="335"/>
    </row>
    <row r="138" spans="2:12" x14ac:dyDescent="0.2">
      <c r="H138" s="35"/>
      <c r="I138" s="469"/>
      <c r="J138" s="469"/>
      <c r="K138" s="469"/>
      <c r="L138" s="481"/>
    </row>
    <row r="139" spans="2:12" x14ac:dyDescent="0.2">
      <c r="H139" s="35"/>
      <c r="I139" s="469"/>
      <c r="J139" s="469"/>
      <c r="K139" s="469"/>
      <c r="L139" s="481"/>
    </row>
    <row r="140" spans="2:12" x14ac:dyDescent="0.2">
      <c r="I140" s="469"/>
      <c r="J140" s="469"/>
      <c r="K140" s="469"/>
      <c r="L140" s="481"/>
    </row>
    <row r="141" spans="2:12" x14ac:dyDescent="0.2">
      <c r="I141" s="35"/>
      <c r="J141" s="35"/>
      <c r="K141" s="35"/>
      <c r="L141" s="35"/>
    </row>
    <row r="142" spans="2:12" x14ac:dyDescent="0.2">
      <c r="I142" s="35"/>
      <c r="J142" s="35"/>
      <c r="K142" s="35"/>
      <c r="L142" s="35"/>
    </row>
    <row r="143" spans="2:12" x14ac:dyDescent="0.2">
      <c r="I143" s="35"/>
      <c r="J143" s="35"/>
      <c r="K143" s="35"/>
      <c r="L143" s="35"/>
    </row>
    <row r="144" spans="2:12" x14ac:dyDescent="0.2">
      <c r="I144" s="35"/>
      <c r="J144" s="35"/>
      <c r="K144" s="35"/>
      <c r="L144" s="35"/>
    </row>
    <row r="145" spans="9:12" x14ac:dyDescent="0.2">
      <c r="I145" s="35"/>
      <c r="J145" s="35"/>
      <c r="K145" s="35"/>
      <c r="L145" s="35"/>
    </row>
  </sheetData>
  <mergeCells count="8">
    <mergeCell ref="B111:F111"/>
    <mergeCell ref="I119:N120"/>
    <mergeCell ref="L91:N92"/>
    <mergeCell ref="L95:N97"/>
    <mergeCell ref="L99:N100"/>
    <mergeCell ref="L102:N105"/>
    <mergeCell ref="L106:N108"/>
    <mergeCell ref="L113:N116"/>
  </mergeCells>
  <pageMargins left="0.19791666666666699" right="0.25" top="0.75" bottom="0.75" header="0.3" footer="0.3"/>
  <pageSetup paperSize="17" scale="32" orientation="portrait" r:id="rId1"/>
  <headerFooter alignWithMargins="0">
    <oddHeader xml:space="preserve">&amp;L&amp;"Arial,Bold"2013 ULI Hines Student Urban Design Competition&amp;RTeam &amp;A 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M65"/>
  <sheetViews>
    <sheetView view="pageBreakPreview" zoomScale="80" zoomScaleSheetLayoutView="80" workbookViewId="0">
      <selection activeCell="G60" sqref="G60"/>
    </sheetView>
  </sheetViews>
  <sheetFormatPr baseColWidth="10" defaultColWidth="9.1640625" defaultRowHeight="13" x14ac:dyDescent="0.15"/>
  <cols>
    <col min="1" max="1" width="23.1640625" style="1064" customWidth="1"/>
    <col min="2" max="2" width="12.6640625" style="1104" customWidth="1"/>
    <col min="3" max="3" width="16.5" style="1104" customWidth="1"/>
    <col min="4" max="4" width="17.1640625" style="1064" customWidth="1"/>
    <col min="5" max="6" width="16" style="1064" customWidth="1"/>
    <col min="7" max="8" width="16.5" style="1064" customWidth="1"/>
    <col min="9" max="9" width="16" style="1064" customWidth="1"/>
    <col min="10" max="10" width="15.33203125" style="1064" customWidth="1"/>
    <col min="11" max="11" width="16.6640625" style="1064" customWidth="1"/>
    <col min="12" max="13" width="16.5" style="1064" customWidth="1"/>
    <col min="14" max="16384" width="9.1640625" style="1064"/>
  </cols>
  <sheetData>
    <row r="1" spans="1:13" ht="14" customHeight="1" thickBot="1" x14ac:dyDescent="0.2">
      <c r="A1" s="882"/>
      <c r="B1" s="883"/>
      <c r="C1" s="883"/>
      <c r="D1" s="882"/>
      <c r="E1" s="882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13" ht="14" customHeight="1" thickBot="1" x14ac:dyDescent="0.2">
      <c r="A2" s="882"/>
      <c r="B2" s="883"/>
      <c r="C2" s="883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14" customHeight="1" thickBot="1" x14ac:dyDescent="0.2">
      <c r="A3" s="933"/>
      <c r="B3" s="1065"/>
      <c r="C3" s="934" t="s">
        <v>58</v>
      </c>
      <c r="D3" s="935" t="s">
        <v>37</v>
      </c>
      <c r="E3" s="936"/>
      <c r="F3" s="937"/>
      <c r="G3" s="935" t="s">
        <v>79</v>
      </c>
      <c r="H3" s="938"/>
      <c r="I3" s="937"/>
      <c r="J3" s="939" t="s">
        <v>80</v>
      </c>
      <c r="K3" s="939"/>
      <c r="L3" s="936"/>
      <c r="M3" s="937"/>
    </row>
    <row r="4" spans="1:13" ht="14" customHeight="1" thickBot="1" x14ac:dyDescent="0.2">
      <c r="A4" s="941"/>
      <c r="B4" s="532"/>
      <c r="C4" s="934">
        <v>0</v>
      </c>
      <c r="D4" s="942">
        <f>C4+1</f>
        <v>1</v>
      </c>
      <c r="E4" s="943">
        <f t="shared" ref="E4:M5" si="0">D4+1</f>
        <v>2</v>
      </c>
      <c r="F4" s="944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3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</row>
    <row r="5" spans="1:13" ht="14" customHeight="1" thickBot="1" x14ac:dyDescent="0.2">
      <c r="A5" s="947"/>
      <c r="B5" s="945"/>
      <c r="C5" s="934" t="s">
        <v>362</v>
      </c>
      <c r="D5" s="942">
        <v>2020</v>
      </c>
      <c r="E5" s="943">
        <f>D5+1</f>
        <v>2021</v>
      </c>
      <c r="F5" s="944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3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</row>
    <row r="6" spans="1:13" ht="14" thickBot="1" x14ac:dyDescent="0.2">
      <c r="A6" s="1023" t="s">
        <v>10</v>
      </c>
      <c r="B6" s="1066"/>
      <c r="C6" s="1067"/>
      <c r="D6" s="1068"/>
      <c r="E6" s="1069"/>
      <c r="F6" s="1070"/>
      <c r="G6" s="1068"/>
      <c r="H6" s="1069"/>
      <c r="I6" s="1070"/>
      <c r="J6" s="1069"/>
      <c r="K6" s="1069"/>
      <c r="L6" s="1069"/>
      <c r="M6" s="1070"/>
    </row>
    <row r="7" spans="1:13" x14ac:dyDescent="0.15">
      <c r="A7" s="1182" t="s">
        <v>37</v>
      </c>
      <c r="B7" s="1197"/>
      <c r="C7" s="1198"/>
      <c r="D7" s="1199"/>
      <c r="E7" s="1197"/>
      <c r="F7" s="1200"/>
      <c r="G7" s="1199"/>
      <c r="H7" s="1197"/>
      <c r="I7" s="1200"/>
      <c r="J7" s="1197"/>
      <c r="K7" s="1197"/>
      <c r="L7" s="1197"/>
      <c r="M7" s="1200"/>
    </row>
    <row r="8" spans="1:13" ht="14" customHeight="1" x14ac:dyDescent="0.15">
      <c r="A8" s="1011" t="s">
        <v>11</v>
      </c>
      <c r="B8" s="1201">
        <v>0.02</v>
      </c>
      <c r="C8" s="1114"/>
      <c r="D8" s="1115"/>
      <c r="E8" s="1116"/>
      <c r="F8" s="1117"/>
      <c r="G8" s="1115"/>
      <c r="H8" s="1116"/>
      <c r="I8" s="1117"/>
      <c r="J8" s="1116"/>
      <c r="K8" s="1116"/>
      <c r="L8" s="1116"/>
      <c r="M8" s="1117"/>
    </row>
    <row r="9" spans="1:13" ht="14" customHeight="1" x14ac:dyDescent="0.15">
      <c r="A9" s="1011" t="s">
        <v>100</v>
      </c>
      <c r="B9" s="1106"/>
      <c r="C9" s="1114"/>
      <c r="D9" s="1118">
        <f>ROUND(('Development Schedule'!E14)/$B$21,0)</f>
        <v>23</v>
      </c>
      <c r="E9" s="1119">
        <f>ROUND(('Development Schedule'!F14)/$B$21,0)</f>
        <v>11</v>
      </c>
      <c r="F9" s="1120">
        <f>ROUND(('Development Schedule'!G14)/$B$21,0)</f>
        <v>0</v>
      </c>
      <c r="G9" s="1119">
        <f>ROUND(('Development Schedule'!H14)/$B$21,0)</f>
        <v>0</v>
      </c>
      <c r="H9" s="1119">
        <f>ROUND(('Development Schedule'!I14)/$B$21,0)</f>
        <v>0</v>
      </c>
      <c r="I9" s="1120">
        <f>ROUND(('Development Schedule'!J14)/$B$21,0)</f>
        <v>0</v>
      </c>
      <c r="J9" s="1119">
        <f>ROUND(('Development Schedule'!K14)/$B$21,0)</f>
        <v>0</v>
      </c>
      <c r="K9" s="1119">
        <f>ROUND(('Development Schedule'!L14)/$B$21,0)</f>
        <v>0</v>
      </c>
      <c r="L9" s="1119">
        <f>ROUND(('Development Schedule'!M14)/$B$21,0)</f>
        <v>0</v>
      </c>
      <c r="M9" s="1120">
        <f>ROUND(('Development Schedule'!N14)/$B$21,0)</f>
        <v>0</v>
      </c>
    </row>
    <row r="10" spans="1:13" ht="14" customHeight="1" x14ac:dyDescent="0.15">
      <c r="A10" s="1011" t="s">
        <v>110</v>
      </c>
      <c r="B10" s="1106"/>
      <c r="C10" s="1114"/>
      <c r="D10" s="1118">
        <v>0</v>
      </c>
      <c r="E10" s="1119">
        <f>ROUNDUP($C$53/3,0)</f>
        <v>12</v>
      </c>
      <c r="F10" s="1120">
        <f>ROUNDDOWN($C$53/3,0)</f>
        <v>11</v>
      </c>
      <c r="G10" s="1119">
        <f>ROUNDDOWN($C$53/3,0)</f>
        <v>11</v>
      </c>
      <c r="H10" s="1119">
        <v>0</v>
      </c>
      <c r="I10" s="1120">
        <v>0</v>
      </c>
      <c r="J10" s="1119">
        <f>C45-SUM(H10:I10)</f>
        <v>0</v>
      </c>
      <c r="K10" s="1119">
        <v>0</v>
      </c>
      <c r="L10" s="1119">
        <f>K10</f>
        <v>0</v>
      </c>
      <c r="M10" s="1120">
        <f>L10</f>
        <v>0</v>
      </c>
    </row>
    <row r="11" spans="1:13" ht="13.5" customHeight="1" x14ac:dyDescent="0.15">
      <c r="A11" s="1011" t="s">
        <v>111</v>
      </c>
      <c r="B11" s="1038"/>
      <c r="C11" s="1112"/>
      <c r="D11" s="1118">
        <f>SUM($D10:D$10)</f>
        <v>0</v>
      </c>
      <c r="E11" s="1119">
        <f>SUM($D10:E$10)</f>
        <v>12</v>
      </c>
      <c r="F11" s="1120">
        <f>SUM($D10:F$10)</f>
        <v>23</v>
      </c>
      <c r="G11" s="1118">
        <f>SUM($D10:G$10)</f>
        <v>34</v>
      </c>
      <c r="H11" s="1119">
        <f>SUM($D10:H$10)</f>
        <v>34</v>
      </c>
      <c r="I11" s="1120">
        <f>SUM($D10:I$10)</f>
        <v>34</v>
      </c>
      <c r="J11" s="1119">
        <f>SUM($D10:J$10)</f>
        <v>34</v>
      </c>
      <c r="K11" s="1119">
        <f>SUM($D10:K$10)</f>
        <v>34</v>
      </c>
      <c r="L11" s="1119">
        <f>SUM($D10:L$10)</f>
        <v>34</v>
      </c>
      <c r="M11" s="1120">
        <f>SUM($D10:M$10)</f>
        <v>34</v>
      </c>
    </row>
    <row r="12" spans="1:13" ht="14" customHeight="1" x14ac:dyDescent="0.15">
      <c r="A12" s="1011" t="s">
        <v>39</v>
      </c>
      <c r="B12" s="1121">
        <v>750</v>
      </c>
      <c r="C12" s="1112"/>
      <c r="D12" s="1037"/>
      <c r="E12" s="1038"/>
      <c r="F12" s="1113"/>
      <c r="G12" s="1037"/>
      <c r="H12" s="1038"/>
      <c r="I12" s="1113"/>
      <c r="J12" s="1038"/>
      <c r="K12" s="1038"/>
      <c r="L12" s="1038"/>
      <c r="M12" s="1113"/>
    </row>
    <row r="13" spans="1:13" ht="14" customHeight="1" x14ac:dyDescent="0.15">
      <c r="A13" s="1011" t="s">
        <v>42</v>
      </c>
      <c r="B13" s="1038"/>
      <c r="C13" s="1112"/>
      <c r="D13" s="1202">
        <f>SUM($D9:D$9)*$B$21</f>
        <v>17250</v>
      </c>
      <c r="E13" s="1203">
        <f>SUM($D9:E$9)*$B$21</f>
        <v>25500</v>
      </c>
      <c r="F13" s="1204">
        <f>SUM($D9:F$9)*$B$21</f>
        <v>25500</v>
      </c>
      <c r="G13" s="1202">
        <f>SUM($D9:G$9)*$B$21</f>
        <v>25500</v>
      </c>
      <c r="H13" s="1203">
        <f>SUM($D9:H$9)*$B$21</f>
        <v>25500</v>
      </c>
      <c r="I13" s="1204">
        <f>SUM($D9:I$9)*$B$21</f>
        <v>25500</v>
      </c>
      <c r="J13" s="1203">
        <f>SUM($D9:J$9)*$B$21</f>
        <v>25500</v>
      </c>
      <c r="K13" s="1203">
        <f>SUM($D9:K$9)*$B$21</f>
        <v>25500</v>
      </c>
      <c r="L13" s="1203">
        <f>SUM($D9:L$9)*$B$21</f>
        <v>25500</v>
      </c>
      <c r="M13" s="1204">
        <f>SUM($D9:M$9)*$B$21</f>
        <v>25500</v>
      </c>
    </row>
    <row r="14" spans="1:13" ht="20.5" customHeight="1" thickBot="1" x14ac:dyDescent="0.2">
      <c r="A14" s="1088" t="s">
        <v>112</v>
      </c>
      <c r="B14" s="1154"/>
      <c r="C14" s="1205">
        <f>'Summary Board'!K106</f>
        <v>393.27</v>
      </c>
      <c r="D14" s="1206">
        <f t="shared" ref="D14:M14" si="1">$C14*(1+$B$17)^D$4</f>
        <v>401.1354</v>
      </c>
      <c r="E14" s="1207">
        <f t="shared" si="1"/>
        <v>409.15810799999997</v>
      </c>
      <c r="F14" s="1208">
        <f t="shared" si="1"/>
        <v>417.34127015999997</v>
      </c>
      <c r="G14" s="1206">
        <f t="shared" si="1"/>
        <v>425.68809556319997</v>
      </c>
      <c r="H14" s="1207">
        <f t="shared" si="1"/>
        <v>434.20185747446396</v>
      </c>
      <c r="I14" s="1208">
        <f t="shared" si="1"/>
        <v>442.88589462395328</v>
      </c>
      <c r="J14" s="1207">
        <f t="shared" si="1"/>
        <v>451.74361251643228</v>
      </c>
      <c r="K14" s="1207">
        <f t="shared" si="1"/>
        <v>460.77848476676093</v>
      </c>
      <c r="L14" s="1207">
        <f t="shared" si="1"/>
        <v>469.99405446209619</v>
      </c>
      <c r="M14" s="1208">
        <f t="shared" si="1"/>
        <v>479.39393555133813</v>
      </c>
    </row>
    <row r="15" spans="1:13" ht="4" hidden="1" customHeight="1" thickBot="1" x14ac:dyDescent="0.2">
      <c r="A15" s="1011"/>
      <c r="B15" s="1038"/>
      <c r="C15" s="1134"/>
      <c r="D15" s="1135"/>
      <c r="E15" s="1126"/>
      <c r="F15" s="1127"/>
      <c r="G15" s="1135"/>
      <c r="H15" s="1126"/>
      <c r="I15" s="1127"/>
      <c r="J15" s="1126"/>
      <c r="K15" s="1126"/>
      <c r="L15" s="1126"/>
      <c r="M15" s="1127"/>
    </row>
    <row r="16" spans="1:13" x14ac:dyDescent="0.15">
      <c r="A16" s="1182" t="s">
        <v>79</v>
      </c>
      <c r="B16" s="1197"/>
      <c r="C16" s="1198"/>
      <c r="D16" s="1199"/>
      <c r="E16" s="1197"/>
      <c r="F16" s="1200"/>
      <c r="G16" s="1199"/>
      <c r="H16" s="1197"/>
      <c r="I16" s="1200"/>
      <c r="J16" s="1197"/>
      <c r="K16" s="1197"/>
      <c r="L16" s="1197"/>
      <c r="M16" s="1200"/>
    </row>
    <row r="17" spans="1:13" ht="14" customHeight="1" x14ac:dyDescent="0.15">
      <c r="A17" s="1011" t="s">
        <v>11</v>
      </c>
      <c r="B17" s="1106">
        <v>0.02</v>
      </c>
      <c r="C17" s="1114"/>
      <c r="D17" s="1115"/>
      <c r="E17" s="1116"/>
      <c r="F17" s="1117"/>
      <c r="G17" s="1115"/>
      <c r="H17" s="1116"/>
      <c r="I17" s="1117"/>
      <c r="J17" s="1116"/>
      <c r="K17" s="1116"/>
      <c r="L17" s="1116"/>
      <c r="M17" s="1117"/>
    </row>
    <row r="18" spans="1:13" ht="14" customHeight="1" x14ac:dyDescent="0.15">
      <c r="A18" s="1011" t="s">
        <v>100</v>
      </c>
      <c r="B18" s="1106"/>
      <c r="C18" s="1114"/>
      <c r="D18" s="1118">
        <f>ROUND(('Development Schedule'!E42)/$B$21,0)</f>
        <v>0</v>
      </c>
      <c r="E18" s="1119">
        <f>ROUND(('Development Schedule'!F42)/$B$21,0)</f>
        <v>0</v>
      </c>
      <c r="F18" s="1120">
        <f>ROUND(('Development Schedule'!G42)/$B$21,0)</f>
        <v>0</v>
      </c>
      <c r="G18" s="1118">
        <f>ROUND(('Development Schedule'!H42)/$B$21,0)</f>
        <v>0</v>
      </c>
      <c r="H18" s="1119">
        <f>ROUND(('Development Schedule'!I42)/$B$21,0)</f>
        <v>0</v>
      </c>
      <c r="I18" s="1120">
        <f>ROUND(('Development Schedule'!J42)/$B$21,0)</f>
        <v>0</v>
      </c>
      <c r="J18" s="1119">
        <f>ROUND(('Development Schedule'!K42)/$B$21,0)</f>
        <v>0</v>
      </c>
      <c r="K18" s="1119">
        <f>ROUND(('Development Schedule'!L42)/$B$21,0)</f>
        <v>0</v>
      </c>
      <c r="L18" s="1119">
        <f>ROUND(('Development Schedule'!M42)/$B$21,0)</f>
        <v>0</v>
      </c>
      <c r="M18" s="1120">
        <f>ROUND(('Development Schedule'!N42)/$B$21,0)</f>
        <v>0</v>
      </c>
    </row>
    <row r="19" spans="1:13" ht="14" customHeight="1" x14ac:dyDescent="0.15">
      <c r="A19" s="1011" t="s">
        <v>110</v>
      </c>
      <c r="B19" s="1106"/>
      <c r="C19" s="1114"/>
      <c r="D19" s="1118">
        <v>0</v>
      </c>
      <c r="E19" s="1119">
        <f>D19</f>
        <v>0</v>
      </c>
      <c r="F19" s="1120">
        <f>E19</f>
        <v>0</v>
      </c>
      <c r="G19" s="1118">
        <f>F19</f>
        <v>0</v>
      </c>
      <c r="H19" s="1119">
        <f>ROUND($C$54/3,0)</f>
        <v>0</v>
      </c>
      <c r="I19" s="1120">
        <f>ROUND($C$54/3,0)</f>
        <v>0</v>
      </c>
      <c r="J19" s="1119">
        <f>C54-SUM(H19:I19)</f>
        <v>0</v>
      </c>
      <c r="K19" s="1119">
        <v>0</v>
      </c>
      <c r="L19" s="1119">
        <f>K19</f>
        <v>0</v>
      </c>
      <c r="M19" s="1120">
        <f>L19</f>
        <v>0</v>
      </c>
    </row>
    <row r="20" spans="1:13" ht="13.5" customHeight="1" x14ac:dyDescent="0.15">
      <c r="A20" s="1011" t="s">
        <v>111</v>
      </c>
      <c r="B20" s="1038"/>
      <c r="C20" s="1112"/>
      <c r="D20" s="1118">
        <f>SUM($D$19:D19)</f>
        <v>0</v>
      </c>
      <c r="E20" s="1119">
        <f>SUM($D$19:E19)</f>
        <v>0</v>
      </c>
      <c r="F20" s="1120">
        <f>SUM($D$19:F19)</f>
        <v>0</v>
      </c>
      <c r="G20" s="1118">
        <f>SUM($D$19:G19)</f>
        <v>0</v>
      </c>
      <c r="H20" s="1119">
        <f>SUM($D$19:H19)</f>
        <v>0</v>
      </c>
      <c r="I20" s="1120">
        <f>SUM($D$19:I19)</f>
        <v>0</v>
      </c>
      <c r="J20" s="1119">
        <f>SUM($D$19:J19)</f>
        <v>0</v>
      </c>
      <c r="K20" s="1119">
        <f>SUM($D$19:K19)</f>
        <v>0</v>
      </c>
      <c r="L20" s="1119">
        <f>SUM($D$19:L19)</f>
        <v>0</v>
      </c>
      <c r="M20" s="1120">
        <f>SUM($D$19:M19)</f>
        <v>0</v>
      </c>
    </row>
    <row r="21" spans="1:13" ht="14" customHeight="1" x14ac:dyDescent="0.15">
      <c r="A21" s="1011" t="s">
        <v>39</v>
      </c>
      <c r="B21" s="1121">
        <v>750</v>
      </c>
      <c r="C21" s="1112"/>
      <c r="D21" s="1037"/>
      <c r="E21" s="1038"/>
      <c r="F21" s="1113"/>
      <c r="G21" s="1037"/>
      <c r="H21" s="1038"/>
      <c r="I21" s="1113"/>
      <c r="J21" s="1038"/>
      <c r="K21" s="1038"/>
      <c r="L21" s="1038"/>
      <c r="M21" s="1113"/>
    </row>
    <row r="22" spans="1:13" ht="14" customHeight="1" x14ac:dyDescent="0.15">
      <c r="A22" s="1011" t="s">
        <v>42</v>
      </c>
      <c r="B22" s="1038"/>
      <c r="C22" s="1112"/>
      <c r="D22" s="1202">
        <f>SUM($D$18:D18)*$B$21</f>
        <v>0</v>
      </c>
      <c r="E22" s="1203">
        <f>SUM($D$18:E18)*$B$21</f>
        <v>0</v>
      </c>
      <c r="F22" s="1204">
        <f>SUM($D$18:F18)*$B$21</f>
        <v>0</v>
      </c>
      <c r="G22" s="1202">
        <f>SUM($D$18:G18)*$B$21</f>
        <v>0</v>
      </c>
      <c r="H22" s="1203">
        <f>SUM($D$18:H18)*$B$21</f>
        <v>0</v>
      </c>
      <c r="I22" s="1204">
        <f>SUM($D$18:I18)*$B$21</f>
        <v>0</v>
      </c>
      <c r="J22" s="1203">
        <f>SUM($D$18:J18)*$B$21</f>
        <v>0</v>
      </c>
      <c r="K22" s="1203">
        <f>SUM($D$18:K18)*$B$21</f>
        <v>0</v>
      </c>
      <c r="L22" s="1203">
        <f>SUM($D$18:L18)*$B$21</f>
        <v>0</v>
      </c>
      <c r="M22" s="1204">
        <f>SUM($D$18:M18)*$B$21</f>
        <v>0</v>
      </c>
    </row>
    <row r="23" spans="1:13" ht="14" customHeight="1" thickBot="1" x14ac:dyDescent="0.2">
      <c r="A23" s="1088" t="s">
        <v>112</v>
      </c>
      <c r="B23" s="1154"/>
      <c r="C23" s="1205">
        <f>C14</f>
        <v>393.27</v>
      </c>
      <c r="D23" s="1206">
        <f t="shared" ref="D23:M23" si="2">$C23*(1+$B$17)^D$4</f>
        <v>401.1354</v>
      </c>
      <c r="E23" s="1207">
        <f t="shared" si="2"/>
        <v>409.15810799999997</v>
      </c>
      <c r="F23" s="1208">
        <f t="shared" si="2"/>
        <v>417.34127015999997</v>
      </c>
      <c r="G23" s="1206">
        <f t="shared" si="2"/>
        <v>425.68809556319997</v>
      </c>
      <c r="H23" s="1207">
        <f t="shared" si="2"/>
        <v>434.20185747446396</v>
      </c>
      <c r="I23" s="1208">
        <f t="shared" si="2"/>
        <v>442.88589462395328</v>
      </c>
      <c r="J23" s="1207">
        <f t="shared" si="2"/>
        <v>451.74361251643228</v>
      </c>
      <c r="K23" s="1207">
        <f t="shared" si="2"/>
        <v>460.77848476676093</v>
      </c>
      <c r="L23" s="1207">
        <f t="shared" si="2"/>
        <v>469.99405446209619</v>
      </c>
      <c r="M23" s="1208">
        <f t="shared" si="2"/>
        <v>479.39393555133813</v>
      </c>
    </row>
    <row r="24" spans="1:13" ht="4.5" customHeight="1" x14ac:dyDescent="0.15">
      <c r="A24" s="1097"/>
      <c r="B24" s="1197"/>
      <c r="C24" s="1209"/>
      <c r="D24" s="1210"/>
      <c r="E24" s="1211"/>
      <c r="F24" s="1212"/>
      <c r="G24" s="1210"/>
      <c r="H24" s="1211"/>
      <c r="I24" s="1212"/>
      <c r="J24" s="1211"/>
      <c r="K24" s="1211"/>
      <c r="L24" s="1211"/>
      <c r="M24" s="1212"/>
    </row>
    <row r="25" spans="1:13" x14ac:dyDescent="0.15">
      <c r="A25" s="1071" t="s">
        <v>80</v>
      </c>
      <c r="B25" s="1038"/>
      <c r="C25" s="1112"/>
      <c r="D25" s="1037"/>
      <c r="E25" s="1038"/>
      <c r="F25" s="1113"/>
      <c r="G25" s="1037"/>
      <c r="H25" s="1038"/>
      <c r="I25" s="1113"/>
      <c r="J25" s="1038"/>
      <c r="K25" s="1038"/>
      <c r="L25" s="1038"/>
      <c r="M25" s="1113"/>
    </row>
    <row r="26" spans="1:13" ht="14" customHeight="1" x14ac:dyDescent="0.15">
      <c r="A26" s="1011" t="s">
        <v>11</v>
      </c>
      <c r="B26" s="1106">
        <v>0.02</v>
      </c>
      <c r="C26" s="1114"/>
      <c r="D26" s="1115"/>
      <c r="E26" s="1116"/>
      <c r="F26" s="1117"/>
      <c r="G26" s="1115"/>
      <c r="H26" s="1116"/>
      <c r="I26" s="1117"/>
      <c r="J26" s="1116"/>
      <c r="K26" s="1116"/>
      <c r="L26" s="1116"/>
      <c r="M26" s="1117"/>
    </row>
    <row r="27" spans="1:13" ht="14" customHeight="1" x14ac:dyDescent="0.15">
      <c r="A27" s="1011" t="s">
        <v>100</v>
      </c>
      <c r="B27" s="1106"/>
      <c r="C27" s="1114"/>
      <c r="D27" s="1123">
        <f>ROUND(('Development Schedule'!E68)/$B$30,0)</f>
        <v>0</v>
      </c>
      <c r="E27" s="1121">
        <f>ROUND(('Development Schedule'!F68)/$B$30,0)</f>
        <v>0</v>
      </c>
      <c r="F27" s="1124">
        <f>ROUND(('Development Schedule'!G68)/$B$30,0)</f>
        <v>0</v>
      </c>
      <c r="G27" s="1123">
        <f>ROUND(('Development Schedule'!H68)/$B$30,0)</f>
        <v>0</v>
      </c>
      <c r="H27" s="1121">
        <f>ROUND(('Development Schedule'!I68)/$B$30,0)</f>
        <v>0</v>
      </c>
      <c r="I27" s="1124">
        <f>ROUND(('Development Schedule'!J68)/$B$30,0)</f>
        <v>0</v>
      </c>
      <c r="J27" s="1121">
        <f>ROUND(('Development Schedule'!K68)/$B$30,0)</f>
        <v>8</v>
      </c>
      <c r="K27" s="1121">
        <f>ROUND(('Development Schedule'!L68)/$B$30,0)</f>
        <v>0</v>
      </c>
      <c r="L27" s="1121">
        <f>ROUND(('Development Schedule'!M68)/$B$30,0)</f>
        <v>0</v>
      </c>
      <c r="M27" s="1124">
        <f>ROUND(('Development Schedule'!N68)/$B$30,0)</f>
        <v>0</v>
      </c>
    </row>
    <row r="28" spans="1:13" ht="14" customHeight="1" x14ac:dyDescent="0.15">
      <c r="A28" s="1011" t="s">
        <v>110</v>
      </c>
      <c r="B28" s="1106"/>
      <c r="C28" s="1114"/>
      <c r="D28" s="1123">
        <v>0</v>
      </c>
      <c r="E28" s="1121">
        <f t="shared" ref="E28:K28" si="3">D28</f>
        <v>0</v>
      </c>
      <c r="F28" s="1124">
        <f t="shared" si="3"/>
        <v>0</v>
      </c>
      <c r="G28" s="1123">
        <f t="shared" si="3"/>
        <v>0</v>
      </c>
      <c r="H28" s="1121">
        <f t="shared" si="3"/>
        <v>0</v>
      </c>
      <c r="I28" s="1213">
        <f t="shared" si="3"/>
        <v>0</v>
      </c>
      <c r="J28" s="1214">
        <f t="shared" si="3"/>
        <v>0</v>
      </c>
      <c r="K28" s="1121">
        <f t="shared" si="3"/>
        <v>0</v>
      </c>
      <c r="L28" s="1121">
        <f>ROUND($C$55/2,0)</f>
        <v>4</v>
      </c>
      <c r="M28" s="1124">
        <f>ROUND($C$55/2,0)</f>
        <v>4</v>
      </c>
    </row>
    <row r="29" spans="1:13" ht="13.5" customHeight="1" x14ac:dyDescent="0.15">
      <c r="A29" s="1011" t="s">
        <v>111</v>
      </c>
      <c r="B29" s="1038"/>
      <c r="C29" s="1112"/>
      <c r="D29" s="1123">
        <f>SUM($D$28:D28)</f>
        <v>0</v>
      </c>
      <c r="E29" s="1121">
        <f>SUM($D$28:E28)</f>
        <v>0</v>
      </c>
      <c r="F29" s="1124">
        <f>SUM($D$28:F28)</f>
        <v>0</v>
      </c>
      <c r="G29" s="1123">
        <f>SUM($D$28:G28)</f>
        <v>0</v>
      </c>
      <c r="H29" s="1121">
        <f>SUM($D$28:H28)</f>
        <v>0</v>
      </c>
      <c r="I29" s="1124">
        <f>SUM($D$28:L28)</f>
        <v>4</v>
      </c>
      <c r="J29" s="1121">
        <f>SUM($D$28:M28)</f>
        <v>8</v>
      </c>
      <c r="K29" s="1121">
        <f>SUM($D$28:K28)</f>
        <v>0</v>
      </c>
      <c r="L29" s="1121">
        <f>SUM($D$28:L28)</f>
        <v>4</v>
      </c>
      <c r="M29" s="1124">
        <f>SUM($D$28:M28)</f>
        <v>8</v>
      </c>
    </row>
    <row r="30" spans="1:13" ht="14" customHeight="1" x14ac:dyDescent="0.15">
      <c r="A30" s="1011" t="s">
        <v>39</v>
      </c>
      <c r="B30" s="1121">
        <v>750</v>
      </c>
      <c r="C30" s="1112"/>
      <c r="D30" s="1123"/>
      <c r="E30" s="1121"/>
      <c r="F30" s="1124"/>
      <c r="G30" s="1123"/>
      <c r="H30" s="1121"/>
      <c r="I30" s="1124"/>
      <c r="J30" s="1121"/>
      <c r="K30" s="1121"/>
      <c r="L30" s="1121"/>
      <c r="M30" s="1124"/>
    </row>
    <row r="31" spans="1:13" ht="14" customHeight="1" x14ac:dyDescent="0.15">
      <c r="A31" s="1011" t="s">
        <v>42</v>
      </c>
      <c r="B31" s="1038"/>
      <c r="C31" s="1112"/>
      <c r="D31" s="1215">
        <f>SUM($D$27:D27)*$B$30</f>
        <v>0</v>
      </c>
      <c r="E31" s="1216">
        <f>SUM($D$27:E27)*$B$30</f>
        <v>0</v>
      </c>
      <c r="F31" s="1217">
        <f>SUM($D$27:F27)*$B$30</f>
        <v>0</v>
      </c>
      <c r="G31" s="1215">
        <f>SUM($D$27:G27)*$B$30</f>
        <v>0</v>
      </c>
      <c r="H31" s="1216">
        <f>SUM($D$27:H27)*$B$30</f>
        <v>0</v>
      </c>
      <c r="I31" s="1217">
        <f>SUM($D$27:I27)*$B$30</f>
        <v>0</v>
      </c>
      <c r="J31" s="1216">
        <f>SUM($D$27:J27)*$B$30</f>
        <v>6000</v>
      </c>
      <c r="K31" s="1216">
        <f>SUM($D$27:K27)*$B$30</f>
        <v>6000</v>
      </c>
      <c r="L31" s="1216">
        <f>SUM($D$27:L27)*$B$30</f>
        <v>6000</v>
      </c>
      <c r="M31" s="1217">
        <f>SUM($D$27:M27)*$B$30</f>
        <v>6000</v>
      </c>
    </row>
    <row r="32" spans="1:13" ht="14" customHeight="1" thickBot="1" x14ac:dyDescent="0.2">
      <c r="A32" s="1088" t="s">
        <v>112</v>
      </c>
      <c r="B32" s="1154"/>
      <c r="C32" s="1205">
        <f>C23</f>
        <v>393.27</v>
      </c>
      <c r="D32" s="1206">
        <f t="shared" ref="D32:M32" si="4">D23</f>
        <v>401.1354</v>
      </c>
      <c r="E32" s="1207">
        <f t="shared" si="4"/>
        <v>409.15810799999997</v>
      </c>
      <c r="F32" s="1208">
        <f t="shared" si="4"/>
        <v>417.34127015999997</v>
      </c>
      <c r="G32" s="1206">
        <f t="shared" si="4"/>
        <v>425.68809556319997</v>
      </c>
      <c r="H32" s="1207">
        <f t="shared" si="4"/>
        <v>434.20185747446396</v>
      </c>
      <c r="I32" s="1208">
        <f t="shared" si="4"/>
        <v>442.88589462395328</v>
      </c>
      <c r="J32" s="1207">
        <f t="shared" si="4"/>
        <v>451.74361251643228</v>
      </c>
      <c r="K32" s="1207">
        <f t="shared" si="4"/>
        <v>460.77848476676093</v>
      </c>
      <c r="L32" s="1207">
        <f t="shared" si="4"/>
        <v>469.99405446209619</v>
      </c>
      <c r="M32" s="1208">
        <f t="shared" si="4"/>
        <v>479.39393555133813</v>
      </c>
    </row>
    <row r="33" spans="1:13" ht="14" thickBot="1" x14ac:dyDescent="0.2">
      <c r="A33" s="1023" t="s">
        <v>0</v>
      </c>
      <c r="B33" s="1142"/>
      <c r="C33" s="1143"/>
      <c r="D33" s="1144"/>
      <c r="E33" s="1142"/>
      <c r="F33" s="1145"/>
      <c r="G33" s="1144"/>
      <c r="H33" s="1142"/>
      <c r="I33" s="1145"/>
      <c r="J33" s="1142"/>
      <c r="K33" s="1142"/>
      <c r="L33" s="1142"/>
      <c r="M33" s="1145"/>
    </row>
    <row r="34" spans="1:13" ht="14" customHeight="1" x14ac:dyDescent="0.15">
      <c r="A34" s="1011" t="s">
        <v>16</v>
      </c>
      <c r="B34" s="1038"/>
      <c r="C34" s="1162">
        <f>SUM(C19,C28,C10)*$B$21*C23</f>
        <v>0</v>
      </c>
      <c r="D34" s="1163">
        <f t="shared" ref="D34:M34" si="5">SUM(D19,D28,D10)*$B$21*D23</f>
        <v>0</v>
      </c>
      <c r="E34" s="1147">
        <f>SUM(E19,E28,E10)*$B$21*E23</f>
        <v>3682422.9719999996</v>
      </c>
      <c r="F34" s="1148">
        <f t="shared" si="5"/>
        <v>3443065.4788199998</v>
      </c>
      <c r="G34" s="1163">
        <f t="shared" si="5"/>
        <v>3511926.7883963999</v>
      </c>
      <c r="H34" s="1147">
        <f t="shared" si="5"/>
        <v>0</v>
      </c>
      <c r="I34" s="1148">
        <f t="shared" si="5"/>
        <v>0</v>
      </c>
      <c r="J34" s="1147">
        <f t="shared" si="5"/>
        <v>0</v>
      </c>
      <c r="K34" s="1147">
        <f t="shared" si="5"/>
        <v>0</v>
      </c>
      <c r="L34" s="1147">
        <f t="shared" si="5"/>
        <v>1409982.1633862886</v>
      </c>
      <c r="M34" s="1167">
        <f t="shared" si="5"/>
        <v>1438181.8066540144</v>
      </c>
    </row>
    <row r="35" spans="1:13" ht="14" customHeight="1" x14ac:dyDescent="0.15">
      <c r="A35" s="1011" t="s">
        <v>43</v>
      </c>
      <c r="B35" s="1106">
        <f>D58</f>
        <v>0.05</v>
      </c>
      <c r="C35" s="1168">
        <f>C34*-$B$35</f>
        <v>0</v>
      </c>
      <c r="D35" s="1169">
        <f t="shared" ref="D35:M35" si="6">D34*-$B$35</f>
        <v>0</v>
      </c>
      <c r="E35" s="1170">
        <f t="shared" si="6"/>
        <v>-184121.14859999999</v>
      </c>
      <c r="F35" s="1171">
        <f t="shared" si="6"/>
        <v>-172153.27394099999</v>
      </c>
      <c r="G35" s="1169">
        <f t="shared" si="6"/>
        <v>-175596.33941982</v>
      </c>
      <c r="H35" s="1170">
        <f t="shared" si="6"/>
        <v>0</v>
      </c>
      <c r="I35" s="1171">
        <f t="shared" si="6"/>
        <v>0</v>
      </c>
      <c r="J35" s="1170">
        <f t="shared" si="6"/>
        <v>0</v>
      </c>
      <c r="K35" s="1170">
        <f t="shared" si="6"/>
        <v>0</v>
      </c>
      <c r="L35" s="1170">
        <f t="shared" si="6"/>
        <v>-70499.108169314437</v>
      </c>
      <c r="M35" s="1171">
        <f t="shared" si="6"/>
        <v>-71909.090332700725</v>
      </c>
    </row>
    <row r="36" spans="1:13" ht="14" customHeight="1" x14ac:dyDescent="0.15">
      <c r="A36" s="1099" t="s">
        <v>44</v>
      </c>
      <c r="B36" s="1149">
        <f>D59</f>
        <v>0.05</v>
      </c>
      <c r="C36" s="1150">
        <f>C34*-$B$36</f>
        <v>0</v>
      </c>
      <c r="D36" s="1151">
        <f>D34*-$B$36</f>
        <v>0</v>
      </c>
      <c r="E36" s="1152">
        <f t="shared" ref="E36:M36" si="7">E34*-$B$36</f>
        <v>-184121.14859999999</v>
      </c>
      <c r="F36" s="1153">
        <f t="shared" si="7"/>
        <v>-172153.27394099999</v>
      </c>
      <c r="G36" s="1151">
        <f t="shared" si="7"/>
        <v>-175596.33941982</v>
      </c>
      <c r="H36" s="1152">
        <f t="shared" si="7"/>
        <v>0</v>
      </c>
      <c r="I36" s="1153">
        <f t="shared" si="7"/>
        <v>0</v>
      </c>
      <c r="J36" s="1152">
        <f t="shared" si="7"/>
        <v>0</v>
      </c>
      <c r="K36" s="1152">
        <f t="shared" si="7"/>
        <v>0</v>
      </c>
      <c r="L36" s="1152">
        <f t="shared" si="7"/>
        <v>-70499.108169314437</v>
      </c>
      <c r="M36" s="1153">
        <f t="shared" si="7"/>
        <v>-71909.090332700725</v>
      </c>
    </row>
    <row r="37" spans="1:13" ht="14" customHeight="1" thickBot="1" x14ac:dyDescent="0.2">
      <c r="A37" s="1053" t="s">
        <v>5</v>
      </c>
      <c r="B37" s="1154"/>
      <c r="C37" s="1155">
        <f>SUM(C34:C36)</f>
        <v>0</v>
      </c>
      <c r="D37" s="1156">
        <f t="shared" ref="D37:M37" si="8">SUM(D34:D36)</f>
        <v>0</v>
      </c>
      <c r="E37" s="1157">
        <f t="shared" si="8"/>
        <v>3314180.6747999997</v>
      </c>
      <c r="F37" s="1158">
        <f t="shared" si="8"/>
        <v>3098758.9309379999</v>
      </c>
      <c r="G37" s="1156">
        <f t="shared" si="8"/>
        <v>3160734.1095567602</v>
      </c>
      <c r="H37" s="1157">
        <f t="shared" si="8"/>
        <v>0</v>
      </c>
      <c r="I37" s="1158">
        <f t="shared" si="8"/>
        <v>0</v>
      </c>
      <c r="J37" s="1157">
        <f t="shared" si="8"/>
        <v>0</v>
      </c>
      <c r="K37" s="1157">
        <f t="shared" si="8"/>
        <v>0</v>
      </c>
      <c r="L37" s="1157">
        <f t="shared" si="8"/>
        <v>1268983.9470476597</v>
      </c>
      <c r="M37" s="1158">
        <f t="shared" si="8"/>
        <v>1294363.6259886131</v>
      </c>
    </row>
    <row r="38" spans="1:13" ht="14" thickBot="1" x14ac:dyDescent="0.2">
      <c r="A38" s="1023" t="s">
        <v>2</v>
      </c>
      <c r="B38" s="1145"/>
      <c r="C38" s="1143"/>
      <c r="D38" s="1144"/>
      <c r="E38" s="1142"/>
      <c r="F38" s="1145"/>
      <c r="G38" s="1144"/>
      <c r="H38" s="1142"/>
      <c r="I38" s="1145"/>
      <c r="J38" s="1142"/>
      <c r="K38" s="1142"/>
      <c r="L38" s="1142"/>
      <c r="M38" s="1145"/>
    </row>
    <row r="39" spans="1:13" s="882" customFormat="1" x14ac:dyDescent="0.15">
      <c r="A39" s="1011" t="s">
        <v>104</v>
      </c>
      <c r="B39" s="1113"/>
      <c r="C39" s="1125">
        <f>'Summary Board'!F98</f>
        <v>289.68979200000001</v>
      </c>
      <c r="D39" s="1135">
        <f t="shared" ref="D39:M39" si="9">$C$39*(1+$B$17)^D4</f>
        <v>295.48358784000004</v>
      </c>
      <c r="E39" s="1126">
        <f t="shared" si="9"/>
        <v>301.39325959680002</v>
      </c>
      <c r="F39" s="1127">
        <f t="shared" si="9"/>
        <v>307.42112478873599</v>
      </c>
      <c r="G39" s="1135">
        <f t="shared" si="9"/>
        <v>313.56954728451075</v>
      </c>
      <c r="H39" s="1126">
        <f t="shared" si="9"/>
        <v>319.84093823020095</v>
      </c>
      <c r="I39" s="1127">
        <f t="shared" si="9"/>
        <v>326.23775699480501</v>
      </c>
      <c r="J39" s="1126">
        <f t="shared" si="9"/>
        <v>332.76251213470101</v>
      </c>
      <c r="K39" s="1126">
        <f t="shared" si="9"/>
        <v>339.41776237739504</v>
      </c>
      <c r="L39" s="1126">
        <f t="shared" si="9"/>
        <v>346.20611762494298</v>
      </c>
      <c r="M39" s="1127">
        <f t="shared" si="9"/>
        <v>353.13023997744182</v>
      </c>
    </row>
    <row r="40" spans="1:13" ht="14" customHeight="1" x14ac:dyDescent="0.15">
      <c r="A40" s="1011" t="s">
        <v>13</v>
      </c>
      <c r="B40" s="1113"/>
      <c r="C40" s="1160">
        <f>C41/SUM($C$41:$M$41)</f>
        <v>0</v>
      </c>
      <c r="D40" s="1108">
        <f t="shared" ref="D40:M40" si="10">D41/SUM($C$41:$M$41)</f>
        <v>0.51819512640672738</v>
      </c>
      <c r="E40" s="1109">
        <f t="shared" si="10"/>
        <v>0.26427951446743098</v>
      </c>
      <c r="F40" s="1161">
        <f t="shared" si="10"/>
        <v>0</v>
      </c>
      <c r="G40" s="1108">
        <f t="shared" si="10"/>
        <v>0</v>
      </c>
      <c r="H40" s="1109">
        <f t="shared" si="10"/>
        <v>0</v>
      </c>
      <c r="I40" s="1161">
        <f t="shared" si="10"/>
        <v>0</v>
      </c>
      <c r="J40" s="1109">
        <f t="shared" si="10"/>
        <v>0.21752535912584164</v>
      </c>
      <c r="K40" s="1109">
        <f t="shared" si="10"/>
        <v>0</v>
      </c>
      <c r="L40" s="1109">
        <f t="shared" si="10"/>
        <v>0</v>
      </c>
      <c r="M40" s="1161">
        <f t="shared" si="10"/>
        <v>0</v>
      </c>
    </row>
    <row r="41" spans="1:13" ht="14" customHeight="1" x14ac:dyDescent="0.15">
      <c r="A41" s="1011" t="s">
        <v>2</v>
      </c>
      <c r="B41" s="1113"/>
      <c r="C41" s="1162">
        <f>C39*'Development Schedule'!D81</f>
        <v>0</v>
      </c>
      <c r="D41" s="1163">
        <f>D39*'Development Schedule'!E82</f>
        <v>5051981.3958297605</v>
      </c>
      <c r="E41" s="1147">
        <f>E39*'Development Schedule'!F82</f>
        <v>2576510.5118731777</v>
      </c>
      <c r="F41" s="1148">
        <f>F39*'Development Schedule'!G82</f>
        <v>0</v>
      </c>
      <c r="G41" s="1163">
        <f>G39*'Development Schedule'!H82</f>
        <v>0</v>
      </c>
      <c r="H41" s="1147">
        <f>H39*'Development Schedule'!I82</f>
        <v>0</v>
      </c>
      <c r="I41" s="1148">
        <f>I39*'Development Schedule'!J82</f>
        <v>0</v>
      </c>
      <c r="J41" s="1147">
        <f>J39*'Development Schedule'!K82</f>
        <v>2120695.4898344497</v>
      </c>
      <c r="K41" s="1147">
        <f>K39*'Development Schedule'!L82</f>
        <v>0</v>
      </c>
      <c r="L41" s="1147">
        <f>L39*'Development Schedule'!M82</f>
        <v>0</v>
      </c>
      <c r="M41" s="1148">
        <f>M39*'Development Schedule'!N82</f>
        <v>0</v>
      </c>
    </row>
    <row r="42" spans="1:13" ht="14" customHeight="1" x14ac:dyDescent="0.15">
      <c r="A42" s="1099" t="s">
        <v>14</v>
      </c>
      <c r="B42" s="1218"/>
      <c r="C42" s="1150"/>
      <c r="D42" s="1151"/>
      <c r="E42" s="1152"/>
      <c r="F42" s="1153"/>
      <c r="G42" s="1151"/>
      <c r="H42" s="1152"/>
      <c r="I42" s="1153"/>
      <c r="J42" s="1152"/>
      <c r="K42" s="1152"/>
      <c r="L42" s="1152"/>
      <c r="M42" s="1153"/>
    </row>
    <row r="43" spans="1:13" ht="14" customHeight="1" thickBot="1" x14ac:dyDescent="0.2">
      <c r="A43" s="1053" t="s">
        <v>3</v>
      </c>
      <c r="B43" s="1219"/>
      <c r="C43" s="1155">
        <f>SUM(C41:C42)</f>
        <v>0</v>
      </c>
      <c r="D43" s="1156">
        <f t="shared" ref="D43:M43" si="11">SUM(D41:D42)</f>
        <v>5051981.3958297605</v>
      </c>
      <c r="E43" s="1157">
        <f t="shared" si="11"/>
        <v>2576510.5118731777</v>
      </c>
      <c r="F43" s="1158">
        <f t="shared" si="11"/>
        <v>0</v>
      </c>
      <c r="G43" s="1156">
        <f t="shared" si="11"/>
        <v>0</v>
      </c>
      <c r="H43" s="1157">
        <f t="shared" si="11"/>
        <v>0</v>
      </c>
      <c r="I43" s="1158">
        <f t="shared" si="11"/>
        <v>0</v>
      </c>
      <c r="J43" s="1157">
        <f t="shared" si="11"/>
        <v>2120695.4898344497</v>
      </c>
      <c r="K43" s="1157">
        <f t="shared" si="11"/>
        <v>0</v>
      </c>
      <c r="L43" s="1157">
        <f t="shared" si="11"/>
        <v>0</v>
      </c>
      <c r="M43" s="1158">
        <f t="shared" si="11"/>
        <v>0</v>
      </c>
    </row>
    <row r="44" spans="1:13" ht="14" thickBot="1" x14ac:dyDescent="0.2">
      <c r="A44" s="1023" t="s">
        <v>4</v>
      </c>
      <c r="B44" s="1142"/>
      <c r="C44" s="1220"/>
      <c r="D44" s="1221"/>
      <c r="E44" s="1222"/>
      <c r="F44" s="1223"/>
      <c r="G44" s="1221"/>
      <c r="H44" s="1222"/>
      <c r="I44" s="1223"/>
      <c r="J44" s="1222"/>
      <c r="K44" s="1222"/>
      <c r="L44" s="1222"/>
      <c r="M44" s="1223"/>
    </row>
    <row r="45" spans="1:13" ht="14" customHeight="1" x14ac:dyDescent="0.15">
      <c r="A45" s="1011" t="s">
        <v>5</v>
      </c>
      <c r="B45" s="1038"/>
      <c r="C45" s="1162">
        <f>C37</f>
        <v>0</v>
      </c>
      <c r="D45" s="1163">
        <f t="shared" ref="D45:L45" si="12">D37</f>
        <v>0</v>
      </c>
      <c r="E45" s="1147">
        <f t="shared" si="12"/>
        <v>3314180.6747999997</v>
      </c>
      <c r="F45" s="1148">
        <f t="shared" si="12"/>
        <v>3098758.9309379999</v>
      </c>
      <c r="G45" s="1163">
        <f t="shared" si="12"/>
        <v>3160734.1095567602</v>
      </c>
      <c r="H45" s="1147">
        <f t="shared" si="12"/>
        <v>0</v>
      </c>
      <c r="I45" s="1148">
        <f t="shared" si="12"/>
        <v>0</v>
      </c>
      <c r="J45" s="1147">
        <f t="shared" si="12"/>
        <v>0</v>
      </c>
      <c r="K45" s="1147">
        <f t="shared" si="12"/>
        <v>0</v>
      </c>
      <c r="L45" s="1147">
        <f t="shared" si="12"/>
        <v>1268983.9470476597</v>
      </c>
      <c r="M45" s="1148">
        <f>M37</f>
        <v>1294363.6259886131</v>
      </c>
    </row>
    <row r="46" spans="1:13" ht="14" customHeight="1" x14ac:dyDescent="0.15">
      <c r="A46" s="1099" t="s">
        <v>105</v>
      </c>
      <c r="B46" s="1224"/>
      <c r="C46" s="1150">
        <f>-C43</f>
        <v>0</v>
      </c>
      <c r="D46" s="1151">
        <f t="shared" ref="D46:M46" si="13">-D43</f>
        <v>-5051981.3958297605</v>
      </c>
      <c r="E46" s="1152">
        <f t="shared" si="13"/>
        <v>-2576510.5118731777</v>
      </c>
      <c r="F46" s="1153">
        <f t="shared" si="13"/>
        <v>0</v>
      </c>
      <c r="G46" s="1151">
        <f t="shared" si="13"/>
        <v>0</v>
      </c>
      <c r="H46" s="1152">
        <f t="shared" si="13"/>
        <v>0</v>
      </c>
      <c r="I46" s="1153">
        <f t="shared" si="13"/>
        <v>0</v>
      </c>
      <c r="J46" s="1152">
        <f t="shared" si="13"/>
        <v>-2120695.4898344497</v>
      </c>
      <c r="K46" s="1152">
        <f t="shared" si="13"/>
        <v>0</v>
      </c>
      <c r="L46" s="1152">
        <f t="shared" si="13"/>
        <v>0</v>
      </c>
      <c r="M46" s="1153">
        <f t="shared" si="13"/>
        <v>0</v>
      </c>
    </row>
    <row r="47" spans="1:13" ht="14" customHeight="1" thickBot="1" x14ac:dyDescent="0.2">
      <c r="A47" s="1100" t="s">
        <v>6</v>
      </c>
      <c r="B47" s="1225"/>
      <c r="C47" s="1155">
        <f>SUM(C45:C46)</f>
        <v>0</v>
      </c>
      <c r="D47" s="1156">
        <f t="shared" ref="D47:M47" si="14">SUM(D45:D46)</f>
        <v>-5051981.3958297605</v>
      </c>
      <c r="E47" s="1157">
        <f t="shared" si="14"/>
        <v>737670.16292682197</v>
      </c>
      <c r="F47" s="1158">
        <f t="shared" si="14"/>
        <v>3098758.9309379999</v>
      </c>
      <c r="G47" s="1156">
        <f t="shared" si="14"/>
        <v>3160734.1095567602</v>
      </c>
      <c r="H47" s="1157">
        <f t="shared" si="14"/>
        <v>0</v>
      </c>
      <c r="I47" s="1158">
        <f t="shared" si="14"/>
        <v>0</v>
      </c>
      <c r="J47" s="1157">
        <f t="shared" si="14"/>
        <v>-2120695.4898344497</v>
      </c>
      <c r="K47" s="1157">
        <f t="shared" si="14"/>
        <v>0</v>
      </c>
      <c r="L47" s="1157">
        <f t="shared" si="14"/>
        <v>1268983.9470476597</v>
      </c>
      <c r="M47" s="1158">
        <f t="shared" si="14"/>
        <v>1294363.6259886131</v>
      </c>
    </row>
    <row r="48" spans="1:13" ht="14" thickBot="1" x14ac:dyDescent="0.2">
      <c r="A48" s="988" t="s">
        <v>27</v>
      </c>
      <c r="B48" s="1172"/>
      <c r="C48" s="1226">
        <f>C47+NPV(D60,D47:M47)</f>
        <v>588926.67316294904</v>
      </c>
      <c r="D48" s="1037"/>
      <c r="E48" s="1038"/>
      <c r="F48" s="1113"/>
      <c r="G48" s="1037"/>
      <c r="H48" s="1038"/>
      <c r="I48" s="1113"/>
      <c r="J48" s="1038"/>
      <c r="K48" s="1038"/>
      <c r="L48" s="1038"/>
      <c r="M48" s="1113"/>
    </row>
    <row r="49" spans="1:13" ht="14" thickBot="1" x14ac:dyDescent="0.2">
      <c r="A49" s="989" t="s">
        <v>62</v>
      </c>
      <c r="B49" s="1176"/>
      <c r="C49" s="1177">
        <f>IRR(C47:M47,0)</f>
        <v>0.13910251496140358</v>
      </c>
      <c r="D49" s="1178"/>
      <c r="E49" s="1176"/>
      <c r="F49" s="1179"/>
      <c r="G49" s="1178"/>
      <c r="H49" s="1176"/>
      <c r="I49" s="1179"/>
      <c r="J49" s="1176"/>
      <c r="K49" s="1176"/>
      <c r="L49" s="1176"/>
      <c r="M49" s="1179"/>
    </row>
    <row r="50" spans="1:13" ht="14" thickBot="1" x14ac:dyDescent="0.2">
      <c r="A50" s="882"/>
      <c r="B50" s="883"/>
      <c r="C50" s="883"/>
      <c r="D50" s="882"/>
      <c r="E50" s="882"/>
      <c r="F50" s="882"/>
      <c r="G50" s="882"/>
      <c r="H50" s="882"/>
      <c r="I50" s="882"/>
      <c r="J50" s="882"/>
      <c r="K50" s="882"/>
      <c r="L50" s="882"/>
      <c r="M50" s="882"/>
    </row>
    <row r="51" spans="1:13" ht="14" thickBot="1" x14ac:dyDescent="0.2">
      <c r="A51" s="1478" t="s">
        <v>99</v>
      </c>
      <c r="B51" s="1474"/>
      <c r="C51" s="1474"/>
      <c r="D51" s="1479"/>
      <c r="E51" s="882"/>
      <c r="F51" s="882"/>
      <c r="G51" s="882"/>
      <c r="H51" s="882"/>
      <c r="I51" s="882"/>
      <c r="J51" s="882"/>
      <c r="K51" s="882"/>
      <c r="L51" s="882"/>
      <c r="M51" s="882"/>
    </row>
    <row r="52" spans="1:13" ht="14" thickBot="1" x14ac:dyDescent="0.2">
      <c r="A52" s="1056"/>
      <c r="B52" s="1052"/>
      <c r="C52" s="1102" t="s">
        <v>97</v>
      </c>
      <c r="D52" s="1103" t="s">
        <v>98</v>
      </c>
      <c r="E52" s="882"/>
      <c r="F52" s="882"/>
      <c r="G52" s="882"/>
      <c r="H52" s="882"/>
      <c r="I52" s="882"/>
      <c r="J52" s="882"/>
      <c r="K52" s="882"/>
      <c r="L52" s="882"/>
      <c r="M52" s="882"/>
    </row>
    <row r="53" spans="1:13" x14ac:dyDescent="0.15">
      <c r="A53" s="941" t="s">
        <v>37</v>
      </c>
      <c r="B53" s="532"/>
      <c r="C53" s="1074">
        <f>D53/$B$21</f>
        <v>34.19466666666667</v>
      </c>
      <c r="D53" s="1083">
        <f>SUM('Development Schedule'!E82:G82)</f>
        <v>25646</v>
      </c>
      <c r="E53" s="882"/>
      <c r="F53" s="882"/>
      <c r="G53" s="882"/>
      <c r="H53" s="882"/>
      <c r="I53" s="882"/>
      <c r="J53" s="882"/>
      <c r="K53" s="882"/>
      <c r="L53" s="882"/>
      <c r="M53" s="882"/>
    </row>
    <row r="54" spans="1:13" x14ac:dyDescent="0.15">
      <c r="A54" s="941" t="s">
        <v>79</v>
      </c>
      <c r="B54" s="532"/>
      <c r="C54" s="1074">
        <f>D54/$B$21</f>
        <v>0</v>
      </c>
      <c r="D54" s="1083">
        <f>SUM('Development Schedule'!H82:J82)</f>
        <v>0</v>
      </c>
      <c r="E54" s="882"/>
      <c r="F54" s="882"/>
      <c r="G54" s="882"/>
      <c r="H54" s="882"/>
      <c r="I54" s="882"/>
      <c r="J54" s="882"/>
      <c r="K54" s="882"/>
      <c r="L54" s="882"/>
      <c r="M54" s="882"/>
    </row>
    <row r="55" spans="1:13" ht="14" thickBot="1" x14ac:dyDescent="0.2">
      <c r="A55" s="947" t="s">
        <v>80</v>
      </c>
      <c r="B55" s="1062"/>
      <c r="C55" s="1185">
        <f>D55/$B$30</f>
        <v>8.4973333333333336</v>
      </c>
      <c r="D55" s="1186">
        <f>SUM('Development Schedule'!K82:N82)</f>
        <v>6373</v>
      </c>
      <c r="E55" s="882"/>
      <c r="F55" s="882"/>
      <c r="G55" s="882"/>
      <c r="H55" s="882"/>
      <c r="I55" s="882"/>
      <c r="J55" s="882"/>
      <c r="K55" s="882"/>
      <c r="L55" s="882"/>
      <c r="M55" s="882"/>
    </row>
    <row r="56" spans="1:13" ht="14" thickBot="1" x14ac:dyDescent="0.2">
      <c r="A56" s="882"/>
      <c r="B56" s="883"/>
      <c r="C56" s="883"/>
      <c r="D56" s="882"/>
      <c r="E56" s="882"/>
      <c r="F56" s="882"/>
      <c r="G56" s="882"/>
      <c r="H56" s="882"/>
      <c r="I56" s="882"/>
      <c r="J56" s="882"/>
      <c r="K56" s="882"/>
      <c r="L56" s="882"/>
      <c r="M56" s="882"/>
    </row>
    <row r="57" spans="1:13" ht="14" thickBot="1" x14ac:dyDescent="0.2">
      <c r="A57" s="1478" t="s">
        <v>106</v>
      </c>
      <c r="B57" s="1480"/>
      <c r="C57" s="1480"/>
      <c r="D57" s="1481"/>
      <c r="E57" s="882"/>
      <c r="F57" s="882"/>
      <c r="G57" s="882"/>
      <c r="H57" s="882"/>
      <c r="I57" s="882"/>
      <c r="J57" s="882"/>
      <c r="K57" s="882"/>
      <c r="L57" s="882"/>
      <c r="M57" s="882"/>
    </row>
    <row r="58" spans="1:13" x14ac:dyDescent="0.15">
      <c r="A58" s="941" t="s">
        <v>43</v>
      </c>
      <c r="B58" s="532"/>
      <c r="C58" s="532"/>
      <c r="D58" s="1095">
        <v>0.05</v>
      </c>
      <c r="E58" s="882"/>
      <c r="F58" s="882"/>
      <c r="G58" s="882"/>
      <c r="H58" s="882"/>
      <c r="I58" s="882"/>
      <c r="J58" s="882"/>
      <c r="K58" s="882"/>
      <c r="L58" s="882"/>
      <c r="M58" s="882"/>
    </row>
    <row r="59" spans="1:13" x14ac:dyDescent="0.15">
      <c r="A59" s="941" t="s">
        <v>44</v>
      </c>
      <c r="B59" s="532"/>
      <c r="C59" s="532"/>
      <c r="D59" s="1095">
        <v>0.05</v>
      </c>
      <c r="E59" s="882"/>
      <c r="F59" s="882"/>
      <c r="G59" s="882"/>
      <c r="H59" s="882"/>
      <c r="I59" s="882"/>
      <c r="J59" s="882"/>
      <c r="K59" s="882"/>
      <c r="L59" s="882"/>
      <c r="M59" s="882"/>
    </row>
    <row r="60" spans="1:13" ht="14" thickBot="1" x14ac:dyDescent="0.2">
      <c r="A60" s="947" t="s">
        <v>95</v>
      </c>
      <c r="B60" s="1062"/>
      <c r="C60" s="1062"/>
      <c r="D60" s="1093">
        <v>0.09</v>
      </c>
      <c r="E60" s="882"/>
      <c r="F60" s="882"/>
      <c r="G60" s="882"/>
      <c r="H60" s="882"/>
      <c r="I60" s="882"/>
      <c r="J60" s="882"/>
      <c r="K60" s="882"/>
      <c r="L60" s="882"/>
      <c r="M60" s="882"/>
    </row>
    <row r="61" spans="1:13" x14ac:dyDescent="0.15">
      <c r="A61" s="882"/>
      <c r="B61" s="883"/>
      <c r="C61" s="883"/>
      <c r="D61" s="882"/>
      <c r="E61" s="882"/>
      <c r="F61" s="882"/>
      <c r="G61" s="882"/>
      <c r="H61" s="882"/>
      <c r="I61" s="882"/>
      <c r="J61" s="882"/>
      <c r="K61" s="882"/>
      <c r="L61" s="882"/>
      <c r="M61" s="882"/>
    </row>
    <row r="62" spans="1:13" x14ac:dyDescent="0.15">
      <c r="A62" s="882"/>
      <c r="B62" s="883"/>
      <c r="C62" s="883"/>
      <c r="D62" s="882"/>
      <c r="E62" s="882"/>
      <c r="F62" s="882"/>
      <c r="G62" s="882"/>
      <c r="H62" s="882"/>
      <c r="I62" s="882"/>
      <c r="J62" s="882"/>
      <c r="K62" s="882"/>
      <c r="L62" s="882"/>
      <c r="M62" s="882"/>
    </row>
    <row r="63" spans="1:13" x14ac:dyDescent="0.15">
      <c r="A63" s="882"/>
      <c r="B63" s="883"/>
      <c r="C63" s="883"/>
      <c r="D63" s="882"/>
      <c r="E63" s="882"/>
      <c r="F63" s="882"/>
      <c r="G63" s="882"/>
      <c r="H63" s="882"/>
      <c r="I63" s="882"/>
      <c r="J63" s="882"/>
      <c r="K63" s="882"/>
      <c r="L63" s="882"/>
      <c r="M63" s="882"/>
    </row>
    <row r="64" spans="1:13" x14ac:dyDescent="0.15">
      <c r="A64" s="882"/>
      <c r="B64" s="883"/>
      <c r="C64" s="883"/>
      <c r="D64" s="882"/>
      <c r="E64" s="882"/>
      <c r="F64" s="882"/>
      <c r="G64" s="882"/>
      <c r="H64" s="882"/>
      <c r="I64" s="882"/>
      <c r="J64" s="882"/>
      <c r="K64" s="882"/>
      <c r="L64" s="882"/>
      <c r="M64" s="882"/>
    </row>
    <row r="65" spans="1:13" x14ac:dyDescent="0.15">
      <c r="A65" s="882"/>
      <c r="B65" s="883"/>
      <c r="C65" s="883"/>
      <c r="D65" s="882"/>
      <c r="E65" s="882"/>
      <c r="F65" s="882"/>
      <c r="G65" s="882"/>
      <c r="H65" s="882"/>
      <c r="I65" s="882"/>
      <c r="J65" s="882"/>
      <c r="K65" s="882"/>
      <c r="L65" s="882"/>
      <c r="M65" s="882"/>
    </row>
  </sheetData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M66"/>
  <sheetViews>
    <sheetView view="pageBreakPreview" zoomScale="80" zoomScaleNormal="80" zoomScaleSheetLayoutView="80" zoomScalePageLayoutView="80" workbookViewId="0">
      <selection activeCell="A59" sqref="A59:D59"/>
    </sheetView>
  </sheetViews>
  <sheetFormatPr baseColWidth="10" defaultColWidth="9.1640625" defaultRowHeight="13" outlineLevelRow="1" x14ac:dyDescent="0.15"/>
  <cols>
    <col min="1" max="1" width="23.5" style="1064" customWidth="1"/>
    <col min="2" max="2" width="12.83203125" style="1104" customWidth="1"/>
    <col min="3" max="3" width="18.5" style="1104" bestFit="1" customWidth="1"/>
    <col min="4" max="5" width="16.83203125" style="1064" bestFit="1" customWidth="1"/>
    <col min="6" max="6" width="13.6640625" style="1064" customWidth="1"/>
    <col min="7" max="7" width="14.83203125" style="1064" bestFit="1" customWidth="1"/>
    <col min="8" max="8" width="16.5" style="1064" bestFit="1" customWidth="1"/>
    <col min="9" max="9" width="15.6640625" style="1064" bestFit="1" customWidth="1"/>
    <col min="10" max="12" width="13.6640625" style="1064" customWidth="1"/>
    <col min="13" max="13" width="14.5" style="1064" bestFit="1" customWidth="1"/>
    <col min="14" max="16384" width="9.1640625" style="1064"/>
  </cols>
  <sheetData>
    <row r="1" spans="1:13" ht="14" customHeight="1" thickBot="1" x14ac:dyDescent="0.2">
      <c r="A1" s="882"/>
      <c r="B1" s="883"/>
      <c r="C1" s="883"/>
      <c r="D1" s="882"/>
      <c r="E1" s="882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13" ht="14" customHeight="1" thickBot="1" x14ac:dyDescent="0.2">
      <c r="A2" s="882"/>
      <c r="B2" s="883"/>
      <c r="C2" s="883"/>
      <c r="D2" s="882"/>
      <c r="E2" s="882"/>
      <c r="F2" s="882"/>
      <c r="G2" s="882"/>
      <c r="H2" s="882"/>
      <c r="I2" s="882"/>
      <c r="J2" s="882"/>
      <c r="K2" s="882"/>
      <c r="L2" s="1234"/>
      <c r="M2" s="1235"/>
    </row>
    <row r="3" spans="1:13" ht="14" customHeight="1" thickBot="1" x14ac:dyDescent="0.2">
      <c r="A3" s="933"/>
      <c r="B3" s="1065"/>
      <c r="C3" s="934" t="s">
        <v>58</v>
      </c>
      <c r="D3" s="935" t="s">
        <v>37</v>
      </c>
      <c r="E3" s="936"/>
      <c r="F3" s="937"/>
      <c r="G3" s="935" t="s">
        <v>79</v>
      </c>
      <c r="H3" s="938"/>
      <c r="I3" s="937"/>
      <c r="J3" s="935" t="s">
        <v>80</v>
      </c>
      <c r="K3" s="939"/>
      <c r="L3" s="936"/>
      <c r="M3" s="937"/>
    </row>
    <row r="4" spans="1:13" ht="14" customHeight="1" thickBot="1" x14ac:dyDescent="0.2">
      <c r="A4" s="941"/>
      <c r="B4" s="532"/>
      <c r="C4" s="934">
        <v>0</v>
      </c>
      <c r="D4" s="942">
        <f>C4+1</f>
        <v>1</v>
      </c>
      <c r="E4" s="943">
        <f t="shared" ref="E4:M5" si="0">D4+1</f>
        <v>2</v>
      </c>
      <c r="F4" s="944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2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</row>
    <row r="5" spans="1:13" ht="14" customHeight="1" thickBot="1" x14ac:dyDescent="0.2">
      <c r="A5" s="941"/>
      <c r="B5" s="1236"/>
      <c r="C5" s="1237" t="s">
        <v>362</v>
      </c>
      <c r="D5" s="1238">
        <v>2020</v>
      </c>
      <c r="E5" s="925">
        <f>D5+1</f>
        <v>2021</v>
      </c>
      <c r="F5" s="915">
        <f t="shared" si="0"/>
        <v>2022</v>
      </c>
      <c r="G5" s="1238">
        <f t="shared" si="0"/>
        <v>2023</v>
      </c>
      <c r="H5" s="925">
        <f t="shared" si="0"/>
        <v>2024</v>
      </c>
      <c r="I5" s="915">
        <f t="shared" si="0"/>
        <v>2025</v>
      </c>
      <c r="J5" s="1238">
        <f t="shared" si="0"/>
        <v>2026</v>
      </c>
      <c r="K5" s="925">
        <f t="shared" si="0"/>
        <v>2027</v>
      </c>
      <c r="L5" s="925">
        <f>K5+1</f>
        <v>2028</v>
      </c>
      <c r="M5" s="915">
        <f>L5+1</f>
        <v>2029</v>
      </c>
    </row>
    <row r="6" spans="1:13" ht="14" thickBot="1" x14ac:dyDescent="0.2">
      <c r="A6" s="1023" t="s">
        <v>10</v>
      </c>
      <c r="B6" s="1066"/>
      <c r="C6" s="1180"/>
      <c r="D6" s="1068"/>
      <c r="E6" s="1069"/>
      <c r="F6" s="1070"/>
      <c r="G6" s="1068"/>
      <c r="H6" s="1069"/>
      <c r="I6" s="1070"/>
      <c r="J6" s="1068"/>
      <c r="K6" s="1069"/>
      <c r="L6" s="1069"/>
      <c r="M6" s="1070"/>
    </row>
    <row r="7" spans="1:13" x14ac:dyDescent="0.15">
      <c r="A7" s="1071" t="s">
        <v>311</v>
      </c>
      <c r="B7" s="1038"/>
      <c r="C7" s="1037"/>
      <c r="D7" s="1037"/>
      <c r="E7" s="1038"/>
      <c r="F7" s="1113"/>
      <c r="G7" s="1037"/>
      <c r="H7" s="1038"/>
      <c r="I7" s="1113"/>
      <c r="J7" s="1037"/>
      <c r="K7" s="1038"/>
      <c r="L7" s="1038"/>
      <c r="M7" s="1113"/>
    </row>
    <row r="8" spans="1:13" ht="14" customHeight="1" x14ac:dyDescent="0.15">
      <c r="A8" s="1011" t="s">
        <v>11</v>
      </c>
      <c r="B8" s="1201">
        <v>0.02</v>
      </c>
      <c r="C8" s="1244"/>
      <c r="D8" s="1115"/>
      <c r="E8" s="1116"/>
      <c r="F8" s="1117"/>
      <c r="G8" s="1115"/>
      <c r="H8" s="1116"/>
      <c r="I8" s="1117"/>
      <c r="J8" s="1115"/>
      <c r="K8" s="1116"/>
      <c r="L8" s="1116"/>
      <c r="M8" s="1117"/>
    </row>
    <row r="9" spans="1:13" ht="14" customHeight="1" x14ac:dyDescent="0.15">
      <c r="A9" s="1011" t="s">
        <v>113</v>
      </c>
      <c r="B9" s="1038"/>
      <c r="C9" s="1123">
        <v>0</v>
      </c>
      <c r="D9" s="1123">
        <f>C9</f>
        <v>0</v>
      </c>
      <c r="E9" s="1121">
        <f>C56</f>
        <v>38884</v>
      </c>
      <c r="F9" s="1124">
        <f>E9</f>
        <v>38884</v>
      </c>
      <c r="G9" s="1123">
        <f t="shared" ref="G9:M9" si="1">F9</f>
        <v>38884</v>
      </c>
      <c r="H9" s="1121">
        <f t="shared" si="1"/>
        <v>38884</v>
      </c>
      <c r="I9" s="1124">
        <f t="shared" si="1"/>
        <v>38884</v>
      </c>
      <c r="J9" s="1123">
        <f t="shared" si="1"/>
        <v>38884</v>
      </c>
      <c r="K9" s="1121">
        <f t="shared" si="1"/>
        <v>38884</v>
      </c>
      <c r="L9" s="1121">
        <f t="shared" si="1"/>
        <v>38884</v>
      </c>
      <c r="M9" s="1124">
        <f t="shared" si="1"/>
        <v>38884</v>
      </c>
    </row>
    <row r="10" spans="1:13" ht="14" customHeight="1" x14ac:dyDescent="0.15">
      <c r="A10" s="1011" t="s">
        <v>40</v>
      </c>
      <c r="B10" s="1201">
        <v>0.9</v>
      </c>
      <c r="C10" s="1123">
        <v>0</v>
      </c>
      <c r="D10" s="1123">
        <f>C10</f>
        <v>0</v>
      </c>
      <c r="E10" s="1121">
        <f t="shared" ref="E10:M10" si="2">D10</f>
        <v>0</v>
      </c>
      <c r="F10" s="1124">
        <f>F9*B10</f>
        <v>34995.599999999999</v>
      </c>
      <c r="G10" s="1123">
        <f t="shared" si="2"/>
        <v>34995.599999999999</v>
      </c>
      <c r="H10" s="1121">
        <f t="shared" si="2"/>
        <v>34995.599999999999</v>
      </c>
      <c r="I10" s="1124">
        <f t="shared" si="2"/>
        <v>34995.599999999999</v>
      </c>
      <c r="J10" s="1123">
        <f t="shared" si="2"/>
        <v>34995.599999999999</v>
      </c>
      <c r="K10" s="1121">
        <f t="shared" si="2"/>
        <v>34995.599999999999</v>
      </c>
      <c r="L10" s="1121">
        <f t="shared" si="2"/>
        <v>34995.599999999999</v>
      </c>
      <c r="M10" s="1124">
        <f t="shared" si="2"/>
        <v>34995.599999999999</v>
      </c>
    </row>
    <row r="11" spans="1:13" ht="14" customHeight="1" x14ac:dyDescent="0.15">
      <c r="A11" s="1011" t="s">
        <v>45</v>
      </c>
      <c r="B11" s="1172"/>
      <c r="C11" s="1111">
        <v>1</v>
      </c>
      <c r="D11" s="1111">
        <f>C11</f>
        <v>1</v>
      </c>
      <c r="E11" s="1106">
        <v>0.7</v>
      </c>
      <c r="F11" s="1110">
        <v>0.115</v>
      </c>
      <c r="G11" s="1111">
        <f>F11</f>
        <v>0.115</v>
      </c>
      <c r="H11" s="1106">
        <f t="shared" ref="H11:M11" si="3">G11</f>
        <v>0.115</v>
      </c>
      <c r="I11" s="1110">
        <f t="shared" si="3"/>
        <v>0.115</v>
      </c>
      <c r="J11" s="1111">
        <f t="shared" si="3"/>
        <v>0.115</v>
      </c>
      <c r="K11" s="1106">
        <f t="shared" si="3"/>
        <v>0.115</v>
      </c>
      <c r="L11" s="1106">
        <f t="shared" si="3"/>
        <v>0.115</v>
      </c>
      <c r="M11" s="1110">
        <f t="shared" si="3"/>
        <v>0.115</v>
      </c>
    </row>
    <row r="12" spans="1:13" s="1239" customFormat="1" ht="13.5" customHeight="1" thickBot="1" x14ac:dyDescent="0.2">
      <c r="A12" s="1088" t="s">
        <v>114</v>
      </c>
      <c r="B12" s="1154"/>
      <c r="C12" s="1206">
        <f>0.88*'Summary Board'!K107</f>
        <v>39.6</v>
      </c>
      <c r="D12" s="1206">
        <f t="shared" ref="D12:M12" si="4">$C$12*(1+$B$8)^D$4</f>
        <v>40.392000000000003</v>
      </c>
      <c r="E12" s="1207">
        <f t="shared" si="4"/>
        <v>41.199840000000002</v>
      </c>
      <c r="F12" s="1208">
        <f t="shared" si="4"/>
        <v>42.023836799999998</v>
      </c>
      <c r="G12" s="1206">
        <f t="shared" si="4"/>
        <v>42.864313535999997</v>
      </c>
      <c r="H12" s="1207">
        <f t="shared" si="4"/>
        <v>43.72159980672</v>
      </c>
      <c r="I12" s="1208">
        <f t="shared" si="4"/>
        <v>44.596031802854405</v>
      </c>
      <c r="J12" s="1206">
        <f t="shared" si="4"/>
        <v>45.487952438911485</v>
      </c>
      <c r="K12" s="1207">
        <f t="shared" si="4"/>
        <v>46.397711487689719</v>
      </c>
      <c r="L12" s="1207">
        <f t="shared" si="4"/>
        <v>47.325665717443513</v>
      </c>
      <c r="M12" s="1208">
        <f t="shared" si="4"/>
        <v>48.272179031792383</v>
      </c>
    </row>
    <row r="13" spans="1:13" ht="14" customHeight="1" outlineLevel="1" x14ac:dyDescent="0.15">
      <c r="A13" s="1097" t="s">
        <v>17</v>
      </c>
      <c r="B13" s="1197"/>
      <c r="C13" s="1165">
        <f>C10*(1-C11)*C12</f>
        <v>0</v>
      </c>
      <c r="D13" s="1165">
        <f t="shared" ref="D13:M13" si="5">D10*(1-D11)*D12</f>
        <v>0</v>
      </c>
      <c r="E13" s="1166">
        <f t="shared" si="5"/>
        <v>0</v>
      </c>
      <c r="F13" s="1167">
        <f>F10*(1-F11)*F12</f>
        <v>1301524.7040595007</v>
      </c>
      <c r="G13" s="1165">
        <f t="shared" si="5"/>
        <v>1327555.1981406908</v>
      </c>
      <c r="H13" s="1166">
        <f t="shared" si="5"/>
        <v>1354106.3021035045</v>
      </c>
      <c r="I13" s="1167">
        <f t="shared" si="5"/>
        <v>1381188.4281455749</v>
      </c>
      <c r="J13" s="1165">
        <f t="shared" si="5"/>
        <v>1408812.1967084862</v>
      </c>
      <c r="K13" s="1166">
        <f t="shared" si="5"/>
        <v>1436988.4406426561</v>
      </c>
      <c r="L13" s="1166">
        <f t="shared" si="5"/>
        <v>1465728.2094555092</v>
      </c>
      <c r="M13" s="1167">
        <f t="shared" si="5"/>
        <v>1495042.7736446192</v>
      </c>
    </row>
    <row r="14" spans="1:13" ht="14" customHeight="1" outlineLevel="1" x14ac:dyDescent="0.15">
      <c r="A14" s="1011" t="s">
        <v>169</v>
      </c>
      <c r="B14" s="1038"/>
      <c r="C14" s="1169">
        <f t="shared" ref="C14:M14" si="6">C10*(1-C11)*($D$60*(1+$B$8)^C$4)</f>
        <v>0</v>
      </c>
      <c r="D14" s="1169">
        <f t="shared" si="6"/>
        <v>0</v>
      </c>
      <c r="E14" s="1170">
        <f t="shared" si="6"/>
        <v>0</v>
      </c>
      <c r="F14" s="1171">
        <f t="shared" si="6"/>
        <v>364426.91713666025</v>
      </c>
      <c r="G14" s="1169">
        <f t="shared" si="6"/>
        <v>371715.45547939342</v>
      </c>
      <c r="H14" s="1170">
        <f t="shared" si="6"/>
        <v>379149.76458898134</v>
      </c>
      <c r="I14" s="1171">
        <f t="shared" si="6"/>
        <v>386732.75988076098</v>
      </c>
      <c r="J14" s="1169">
        <f t="shared" si="6"/>
        <v>394467.41507837607</v>
      </c>
      <c r="K14" s="1170">
        <f t="shared" si="6"/>
        <v>402356.76337994367</v>
      </c>
      <c r="L14" s="1170">
        <f t="shared" si="6"/>
        <v>410403.89864754252</v>
      </c>
      <c r="M14" s="1171">
        <f t="shared" si="6"/>
        <v>418611.9766204934</v>
      </c>
    </row>
    <row r="15" spans="1:13" ht="14" customHeight="1" outlineLevel="1" thickBot="1" x14ac:dyDescent="0.2">
      <c r="A15" s="1088" t="s">
        <v>170</v>
      </c>
      <c r="B15" s="1154"/>
      <c r="C15" s="1245">
        <f t="shared" ref="C15:M15" si="7">C10*($D$60*(1+$B$8)^C$4)</f>
        <v>0</v>
      </c>
      <c r="D15" s="1245">
        <f t="shared" si="7"/>
        <v>0</v>
      </c>
      <c r="E15" s="1246">
        <f t="shared" si="7"/>
        <v>0</v>
      </c>
      <c r="F15" s="1247">
        <f t="shared" si="7"/>
        <v>411781.82727306237</v>
      </c>
      <c r="G15" s="1245">
        <f t="shared" si="7"/>
        <v>420017.46381852363</v>
      </c>
      <c r="H15" s="1246">
        <f t="shared" si="7"/>
        <v>428417.81309489417</v>
      </c>
      <c r="I15" s="1247">
        <f t="shared" si="7"/>
        <v>436986.16935679206</v>
      </c>
      <c r="J15" s="1245">
        <f t="shared" si="7"/>
        <v>445725.89274392778</v>
      </c>
      <c r="K15" s="1246">
        <f t="shared" si="7"/>
        <v>454640.4105988064</v>
      </c>
      <c r="L15" s="1246">
        <f t="shared" si="7"/>
        <v>463733.21881078254</v>
      </c>
      <c r="M15" s="1247">
        <f t="shared" si="7"/>
        <v>473007.8831869982</v>
      </c>
    </row>
    <row r="16" spans="1:13" x14ac:dyDescent="0.15">
      <c r="A16" s="1071" t="s">
        <v>310</v>
      </c>
      <c r="B16" s="1038"/>
      <c r="C16" s="1037"/>
      <c r="D16" s="1037"/>
      <c r="E16" s="1038"/>
      <c r="F16" s="1113"/>
      <c r="G16" s="1037"/>
      <c r="H16" s="1038"/>
      <c r="I16" s="1113"/>
      <c r="J16" s="1037"/>
      <c r="K16" s="1038"/>
      <c r="L16" s="1038"/>
      <c r="M16" s="1113"/>
    </row>
    <row r="17" spans="1:13" ht="14" customHeight="1" x14ac:dyDescent="0.15">
      <c r="A17" s="1011" t="s">
        <v>11</v>
      </c>
      <c r="B17" s="1201">
        <v>0.02</v>
      </c>
      <c r="C17" s="1244"/>
      <c r="D17" s="1115"/>
      <c r="E17" s="1116"/>
      <c r="F17" s="1117"/>
      <c r="G17" s="1115"/>
      <c r="H17" s="1116"/>
      <c r="I17" s="1117"/>
      <c r="J17" s="1115"/>
      <c r="K17" s="1116"/>
      <c r="L17" s="1116"/>
      <c r="M17" s="1117"/>
    </row>
    <row r="18" spans="1:13" ht="14" customHeight="1" x14ac:dyDescent="0.15">
      <c r="A18" s="1011" t="s">
        <v>113</v>
      </c>
      <c r="B18" s="1038"/>
      <c r="C18" s="1123">
        <v>0</v>
      </c>
      <c r="D18" s="1123">
        <f>C18</f>
        <v>0</v>
      </c>
      <c r="E18" s="1121">
        <f t="shared" ref="E18:M18" si="8">D18</f>
        <v>0</v>
      </c>
      <c r="F18" s="1124">
        <f>E18</f>
        <v>0</v>
      </c>
      <c r="G18" s="1123">
        <f t="shared" si="8"/>
        <v>0</v>
      </c>
      <c r="H18" s="1121">
        <f>C57</f>
        <v>210336</v>
      </c>
      <c r="I18" s="1124">
        <f t="shared" si="8"/>
        <v>210336</v>
      </c>
      <c r="J18" s="1123">
        <f t="shared" si="8"/>
        <v>210336</v>
      </c>
      <c r="K18" s="1121">
        <f t="shared" si="8"/>
        <v>210336</v>
      </c>
      <c r="L18" s="1121">
        <f t="shared" si="8"/>
        <v>210336</v>
      </c>
      <c r="M18" s="1124">
        <f t="shared" si="8"/>
        <v>210336</v>
      </c>
    </row>
    <row r="19" spans="1:13" ht="14" customHeight="1" x14ac:dyDescent="0.15">
      <c r="A19" s="1011" t="s">
        <v>40</v>
      </c>
      <c r="B19" s="1201">
        <v>0.9</v>
      </c>
      <c r="C19" s="1123">
        <v>0</v>
      </c>
      <c r="D19" s="1123">
        <f>C19</f>
        <v>0</v>
      </c>
      <c r="E19" s="1121">
        <f t="shared" ref="E19:M19" si="9">D19</f>
        <v>0</v>
      </c>
      <c r="F19" s="1124">
        <f>F18*B19</f>
        <v>0</v>
      </c>
      <c r="G19" s="1123">
        <f t="shared" si="9"/>
        <v>0</v>
      </c>
      <c r="H19" s="1121">
        <f>H18*B19</f>
        <v>189302.39999999999</v>
      </c>
      <c r="I19" s="1124">
        <f t="shared" si="9"/>
        <v>189302.39999999999</v>
      </c>
      <c r="J19" s="1123">
        <f t="shared" si="9"/>
        <v>189302.39999999999</v>
      </c>
      <c r="K19" s="1121">
        <f t="shared" si="9"/>
        <v>189302.39999999999</v>
      </c>
      <c r="L19" s="1121">
        <f t="shared" si="9"/>
        <v>189302.39999999999</v>
      </c>
      <c r="M19" s="1124">
        <f t="shared" si="9"/>
        <v>189302.39999999999</v>
      </c>
    </row>
    <row r="20" spans="1:13" ht="14" customHeight="1" x14ac:dyDescent="0.15">
      <c r="A20" s="1011" t="s">
        <v>45</v>
      </c>
      <c r="B20" s="1172"/>
      <c r="C20" s="1248">
        <v>1</v>
      </c>
      <c r="D20" s="1111">
        <f>C20</f>
        <v>1</v>
      </c>
      <c r="E20" s="1106">
        <f>D20</f>
        <v>1</v>
      </c>
      <c r="F20" s="1110">
        <v>1</v>
      </c>
      <c r="G20" s="1111">
        <v>1</v>
      </c>
      <c r="H20" s="1106">
        <v>0.7</v>
      </c>
      <c r="I20" s="1110">
        <v>0.115</v>
      </c>
      <c r="J20" s="1111">
        <f t="shared" ref="J20:M20" si="10">I20</f>
        <v>0.115</v>
      </c>
      <c r="K20" s="1106">
        <f t="shared" si="10"/>
        <v>0.115</v>
      </c>
      <c r="L20" s="1106">
        <f t="shared" si="10"/>
        <v>0.115</v>
      </c>
      <c r="M20" s="1110">
        <f t="shared" si="10"/>
        <v>0.115</v>
      </c>
    </row>
    <row r="21" spans="1:13" ht="14" customHeight="1" thickBot="1" x14ac:dyDescent="0.2">
      <c r="A21" s="1011" t="s">
        <v>114</v>
      </c>
      <c r="B21" s="1038"/>
      <c r="C21" s="1135">
        <f>C12</f>
        <v>39.6</v>
      </c>
      <c r="D21" s="1135">
        <f t="shared" ref="D21:M21" si="11">$C$12*(1+$B$8)^D$4</f>
        <v>40.392000000000003</v>
      </c>
      <c r="E21" s="1126">
        <f t="shared" si="11"/>
        <v>41.199840000000002</v>
      </c>
      <c r="F21" s="1127">
        <f t="shared" si="11"/>
        <v>42.023836799999998</v>
      </c>
      <c r="G21" s="1135">
        <f t="shared" si="11"/>
        <v>42.864313535999997</v>
      </c>
      <c r="H21" s="1126">
        <f t="shared" si="11"/>
        <v>43.72159980672</v>
      </c>
      <c r="I21" s="1127">
        <f t="shared" si="11"/>
        <v>44.596031802854405</v>
      </c>
      <c r="J21" s="1135">
        <f t="shared" si="11"/>
        <v>45.487952438911485</v>
      </c>
      <c r="K21" s="1126">
        <f t="shared" si="11"/>
        <v>46.397711487689719</v>
      </c>
      <c r="L21" s="1126">
        <f t="shared" si="11"/>
        <v>47.325665717443513</v>
      </c>
      <c r="M21" s="1127">
        <f t="shared" si="11"/>
        <v>48.272179031792383</v>
      </c>
    </row>
    <row r="22" spans="1:13" ht="14" customHeight="1" outlineLevel="1" x14ac:dyDescent="0.15">
      <c r="A22" s="1097" t="s">
        <v>17</v>
      </c>
      <c r="B22" s="1197"/>
      <c r="C22" s="1165">
        <f>C19*(1-C20)*C21</f>
        <v>0</v>
      </c>
      <c r="D22" s="1165">
        <f t="shared" ref="D22:M22" si="12">D19*(1-D20)*D21</f>
        <v>0</v>
      </c>
      <c r="E22" s="1166">
        <f t="shared" si="12"/>
        <v>0</v>
      </c>
      <c r="F22" s="1167">
        <f t="shared" si="12"/>
        <v>0</v>
      </c>
      <c r="G22" s="1165">
        <f t="shared" si="12"/>
        <v>0</v>
      </c>
      <c r="H22" s="1166">
        <f>H19*(1-H20)*H21</f>
        <v>2482981.13257549</v>
      </c>
      <c r="I22" s="1167">
        <f t="shared" si="12"/>
        <v>7471290.2279196493</v>
      </c>
      <c r="J22" s="1165">
        <f t="shared" si="12"/>
        <v>7620716.032478041</v>
      </c>
      <c r="K22" s="1166">
        <f t="shared" si="12"/>
        <v>7773130.3531276025</v>
      </c>
      <c r="L22" s="1166">
        <f t="shared" si="12"/>
        <v>7928592.9601901546</v>
      </c>
      <c r="M22" s="1167">
        <f t="shared" si="12"/>
        <v>8087164.819393958</v>
      </c>
    </row>
    <row r="23" spans="1:13" ht="14" customHeight="1" outlineLevel="1" x14ac:dyDescent="0.15">
      <c r="A23" s="1011" t="s">
        <v>169</v>
      </c>
      <c r="B23" s="1038"/>
      <c r="C23" s="1169">
        <f t="shared" ref="C23:M23" si="13">C19*(1-C20)*($D$60*(1+$B$17)^C$4)</f>
        <v>0</v>
      </c>
      <c r="D23" s="1169">
        <f t="shared" si="13"/>
        <v>0</v>
      </c>
      <c r="E23" s="1170">
        <f t="shared" si="13"/>
        <v>0</v>
      </c>
      <c r="F23" s="1171">
        <f t="shared" si="13"/>
        <v>0</v>
      </c>
      <c r="G23" s="1169">
        <f t="shared" si="13"/>
        <v>0</v>
      </c>
      <c r="H23" s="1170">
        <f t="shared" si="13"/>
        <v>695234.71712113731</v>
      </c>
      <c r="I23" s="1171">
        <f t="shared" si="13"/>
        <v>2091961.263817502</v>
      </c>
      <c r="J23" s="1169">
        <f t="shared" si="13"/>
        <v>2133800.4890938513</v>
      </c>
      <c r="K23" s="1170">
        <f t="shared" si="13"/>
        <v>2176476.4988757288</v>
      </c>
      <c r="L23" s="1170">
        <f t="shared" si="13"/>
        <v>2220006.0288532432</v>
      </c>
      <c r="M23" s="1171">
        <f t="shared" si="13"/>
        <v>2264406.1494303085</v>
      </c>
    </row>
    <row r="24" spans="1:13" ht="14" customHeight="1" outlineLevel="1" thickBot="1" x14ac:dyDescent="0.2">
      <c r="A24" s="1088" t="s">
        <v>170</v>
      </c>
      <c r="B24" s="1219"/>
      <c r="C24" s="1245">
        <f t="shared" ref="C24:M24" si="14">C19*($D$60*(1+$B$17)^C$4)</f>
        <v>0</v>
      </c>
      <c r="D24" s="1245">
        <f t="shared" si="14"/>
        <v>0</v>
      </c>
      <c r="E24" s="1246">
        <f t="shared" si="14"/>
        <v>0</v>
      </c>
      <c r="F24" s="1247">
        <f t="shared" si="14"/>
        <v>0</v>
      </c>
      <c r="G24" s="1245">
        <f t="shared" si="14"/>
        <v>0</v>
      </c>
      <c r="H24" s="1246">
        <f t="shared" si="14"/>
        <v>2317449.0570704574</v>
      </c>
      <c r="I24" s="1247">
        <f t="shared" si="14"/>
        <v>2363798.0382118663</v>
      </c>
      <c r="J24" s="1245">
        <f t="shared" si="14"/>
        <v>2411073.998976103</v>
      </c>
      <c r="K24" s="1246">
        <f t="shared" si="14"/>
        <v>2459295.4789556256</v>
      </c>
      <c r="L24" s="1246">
        <f t="shared" si="14"/>
        <v>2508481.3885347378</v>
      </c>
      <c r="M24" s="1247">
        <f t="shared" si="14"/>
        <v>2558651.0163054327</v>
      </c>
    </row>
    <row r="25" spans="1:13" ht="14" customHeight="1" outlineLevel="1" x14ac:dyDescent="0.15">
      <c r="A25" s="1071" t="s">
        <v>524</v>
      </c>
      <c r="B25" s="1200"/>
      <c r="C25" s="1198"/>
      <c r="D25" s="1170"/>
      <c r="E25" s="1170"/>
      <c r="F25" s="1171"/>
      <c r="G25" s="1170"/>
      <c r="H25" s="1170"/>
      <c r="I25" s="1171"/>
      <c r="J25" s="1170"/>
      <c r="K25" s="1170"/>
      <c r="L25" s="1170"/>
      <c r="M25" s="1171"/>
    </row>
    <row r="26" spans="1:13" ht="14" customHeight="1" outlineLevel="1" x14ac:dyDescent="0.15">
      <c r="A26" s="1011" t="s">
        <v>11</v>
      </c>
      <c r="B26" s="1201">
        <v>0.02</v>
      </c>
      <c r="C26" s="1114"/>
      <c r="D26" s="1170"/>
      <c r="E26" s="1170"/>
      <c r="F26" s="1171"/>
      <c r="G26" s="1170"/>
      <c r="H26" s="1170"/>
      <c r="I26" s="1171"/>
      <c r="J26" s="1170"/>
      <c r="K26" s="1170"/>
      <c r="L26" s="1170"/>
      <c r="M26" s="1171"/>
    </row>
    <row r="27" spans="1:13" ht="14" customHeight="1" outlineLevel="1" x14ac:dyDescent="0.15">
      <c r="A27" s="1011" t="s">
        <v>113</v>
      </c>
      <c r="B27" s="1038"/>
      <c r="C27" s="1249">
        <v>0</v>
      </c>
      <c r="D27" s="1170">
        <v>0</v>
      </c>
      <c r="E27" s="1170">
        <v>0</v>
      </c>
      <c r="F27" s="1171">
        <v>0</v>
      </c>
      <c r="G27" s="1170">
        <v>0</v>
      </c>
      <c r="H27" s="1170">
        <v>0</v>
      </c>
      <c r="I27" s="1171">
        <v>0</v>
      </c>
      <c r="J27" s="1170">
        <f>C58</f>
        <v>727934</v>
      </c>
      <c r="K27" s="1170">
        <f t="shared" ref="K27:M28" si="15">J27</f>
        <v>727934</v>
      </c>
      <c r="L27" s="1170">
        <f t="shared" si="15"/>
        <v>727934</v>
      </c>
      <c r="M27" s="1171">
        <f t="shared" si="15"/>
        <v>727934</v>
      </c>
    </row>
    <row r="28" spans="1:13" ht="14" customHeight="1" outlineLevel="1" x14ac:dyDescent="0.15">
      <c r="A28" s="1011" t="s">
        <v>40</v>
      </c>
      <c r="B28" s="1201">
        <v>0.9</v>
      </c>
      <c r="C28" s="1249">
        <v>0</v>
      </c>
      <c r="D28" s="1170">
        <v>0</v>
      </c>
      <c r="E28" s="1170">
        <v>0</v>
      </c>
      <c r="F28" s="1171">
        <v>0</v>
      </c>
      <c r="G28" s="1170">
        <v>0</v>
      </c>
      <c r="H28" s="1170">
        <v>0</v>
      </c>
      <c r="I28" s="1171">
        <v>0</v>
      </c>
      <c r="J28" s="1170">
        <f>J27*B28</f>
        <v>655140.6</v>
      </c>
      <c r="K28" s="1170">
        <f t="shared" si="15"/>
        <v>655140.6</v>
      </c>
      <c r="L28" s="1170">
        <f t="shared" si="15"/>
        <v>655140.6</v>
      </c>
      <c r="M28" s="1171">
        <f t="shared" si="15"/>
        <v>655140.6</v>
      </c>
    </row>
    <row r="29" spans="1:13" ht="14" customHeight="1" outlineLevel="1" x14ac:dyDescent="0.15">
      <c r="A29" s="1011" t="s">
        <v>45</v>
      </c>
      <c r="B29" s="1172"/>
      <c r="C29" s="1107">
        <v>1</v>
      </c>
      <c r="D29" s="1250">
        <v>1</v>
      </c>
      <c r="E29" s="1250">
        <v>1</v>
      </c>
      <c r="F29" s="1251">
        <v>1</v>
      </c>
      <c r="G29" s="1250">
        <v>1</v>
      </c>
      <c r="H29" s="1250">
        <v>1</v>
      </c>
      <c r="I29" s="1251">
        <v>1</v>
      </c>
      <c r="J29" s="1250">
        <v>0.7</v>
      </c>
      <c r="K29" s="1252">
        <v>0.115</v>
      </c>
      <c r="L29" s="1252">
        <v>0.115</v>
      </c>
      <c r="M29" s="1253">
        <v>0.115</v>
      </c>
    </row>
    <row r="30" spans="1:13" ht="14" customHeight="1" outlineLevel="1" thickBot="1" x14ac:dyDescent="0.2">
      <c r="A30" s="1011" t="s">
        <v>114</v>
      </c>
      <c r="B30" s="1154"/>
      <c r="C30" s="1205">
        <f>C12</f>
        <v>39.6</v>
      </c>
      <c r="D30" s="1206">
        <f t="shared" ref="D30:M30" si="16">$C$12*(1+$B$8)^D$4</f>
        <v>40.392000000000003</v>
      </c>
      <c r="E30" s="1207">
        <f t="shared" si="16"/>
        <v>41.199840000000002</v>
      </c>
      <c r="F30" s="1208">
        <f t="shared" si="16"/>
        <v>42.023836799999998</v>
      </c>
      <c r="G30" s="1207">
        <f t="shared" si="16"/>
        <v>42.864313535999997</v>
      </c>
      <c r="H30" s="1207">
        <f t="shared" si="16"/>
        <v>43.72159980672</v>
      </c>
      <c r="I30" s="1208">
        <f t="shared" si="16"/>
        <v>44.596031802854405</v>
      </c>
      <c r="J30" s="1207">
        <f t="shared" si="16"/>
        <v>45.487952438911485</v>
      </c>
      <c r="K30" s="1207">
        <f t="shared" si="16"/>
        <v>46.397711487689719</v>
      </c>
      <c r="L30" s="1207">
        <f t="shared" si="16"/>
        <v>47.325665717443513</v>
      </c>
      <c r="M30" s="1208">
        <f t="shared" si="16"/>
        <v>48.272179031792383</v>
      </c>
    </row>
    <row r="31" spans="1:13" ht="14" customHeight="1" outlineLevel="1" x14ac:dyDescent="0.15">
      <c r="A31" s="1097" t="s">
        <v>17</v>
      </c>
      <c r="B31" s="1113"/>
      <c r="C31" s="1146">
        <f>C28*(1-C29)*C30</f>
        <v>0</v>
      </c>
      <c r="D31" s="1147">
        <f t="shared" ref="D31:M31" si="17">D28*(1-D29)*D30</f>
        <v>0</v>
      </c>
      <c r="E31" s="1147">
        <f t="shared" si="17"/>
        <v>0</v>
      </c>
      <c r="F31" s="1148">
        <f t="shared" si="17"/>
        <v>0</v>
      </c>
      <c r="G31" s="1147">
        <f t="shared" si="17"/>
        <v>0</v>
      </c>
      <c r="H31" s="1147">
        <f t="shared" si="17"/>
        <v>0</v>
      </c>
      <c r="I31" s="1148">
        <f t="shared" si="17"/>
        <v>0</v>
      </c>
      <c r="J31" s="1147">
        <f t="shared" si="17"/>
        <v>8940301.3360799812</v>
      </c>
      <c r="K31" s="1147">
        <f t="shared" si="17"/>
        <v>26901366.720264662</v>
      </c>
      <c r="L31" s="1147">
        <f t="shared" si="17"/>
        <v>27439394.054669954</v>
      </c>
      <c r="M31" s="1148">
        <f t="shared" si="17"/>
        <v>27988181.935763355</v>
      </c>
    </row>
    <row r="32" spans="1:13" ht="14" customHeight="1" outlineLevel="1" x14ac:dyDescent="0.15">
      <c r="A32" s="1011" t="s">
        <v>169</v>
      </c>
      <c r="B32" s="1113"/>
      <c r="C32" s="1168">
        <f t="shared" ref="C32:M32" si="18">C28*(1-C29)*($D$60*(1+$B$17)^C$4)</f>
        <v>0</v>
      </c>
      <c r="D32" s="1170">
        <f t="shared" si="18"/>
        <v>0</v>
      </c>
      <c r="E32" s="1170">
        <f t="shared" si="18"/>
        <v>0</v>
      </c>
      <c r="F32" s="1171">
        <f t="shared" si="18"/>
        <v>0</v>
      </c>
      <c r="G32" s="1170">
        <f t="shared" si="18"/>
        <v>0</v>
      </c>
      <c r="H32" s="1170">
        <f t="shared" si="18"/>
        <v>0</v>
      </c>
      <c r="I32" s="1171">
        <f t="shared" si="18"/>
        <v>0</v>
      </c>
      <c r="J32" s="1170">
        <f t="shared" si="18"/>
        <v>2503284.3741023946</v>
      </c>
      <c r="K32" s="1170">
        <f t="shared" si="18"/>
        <v>7532382.6816741051</v>
      </c>
      <c r="L32" s="1170">
        <f t="shared" si="18"/>
        <v>7683030.3353075869</v>
      </c>
      <c r="M32" s="1171">
        <f t="shared" si="18"/>
        <v>7836690.9420137396</v>
      </c>
    </row>
    <row r="33" spans="1:13" ht="14" customHeight="1" outlineLevel="1" thickBot="1" x14ac:dyDescent="0.2">
      <c r="A33" s="1088" t="s">
        <v>170</v>
      </c>
      <c r="B33" s="1219"/>
      <c r="C33" s="1254">
        <f t="shared" ref="C33:M33" si="19">C28*($D$60*(1+$B$17)^C$4)</f>
        <v>0</v>
      </c>
      <c r="D33" s="1246">
        <f t="shared" si="19"/>
        <v>0</v>
      </c>
      <c r="E33" s="1246">
        <f t="shared" si="19"/>
        <v>0</v>
      </c>
      <c r="F33" s="1247">
        <f t="shared" si="19"/>
        <v>0</v>
      </c>
      <c r="G33" s="1246">
        <f t="shared" si="19"/>
        <v>0</v>
      </c>
      <c r="H33" s="1246">
        <f t="shared" si="19"/>
        <v>0</v>
      </c>
      <c r="I33" s="1247">
        <f t="shared" si="19"/>
        <v>0</v>
      </c>
      <c r="J33" s="1246">
        <f t="shared" si="19"/>
        <v>8344281.2470079809</v>
      </c>
      <c r="K33" s="1246">
        <f t="shared" si="19"/>
        <v>8511166.8719481416</v>
      </c>
      <c r="L33" s="1246">
        <f t="shared" si="19"/>
        <v>8681390.209387105</v>
      </c>
      <c r="M33" s="1247">
        <f t="shared" si="19"/>
        <v>8855018.0135748461</v>
      </c>
    </row>
    <row r="34" spans="1:13" ht="14" thickBot="1" x14ac:dyDescent="0.2">
      <c r="A34" s="1240" t="s">
        <v>0</v>
      </c>
      <c r="B34" s="1255"/>
      <c r="C34" s="1256"/>
      <c r="D34" s="1257"/>
      <c r="E34" s="1255"/>
      <c r="F34" s="1145"/>
      <c r="G34" s="1142"/>
      <c r="H34" s="1142"/>
      <c r="I34" s="1145"/>
      <c r="J34" s="1142"/>
      <c r="K34" s="1142"/>
      <c r="L34" s="1142"/>
      <c r="M34" s="1145"/>
    </row>
    <row r="35" spans="1:13" x14ac:dyDescent="0.15">
      <c r="A35" s="1011" t="s">
        <v>17</v>
      </c>
      <c r="B35" s="1038"/>
      <c r="C35" s="1162">
        <f>SUM(C13,C22)</f>
        <v>0</v>
      </c>
      <c r="D35" s="1163">
        <f t="shared" ref="D35:E35" si="20">SUM(D13,D22)</f>
        <v>0</v>
      </c>
      <c r="E35" s="1147">
        <f t="shared" si="20"/>
        <v>0</v>
      </c>
      <c r="F35" s="1148">
        <f>SUM(F13,F22,F31)</f>
        <v>1301524.7040595007</v>
      </c>
      <c r="G35" s="1147">
        <f t="shared" ref="G35:M35" si="21">SUM(G13,G22,G31)</f>
        <v>1327555.1981406908</v>
      </c>
      <c r="H35" s="1147">
        <f t="shared" si="21"/>
        <v>3837087.4346789946</v>
      </c>
      <c r="I35" s="1148">
        <f t="shared" si="21"/>
        <v>8852478.6560652237</v>
      </c>
      <c r="J35" s="1147">
        <f t="shared" si="21"/>
        <v>17969829.565266509</v>
      </c>
      <c r="K35" s="1147">
        <f t="shared" si="21"/>
        <v>36111485.514034919</v>
      </c>
      <c r="L35" s="1147">
        <f t="shared" si="21"/>
        <v>36833715.224315614</v>
      </c>
      <c r="M35" s="1148">
        <f t="shared" si="21"/>
        <v>37570389.528801933</v>
      </c>
    </row>
    <row r="36" spans="1:13" x14ac:dyDescent="0.15">
      <c r="A36" s="1011" t="s">
        <v>118</v>
      </c>
      <c r="B36" s="1038"/>
      <c r="C36" s="1168">
        <f>SUM(C14,C23)</f>
        <v>0</v>
      </c>
      <c r="D36" s="1169">
        <f t="shared" ref="D36:E36" si="22">SUM(D14,D23)</f>
        <v>0</v>
      </c>
      <c r="E36" s="1170">
        <f t="shared" si="22"/>
        <v>0</v>
      </c>
      <c r="F36" s="1171">
        <f>SUM(F14,F23,F32)</f>
        <v>364426.91713666025</v>
      </c>
      <c r="G36" s="1170">
        <f t="shared" ref="G36:M36" si="23">SUM(G14,G23,G32)</f>
        <v>371715.45547939342</v>
      </c>
      <c r="H36" s="1170">
        <f t="shared" si="23"/>
        <v>1074384.4817101187</v>
      </c>
      <c r="I36" s="1171">
        <f t="shared" si="23"/>
        <v>2478694.0236982629</v>
      </c>
      <c r="J36" s="1170">
        <f t="shared" si="23"/>
        <v>5031552.2782746218</v>
      </c>
      <c r="K36" s="1170">
        <f t="shared" si="23"/>
        <v>10111215.943929777</v>
      </c>
      <c r="L36" s="1170">
        <f t="shared" si="23"/>
        <v>10313440.262808373</v>
      </c>
      <c r="M36" s="1171">
        <f t="shared" si="23"/>
        <v>10519709.068064541</v>
      </c>
    </row>
    <row r="37" spans="1:13" s="1241" customFormat="1" x14ac:dyDescent="0.15">
      <c r="A37" s="1099" t="s">
        <v>119</v>
      </c>
      <c r="B37" s="1258"/>
      <c r="C37" s="1259">
        <f>-SUM(C15,C24)</f>
        <v>0</v>
      </c>
      <c r="D37" s="1260">
        <f t="shared" ref="D37:E37" si="24">-SUM(D15,D24)</f>
        <v>0</v>
      </c>
      <c r="E37" s="1261">
        <f t="shared" si="24"/>
        <v>0</v>
      </c>
      <c r="F37" s="1262">
        <f>-SUM(F15,F24,F33)</f>
        <v>-411781.82727306237</v>
      </c>
      <c r="G37" s="1260">
        <f t="shared" ref="G37:M37" si="25">-SUM(G15,G24,G33)</f>
        <v>-420017.46381852363</v>
      </c>
      <c r="H37" s="1261">
        <f t="shared" si="25"/>
        <v>-2745866.8701653518</v>
      </c>
      <c r="I37" s="1262">
        <f t="shared" si="25"/>
        <v>-2800784.2075686585</v>
      </c>
      <c r="J37" s="1261">
        <f t="shared" si="25"/>
        <v>-11201081.138728011</v>
      </c>
      <c r="K37" s="1261">
        <f t="shared" si="25"/>
        <v>-11425102.761502573</v>
      </c>
      <c r="L37" s="1261">
        <f t="shared" si="25"/>
        <v>-11653604.816732626</v>
      </c>
      <c r="M37" s="1262">
        <f t="shared" si="25"/>
        <v>-11886676.913067278</v>
      </c>
    </row>
    <row r="38" spans="1:13" ht="14" customHeight="1" thickBot="1" x14ac:dyDescent="0.2">
      <c r="A38" s="1100" t="s">
        <v>5</v>
      </c>
      <c r="B38" s="1154"/>
      <c r="C38" s="1155">
        <f>SUM(C35:C37)</f>
        <v>0</v>
      </c>
      <c r="D38" s="1156">
        <f t="shared" ref="D38:M38" si="26">SUM(D35:D37)</f>
        <v>0</v>
      </c>
      <c r="E38" s="1157">
        <f t="shared" si="26"/>
        <v>0</v>
      </c>
      <c r="F38" s="1158">
        <f t="shared" si="26"/>
        <v>1254169.7939230986</v>
      </c>
      <c r="G38" s="1156">
        <f t="shared" si="26"/>
        <v>1279253.1898015607</v>
      </c>
      <c r="H38" s="1157">
        <f t="shared" si="26"/>
        <v>2165605.0462237615</v>
      </c>
      <c r="I38" s="1158">
        <f t="shared" si="26"/>
        <v>8530388.4721948281</v>
      </c>
      <c r="J38" s="1156">
        <f t="shared" si="26"/>
        <v>11800300.704813119</v>
      </c>
      <c r="K38" s="1157">
        <f t="shared" si="26"/>
        <v>34797598.696462125</v>
      </c>
      <c r="L38" s="1157">
        <f t="shared" si="26"/>
        <v>35493550.670391366</v>
      </c>
      <c r="M38" s="1158">
        <f t="shared" si="26"/>
        <v>36203421.683799192</v>
      </c>
    </row>
    <row r="39" spans="1:13" ht="14" thickBot="1" x14ac:dyDescent="0.2">
      <c r="A39" s="1023" t="s">
        <v>2</v>
      </c>
      <c r="B39" s="1142"/>
      <c r="C39" s="1143"/>
      <c r="D39" s="1144"/>
      <c r="E39" s="1142"/>
      <c r="F39" s="1145"/>
      <c r="G39" s="1144"/>
      <c r="H39" s="1142"/>
      <c r="I39" s="1145"/>
      <c r="J39" s="1144"/>
      <c r="K39" s="1142"/>
      <c r="L39" s="1142"/>
      <c r="M39" s="1145"/>
    </row>
    <row r="40" spans="1:13" x14ac:dyDescent="0.15">
      <c r="A40" s="1011" t="s">
        <v>104</v>
      </c>
      <c r="B40" s="1038"/>
      <c r="C40" s="1134">
        <f>'Summary Board'!F99</f>
        <v>251.26516799999996</v>
      </c>
      <c r="D40" s="1135">
        <f>$C$40*(1+$B$8)^D4</f>
        <v>256.29047135999997</v>
      </c>
      <c r="E40" s="1126">
        <f t="shared" ref="E40:M40" si="27">$C$40*(1+$B$8)^E4</f>
        <v>261.41628078719998</v>
      </c>
      <c r="F40" s="1127">
        <f t="shared" si="27"/>
        <v>266.64460640294396</v>
      </c>
      <c r="G40" s="1135">
        <f t="shared" si="27"/>
        <v>271.97749853100282</v>
      </c>
      <c r="H40" s="1126">
        <f t="shared" si="27"/>
        <v>277.4170485016229</v>
      </c>
      <c r="I40" s="1127">
        <f t="shared" si="27"/>
        <v>282.96538947165539</v>
      </c>
      <c r="J40" s="1135">
        <f t="shared" si="27"/>
        <v>288.62469726108839</v>
      </c>
      <c r="K40" s="1126">
        <f t="shared" si="27"/>
        <v>294.3971912063102</v>
      </c>
      <c r="L40" s="1126">
        <f t="shared" si="27"/>
        <v>300.28513503043644</v>
      </c>
      <c r="M40" s="1127">
        <f t="shared" si="27"/>
        <v>306.29083773104514</v>
      </c>
    </row>
    <row r="41" spans="1:13" ht="14" customHeight="1" x14ac:dyDescent="0.15">
      <c r="A41" s="1011" t="s">
        <v>13</v>
      </c>
      <c r="B41" s="1038"/>
      <c r="C41" s="1160">
        <f>C42/SUM($C$42:$M$42)</f>
        <v>0</v>
      </c>
      <c r="D41" s="1108">
        <f t="shared" ref="D41:M41" si="28">D42/SUM($C$42:$M$42)</f>
        <v>0</v>
      </c>
      <c r="E41" s="1109">
        <f t="shared" si="28"/>
        <v>3.6046566711924306E-2</v>
      </c>
      <c r="F41" s="1161">
        <f t="shared" si="28"/>
        <v>0</v>
      </c>
      <c r="G41" s="1108">
        <f t="shared" si="28"/>
        <v>0</v>
      </c>
      <c r="H41" s="1109">
        <f t="shared" si="28"/>
        <v>0.20692220499914668</v>
      </c>
      <c r="I41" s="1161">
        <f t="shared" si="28"/>
        <v>0</v>
      </c>
      <c r="J41" s="1108">
        <f t="shared" si="28"/>
        <v>0.29801660097252691</v>
      </c>
      <c r="K41" s="1109">
        <f t="shared" si="28"/>
        <v>0.30398319689827946</v>
      </c>
      <c r="L41" s="1109">
        <f t="shared" si="28"/>
        <v>0.15503143041812256</v>
      </c>
      <c r="M41" s="1161">
        <f t="shared" si="28"/>
        <v>0</v>
      </c>
    </row>
    <row r="42" spans="1:13" ht="14" customHeight="1" x14ac:dyDescent="0.15">
      <c r="A42" s="1011" t="s">
        <v>2</v>
      </c>
      <c r="B42" s="1038"/>
      <c r="C42" s="1162">
        <f>'Development Schedule'!D84*C40</f>
        <v>0</v>
      </c>
      <c r="D42" s="1163">
        <f>'Development Schedule'!E84*D40</f>
        <v>0</v>
      </c>
      <c r="E42" s="1147">
        <f>'Development Schedule'!F84*E40</f>
        <v>10164910.662129484</v>
      </c>
      <c r="F42" s="1148">
        <f>'Development Schedule'!G84*F40</f>
        <v>0</v>
      </c>
      <c r="G42" s="1163">
        <f>'Development Schedule'!H84*G40</f>
        <v>0</v>
      </c>
      <c r="H42" s="1147">
        <f>'Development Schedule'!I84*H40</f>
        <v>58350792.313637353</v>
      </c>
      <c r="I42" s="1148">
        <f>'Development Schedule'!J84*I40</f>
        <v>0</v>
      </c>
      <c r="J42" s="1163">
        <f>'Development Schedule'!K84*J40</f>
        <v>84038853.101511106</v>
      </c>
      <c r="K42" s="1147">
        <f>'Development Schedule'!L84*K40</f>
        <v>85721396.546688572</v>
      </c>
      <c r="L42" s="1147">
        <f>'Development Schedule'!M84*L40</f>
        <v>43717912.23881118</v>
      </c>
      <c r="M42" s="1148">
        <f>'Development Schedule'!N84*M40</f>
        <v>0</v>
      </c>
    </row>
    <row r="43" spans="1:13" ht="14" customHeight="1" x14ac:dyDescent="0.15">
      <c r="A43" s="1099" t="s">
        <v>14</v>
      </c>
      <c r="B43" s="1164"/>
      <c r="C43" s="1150"/>
      <c r="D43" s="1151"/>
      <c r="E43" s="1152"/>
      <c r="F43" s="1153"/>
      <c r="G43" s="1151"/>
      <c r="H43" s="1152"/>
      <c r="I43" s="1153"/>
      <c r="J43" s="1151"/>
      <c r="K43" s="1152"/>
      <c r="L43" s="1152"/>
      <c r="M43" s="1153"/>
    </row>
    <row r="44" spans="1:13" ht="14" customHeight="1" thickBot="1" x14ac:dyDescent="0.2">
      <c r="A44" s="1100" t="s">
        <v>3</v>
      </c>
      <c r="B44" s="1154"/>
      <c r="C44" s="1156">
        <f>SUM(C42:C43)</f>
        <v>0</v>
      </c>
      <c r="D44" s="1156">
        <f t="shared" ref="D44:M44" si="29">SUM(D42:D43)</f>
        <v>0</v>
      </c>
      <c r="E44" s="1157">
        <f t="shared" si="29"/>
        <v>10164910.662129484</v>
      </c>
      <c r="F44" s="1158">
        <f t="shared" si="29"/>
        <v>0</v>
      </c>
      <c r="G44" s="1156">
        <f t="shared" si="29"/>
        <v>0</v>
      </c>
      <c r="H44" s="1157">
        <f t="shared" si="29"/>
        <v>58350792.313637353</v>
      </c>
      <c r="I44" s="1158">
        <f t="shared" si="29"/>
        <v>0</v>
      </c>
      <c r="J44" s="1156">
        <f t="shared" si="29"/>
        <v>84038853.101511106</v>
      </c>
      <c r="K44" s="1157">
        <f t="shared" si="29"/>
        <v>85721396.546688572</v>
      </c>
      <c r="L44" s="1157">
        <f t="shared" si="29"/>
        <v>43717912.23881118</v>
      </c>
      <c r="M44" s="1158">
        <f t="shared" si="29"/>
        <v>0</v>
      </c>
    </row>
    <row r="45" spans="1:13" ht="14" thickBot="1" x14ac:dyDescent="0.2">
      <c r="A45" s="1023" t="s">
        <v>4</v>
      </c>
      <c r="B45" s="1142"/>
      <c r="C45" s="1143"/>
      <c r="D45" s="1144"/>
      <c r="E45" s="1142"/>
      <c r="F45" s="1145"/>
      <c r="G45" s="1144"/>
      <c r="H45" s="1142"/>
      <c r="I45" s="1145"/>
      <c r="J45" s="1144"/>
      <c r="K45" s="1142"/>
      <c r="L45" s="1142"/>
      <c r="M45" s="1145"/>
    </row>
    <row r="46" spans="1:13" ht="14" customHeight="1" x14ac:dyDescent="0.15">
      <c r="A46" s="1011" t="s">
        <v>5</v>
      </c>
      <c r="B46" s="1038"/>
      <c r="C46" s="1162">
        <f>C38</f>
        <v>0</v>
      </c>
      <c r="D46" s="1163">
        <f t="shared" ref="D46:M46" si="30">D38</f>
        <v>0</v>
      </c>
      <c r="E46" s="1147">
        <f t="shared" si="30"/>
        <v>0</v>
      </c>
      <c r="F46" s="1148">
        <f t="shared" si="30"/>
        <v>1254169.7939230986</v>
      </c>
      <c r="G46" s="1163">
        <f t="shared" si="30"/>
        <v>1279253.1898015607</v>
      </c>
      <c r="H46" s="1147">
        <f t="shared" si="30"/>
        <v>2165605.0462237615</v>
      </c>
      <c r="I46" s="1148">
        <f t="shared" si="30"/>
        <v>8530388.4721948281</v>
      </c>
      <c r="J46" s="1163">
        <f t="shared" si="30"/>
        <v>11800300.704813119</v>
      </c>
      <c r="K46" s="1147">
        <f t="shared" si="30"/>
        <v>34797598.696462125</v>
      </c>
      <c r="L46" s="1147">
        <f t="shared" si="30"/>
        <v>35493550.670391366</v>
      </c>
      <c r="M46" s="1148">
        <f t="shared" si="30"/>
        <v>36203421.683799192</v>
      </c>
    </row>
    <row r="47" spans="1:13" ht="14" customHeight="1" x14ac:dyDescent="0.15">
      <c r="A47" s="1011" t="s">
        <v>60</v>
      </c>
      <c r="B47" s="1106">
        <f>D61</f>
        <v>4.4999999999999998E-2</v>
      </c>
      <c r="C47" s="1168">
        <v>0</v>
      </c>
      <c r="D47" s="1169">
        <f>C47</f>
        <v>0</v>
      </c>
      <c r="E47" s="1170">
        <f t="shared" ref="E47:L48" si="31">D47</f>
        <v>0</v>
      </c>
      <c r="F47" s="1171">
        <f t="shared" si="31"/>
        <v>0</v>
      </c>
      <c r="G47" s="1169">
        <f t="shared" si="31"/>
        <v>0</v>
      </c>
      <c r="H47" s="1170">
        <f t="shared" si="31"/>
        <v>0</v>
      </c>
      <c r="I47" s="1171">
        <f t="shared" si="31"/>
        <v>0</v>
      </c>
      <c r="J47" s="1169">
        <f t="shared" si="31"/>
        <v>0</v>
      </c>
      <c r="K47" s="1170">
        <f t="shared" si="31"/>
        <v>0</v>
      </c>
      <c r="L47" s="1170">
        <f t="shared" si="31"/>
        <v>0</v>
      </c>
      <c r="M47" s="1171">
        <f>M46/B47</f>
        <v>804520481.86220431</v>
      </c>
    </row>
    <row r="48" spans="1:13" ht="14" customHeight="1" x14ac:dyDescent="0.15">
      <c r="A48" s="1011" t="s">
        <v>61</v>
      </c>
      <c r="B48" s="1106">
        <f>D62</f>
        <v>0.03</v>
      </c>
      <c r="C48" s="1168">
        <v>0</v>
      </c>
      <c r="D48" s="1169">
        <f>C48</f>
        <v>0</v>
      </c>
      <c r="E48" s="1170">
        <f t="shared" si="31"/>
        <v>0</v>
      </c>
      <c r="F48" s="1171">
        <f t="shared" si="31"/>
        <v>0</v>
      </c>
      <c r="G48" s="1169">
        <f t="shared" si="31"/>
        <v>0</v>
      </c>
      <c r="H48" s="1170">
        <f t="shared" si="31"/>
        <v>0</v>
      </c>
      <c r="I48" s="1171">
        <f t="shared" si="31"/>
        <v>0</v>
      </c>
      <c r="J48" s="1169">
        <f t="shared" si="31"/>
        <v>0</v>
      </c>
      <c r="K48" s="1170">
        <f t="shared" si="31"/>
        <v>0</v>
      </c>
      <c r="L48" s="1170">
        <f t="shared" si="31"/>
        <v>0</v>
      </c>
      <c r="M48" s="1171">
        <f>M47*-B48</f>
        <v>-24135614.455866128</v>
      </c>
    </row>
    <row r="49" spans="1:13" ht="14" customHeight="1" x14ac:dyDescent="0.15">
      <c r="A49" s="1099" t="s">
        <v>105</v>
      </c>
      <c r="B49" s="1224"/>
      <c r="C49" s="1150">
        <f>-C44</f>
        <v>0</v>
      </c>
      <c r="D49" s="1151">
        <f t="shared" ref="D49:M49" si="32">-D44</f>
        <v>0</v>
      </c>
      <c r="E49" s="1152">
        <f t="shared" si="32"/>
        <v>-10164910.662129484</v>
      </c>
      <c r="F49" s="1153">
        <f t="shared" si="32"/>
        <v>0</v>
      </c>
      <c r="G49" s="1151">
        <f t="shared" si="32"/>
        <v>0</v>
      </c>
      <c r="H49" s="1152">
        <f t="shared" si="32"/>
        <v>-58350792.313637353</v>
      </c>
      <c r="I49" s="1153">
        <f t="shared" si="32"/>
        <v>0</v>
      </c>
      <c r="J49" s="1151">
        <f t="shared" si="32"/>
        <v>-84038853.101511106</v>
      </c>
      <c r="K49" s="1152">
        <f t="shared" si="32"/>
        <v>-85721396.546688572</v>
      </c>
      <c r="L49" s="1152">
        <f t="shared" si="32"/>
        <v>-43717912.23881118</v>
      </c>
      <c r="M49" s="1153">
        <f t="shared" si="32"/>
        <v>0</v>
      </c>
    </row>
    <row r="50" spans="1:13" ht="14" customHeight="1" thickBot="1" x14ac:dyDescent="0.2">
      <c r="A50" s="1100" t="s">
        <v>6</v>
      </c>
      <c r="B50" s="1225"/>
      <c r="C50" s="1156">
        <f>SUM(C46:C49)</f>
        <v>0</v>
      </c>
      <c r="D50" s="1157">
        <f t="shared" ref="D50:M50" si="33">SUM(D46:D49)</f>
        <v>0</v>
      </c>
      <c r="E50" s="1157">
        <f t="shared" si="33"/>
        <v>-10164910.662129484</v>
      </c>
      <c r="F50" s="1158">
        <f t="shared" si="33"/>
        <v>1254169.7939230986</v>
      </c>
      <c r="G50" s="1156">
        <f t="shared" si="33"/>
        <v>1279253.1898015607</v>
      </c>
      <c r="H50" s="1157">
        <f t="shared" si="33"/>
        <v>-56185187.267413594</v>
      </c>
      <c r="I50" s="1158">
        <f t="shared" si="33"/>
        <v>8530388.4721948281</v>
      </c>
      <c r="J50" s="1156">
        <f t="shared" si="33"/>
        <v>-72238552.396697983</v>
      </c>
      <c r="K50" s="1157">
        <f t="shared" si="33"/>
        <v>-50923797.850226447</v>
      </c>
      <c r="L50" s="1157">
        <f t="shared" si="33"/>
        <v>-8224361.5684198141</v>
      </c>
      <c r="M50" s="1158">
        <f t="shared" si="33"/>
        <v>816588289.09013736</v>
      </c>
    </row>
    <row r="51" spans="1:13" ht="14" thickBot="1" x14ac:dyDescent="0.2">
      <c r="A51" s="988" t="s">
        <v>27</v>
      </c>
      <c r="B51" s="1172"/>
      <c r="C51" s="1263">
        <f>NPV(D63,D50:M50)</f>
        <v>237964072.37925327</v>
      </c>
      <c r="D51" s="1037"/>
      <c r="E51" s="1197"/>
      <c r="F51" s="1200"/>
      <c r="G51" s="1199"/>
      <c r="H51" s="1197"/>
      <c r="I51" s="1200"/>
      <c r="J51" s="1038"/>
      <c r="K51" s="1038"/>
      <c r="L51" s="1038"/>
      <c r="M51" s="1113"/>
    </row>
    <row r="52" spans="1:13" ht="14" thickBot="1" x14ac:dyDescent="0.2">
      <c r="A52" s="989" t="s">
        <v>62</v>
      </c>
      <c r="B52" s="1176"/>
      <c r="C52" s="1177">
        <f>IRR(C50:M50)</f>
        <v>0.44446338243239003</v>
      </c>
      <c r="D52" s="1178"/>
      <c r="E52" s="1176"/>
      <c r="F52" s="1179"/>
      <c r="G52" s="1178"/>
      <c r="H52" s="1176"/>
      <c r="I52" s="1179"/>
      <c r="J52" s="1176"/>
      <c r="K52" s="1176"/>
      <c r="L52" s="1176"/>
      <c r="M52" s="1179"/>
    </row>
    <row r="53" spans="1:13" ht="14" thickBot="1" x14ac:dyDescent="0.2">
      <c r="A53" s="882"/>
      <c r="B53" s="883"/>
      <c r="C53" s="883"/>
      <c r="D53" s="882"/>
      <c r="E53" s="882"/>
      <c r="F53" s="882"/>
      <c r="G53" s="882"/>
      <c r="H53" s="882"/>
      <c r="I53" s="882"/>
      <c r="J53" s="882"/>
      <c r="K53" s="882"/>
      <c r="L53" s="882"/>
      <c r="M53" s="882"/>
    </row>
    <row r="54" spans="1:13" ht="14" thickBot="1" x14ac:dyDescent="0.2">
      <c r="A54" s="1478" t="s">
        <v>99</v>
      </c>
      <c r="B54" s="1474"/>
      <c r="C54" s="1474"/>
      <c r="D54" s="1479"/>
      <c r="E54" s="882"/>
      <c r="F54" s="882"/>
      <c r="G54" s="882"/>
      <c r="H54" s="882"/>
      <c r="I54" s="882"/>
      <c r="J54" s="882"/>
      <c r="K54" s="882"/>
      <c r="L54" s="882"/>
      <c r="M54" s="882"/>
    </row>
    <row r="55" spans="1:13" ht="14" thickBot="1" x14ac:dyDescent="0.2">
      <c r="A55" s="1056"/>
      <c r="B55" s="1052"/>
      <c r="C55" s="1102" t="s">
        <v>115</v>
      </c>
      <c r="D55" s="1103" t="s">
        <v>116</v>
      </c>
      <c r="E55" s="882"/>
      <c r="F55" s="882"/>
      <c r="G55" s="882"/>
      <c r="H55" s="882"/>
      <c r="I55" s="882"/>
      <c r="J55" s="882"/>
      <c r="K55" s="882"/>
      <c r="L55" s="882"/>
      <c r="M55" s="882"/>
    </row>
    <row r="56" spans="1:13" x14ac:dyDescent="0.15">
      <c r="A56" s="941" t="s">
        <v>311</v>
      </c>
      <c r="B56" s="532"/>
      <c r="C56" s="1079">
        <f>SUM('Development Schedule'!E84:G84)</f>
        <v>38884</v>
      </c>
      <c r="D56" s="1188">
        <f>C56*B10</f>
        <v>34995.599999999999</v>
      </c>
      <c r="E56" s="882"/>
      <c r="F56" s="882"/>
      <c r="G56" s="882"/>
      <c r="H56" s="882"/>
      <c r="I56" s="882"/>
      <c r="J56" s="882"/>
      <c r="K56" s="882"/>
      <c r="L56" s="882"/>
      <c r="M56" s="882"/>
    </row>
    <row r="57" spans="1:13" x14ac:dyDescent="0.15">
      <c r="A57" s="941" t="s">
        <v>310</v>
      </c>
      <c r="B57" s="532"/>
      <c r="C57" s="1079">
        <f>SUM('Development Schedule'!H84:J84)</f>
        <v>210336</v>
      </c>
      <c r="D57" s="1083">
        <f>C57*$B$10</f>
        <v>189302.39999999999</v>
      </c>
      <c r="E57" s="882"/>
      <c r="F57" s="882"/>
      <c r="G57" s="882"/>
      <c r="H57" s="882"/>
      <c r="I57" s="882"/>
      <c r="J57" s="882"/>
      <c r="K57" s="882"/>
      <c r="L57" s="882"/>
      <c r="M57" s="882"/>
    </row>
    <row r="58" spans="1:13" ht="14" thickBot="1" x14ac:dyDescent="0.2">
      <c r="A58" s="882" t="s">
        <v>524</v>
      </c>
      <c r="B58" s="883"/>
      <c r="C58" s="885">
        <f>SUM('Development Schedule'!K84:N84)</f>
        <v>727934</v>
      </c>
      <c r="D58" s="1083">
        <f>C58*$B$10</f>
        <v>655140.6</v>
      </c>
      <c r="E58" s="882"/>
      <c r="F58" s="882"/>
      <c r="G58" s="882"/>
      <c r="H58" s="882"/>
      <c r="I58" s="882"/>
      <c r="J58" s="882"/>
      <c r="K58" s="882"/>
      <c r="L58" s="882"/>
      <c r="M58" s="882"/>
    </row>
    <row r="59" spans="1:13" ht="14" thickBot="1" x14ac:dyDescent="0.2">
      <c r="A59" s="1478" t="s">
        <v>106</v>
      </c>
      <c r="B59" s="1480"/>
      <c r="C59" s="1480"/>
      <c r="D59" s="1481"/>
      <c r="E59" s="882"/>
      <c r="F59" s="882"/>
      <c r="G59" s="882"/>
      <c r="H59" s="882"/>
      <c r="I59" s="882"/>
      <c r="J59" s="882"/>
      <c r="K59" s="882"/>
      <c r="L59" s="882"/>
      <c r="M59" s="882"/>
    </row>
    <row r="60" spans="1:13" x14ac:dyDescent="0.15">
      <c r="A60" s="941" t="s">
        <v>117</v>
      </c>
      <c r="B60" s="532"/>
      <c r="C60" s="532"/>
      <c r="D60" s="1242">
        <f>C12*0.35*0.8</f>
        <v>11.088000000000001</v>
      </c>
      <c r="E60" s="882"/>
      <c r="F60" s="882"/>
      <c r="G60" s="882"/>
      <c r="H60" s="882"/>
      <c r="I60" s="882"/>
      <c r="J60" s="882"/>
      <c r="K60" s="882"/>
      <c r="L60" s="882"/>
      <c r="M60" s="882"/>
    </row>
    <row r="61" spans="1:13" x14ac:dyDescent="0.15">
      <c r="A61" s="941" t="s">
        <v>107</v>
      </c>
      <c r="B61" s="532"/>
      <c r="C61" s="532"/>
      <c r="D61" s="1243">
        <f>'Summary Board'!K122</f>
        <v>4.4999999999999998E-2</v>
      </c>
      <c r="E61" s="882"/>
      <c r="F61" s="882"/>
      <c r="G61" s="882"/>
      <c r="H61" s="882"/>
      <c r="I61" s="882"/>
      <c r="J61" s="882"/>
      <c r="K61" s="882"/>
      <c r="L61" s="882"/>
      <c r="M61" s="882"/>
    </row>
    <row r="62" spans="1:13" x14ac:dyDescent="0.15">
      <c r="A62" s="941" t="s">
        <v>108</v>
      </c>
      <c r="B62" s="532"/>
      <c r="C62" s="532"/>
      <c r="D62" s="1243">
        <v>0.03</v>
      </c>
      <c r="E62" s="882"/>
      <c r="F62" s="882"/>
      <c r="G62" s="882"/>
      <c r="H62" s="882"/>
      <c r="I62" s="882"/>
      <c r="J62" s="882"/>
      <c r="K62" s="882"/>
      <c r="L62" s="882"/>
      <c r="M62" s="882"/>
    </row>
    <row r="63" spans="1:13" ht="14" thickBot="1" x14ac:dyDescent="0.2">
      <c r="A63" s="947" t="s">
        <v>95</v>
      </c>
      <c r="B63" s="1062"/>
      <c r="C63" s="1062"/>
      <c r="D63" s="1063">
        <v>0.09</v>
      </c>
      <c r="E63" s="882"/>
      <c r="F63" s="882"/>
      <c r="G63" s="882"/>
      <c r="H63" s="882"/>
      <c r="I63" s="882"/>
      <c r="J63" s="882"/>
      <c r="K63" s="882"/>
      <c r="L63" s="882"/>
      <c r="M63" s="882"/>
    </row>
    <row r="64" spans="1:13" x14ac:dyDescent="0.15">
      <c r="A64" s="882"/>
      <c r="B64" s="883"/>
      <c r="C64" s="883"/>
      <c r="D64" s="882"/>
      <c r="E64" s="882"/>
      <c r="F64" s="882"/>
      <c r="G64" s="882"/>
      <c r="H64" s="882"/>
      <c r="I64" s="882"/>
      <c r="J64" s="882"/>
      <c r="K64" s="882"/>
      <c r="L64" s="882"/>
      <c r="M64" s="882"/>
    </row>
    <row r="65" spans="1:13" x14ac:dyDescent="0.15">
      <c r="A65" s="882"/>
      <c r="B65" s="883"/>
      <c r="C65" s="883"/>
      <c r="D65" s="882"/>
      <c r="E65" s="882"/>
      <c r="F65" s="882"/>
      <c r="G65" s="882"/>
      <c r="H65" s="882"/>
      <c r="I65" s="882"/>
      <c r="J65" s="882"/>
      <c r="K65" s="882"/>
      <c r="L65" s="882"/>
      <c r="M65" s="882"/>
    </row>
    <row r="66" spans="1:13" x14ac:dyDescent="0.15">
      <c r="A66" s="882"/>
      <c r="B66" s="883"/>
      <c r="C66" s="883"/>
      <c r="D66" s="882"/>
      <c r="E66" s="882"/>
      <c r="F66" s="882"/>
      <c r="G66" s="882"/>
      <c r="H66" s="882"/>
      <c r="I66" s="882"/>
      <c r="J66" s="882"/>
      <c r="K66" s="882"/>
      <c r="L66" s="882"/>
      <c r="M66" s="882"/>
    </row>
  </sheetData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view="pageBreakPreview" topLeftCell="A19" zoomScale="85" zoomScaleSheetLayoutView="85" workbookViewId="0">
      <selection activeCell="C59" sqref="C59"/>
    </sheetView>
  </sheetViews>
  <sheetFormatPr baseColWidth="10" defaultColWidth="9.1640625" defaultRowHeight="13" outlineLevelRow="1" x14ac:dyDescent="0.15"/>
  <cols>
    <col min="1" max="1" width="23.5" style="56" customWidth="1"/>
    <col min="2" max="2" width="12.83203125" style="57" customWidth="1"/>
    <col min="3" max="3" width="13.6640625" style="57" customWidth="1"/>
    <col min="4" max="13" width="13.6640625" style="56" customWidth="1"/>
    <col min="14" max="16384" width="9.1640625" style="56"/>
  </cols>
  <sheetData>
    <row r="1" spans="1:13" ht="14" customHeight="1" thickBot="1" x14ac:dyDescent="0.2">
      <c r="A1" s="35"/>
      <c r="B1" s="47"/>
      <c r="C1" s="47"/>
      <c r="D1" s="35"/>
      <c r="E1" s="35"/>
      <c r="F1" s="35"/>
      <c r="G1" s="35"/>
      <c r="H1" s="35"/>
      <c r="I1" s="35"/>
      <c r="J1" s="35"/>
      <c r="K1" s="35"/>
      <c r="L1" s="78" t="s">
        <v>96</v>
      </c>
      <c r="M1" s="158">
        <v>183690</v>
      </c>
    </row>
    <row r="2" spans="1:13" ht="14" customHeight="1" thickBot="1" x14ac:dyDescent="0.2">
      <c r="A2" s="35"/>
      <c r="B2" s="47"/>
      <c r="C2" s="47"/>
      <c r="D2" s="35"/>
      <c r="E2" s="35"/>
      <c r="F2" s="35"/>
      <c r="G2" s="35"/>
      <c r="H2" s="35"/>
      <c r="I2" s="35"/>
      <c r="J2" s="35"/>
      <c r="K2" s="35"/>
      <c r="L2" s="169"/>
      <c r="M2" s="170"/>
    </row>
    <row r="3" spans="1:13" ht="14" customHeight="1" thickBot="1" x14ac:dyDescent="0.2">
      <c r="A3" s="73"/>
      <c r="B3" s="101"/>
      <c r="C3" s="39" t="s">
        <v>58</v>
      </c>
      <c r="D3" s="61" t="s">
        <v>37</v>
      </c>
      <c r="E3" s="62"/>
      <c r="F3" s="38"/>
      <c r="G3" s="61" t="s">
        <v>79</v>
      </c>
      <c r="H3" s="83"/>
      <c r="I3" s="38"/>
      <c r="J3" s="61" t="s">
        <v>80</v>
      </c>
      <c r="K3" s="36"/>
      <c r="L3" s="37"/>
      <c r="M3" s="38"/>
    </row>
    <row r="4" spans="1:13" ht="14" customHeight="1" thickBot="1" x14ac:dyDescent="0.2">
      <c r="A4" s="49"/>
      <c r="B4" s="50"/>
      <c r="C4" s="145">
        <v>0</v>
      </c>
      <c r="D4" s="59">
        <f>C4+1</f>
        <v>1</v>
      </c>
      <c r="E4" s="58">
        <f t="shared" ref="E4:M5" si="0">D4+1</f>
        <v>2</v>
      </c>
      <c r="F4" s="60">
        <f t="shared" si="0"/>
        <v>3</v>
      </c>
      <c r="G4" s="59">
        <f t="shared" si="0"/>
        <v>4</v>
      </c>
      <c r="H4" s="79">
        <f t="shared" si="0"/>
        <v>5</v>
      </c>
      <c r="I4" s="60">
        <f t="shared" si="0"/>
        <v>6</v>
      </c>
      <c r="J4" s="59">
        <f t="shared" si="0"/>
        <v>7</v>
      </c>
      <c r="K4" s="58">
        <f t="shared" si="0"/>
        <v>8</v>
      </c>
      <c r="L4" s="58">
        <f t="shared" si="0"/>
        <v>9</v>
      </c>
      <c r="M4" s="60">
        <f t="shared" si="0"/>
        <v>10</v>
      </c>
    </row>
    <row r="5" spans="1:13" ht="14" customHeight="1" thickBot="1" x14ac:dyDescent="0.2">
      <c r="A5" s="49"/>
      <c r="B5" s="171"/>
      <c r="C5" s="174" t="s">
        <v>362</v>
      </c>
      <c r="D5" s="165">
        <v>2020</v>
      </c>
      <c r="E5" s="166">
        <f>D5+1</f>
        <v>2021</v>
      </c>
      <c r="F5" s="168">
        <f t="shared" si="0"/>
        <v>2022</v>
      </c>
      <c r="G5" s="167">
        <f t="shared" si="0"/>
        <v>2023</v>
      </c>
      <c r="H5" s="166">
        <f t="shared" si="0"/>
        <v>2024</v>
      </c>
      <c r="I5" s="168">
        <f t="shared" si="0"/>
        <v>2025</v>
      </c>
      <c r="J5" s="167">
        <f t="shared" si="0"/>
        <v>2026</v>
      </c>
      <c r="K5" s="166">
        <f t="shared" si="0"/>
        <v>2027</v>
      </c>
      <c r="L5" s="166">
        <f>K5+1</f>
        <v>2028</v>
      </c>
      <c r="M5" s="168">
        <f>L5+1</f>
        <v>2029</v>
      </c>
    </row>
    <row r="6" spans="1:13" ht="14" thickBot="1" x14ac:dyDescent="0.2">
      <c r="A6" s="96" t="s">
        <v>10</v>
      </c>
      <c r="B6" s="93"/>
      <c r="C6" s="146"/>
      <c r="D6" s="103"/>
      <c r="E6" s="94"/>
      <c r="F6" s="95"/>
      <c r="G6" s="103"/>
      <c r="H6" s="94"/>
      <c r="I6" s="95"/>
      <c r="J6" s="103"/>
      <c r="K6" s="94"/>
      <c r="L6" s="94"/>
      <c r="M6" s="95"/>
    </row>
    <row r="7" spans="1:13" x14ac:dyDescent="0.15">
      <c r="A7" s="154" t="s">
        <v>292</v>
      </c>
      <c r="B7" s="101"/>
      <c r="C7" s="175"/>
      <c r="D7" s="73"/>
      <c r="E7" s="155"/>
      <c r="F7" s="156"/>
      <c r="G7" s="73"/>
      <c r="H7" s="155"/>
      <c r="I7" s="156"/>
      <c r="J7" s="73"/>
      <c r="K7" s="155"/>
      <c r="L7" s="155"/>
      <c r="M7" s="156"/>
    </row>
    <row r="8" spans="1:13" ht="14" customHeight="1" x14ac:dyDescent="0.15">
      <c r="A8" s="88" t="s">
        <v>11</v>
      </c>
      <c r="B8" s="353">
        <v>0.02</v>
      </c>
      <c r="C8" s="147"/>
      <c r="D8" s="76"/>
      <c r="E8" s="64"/>
      <c r="F8" s="67"/>
      <c r="G8" s="76"/>
      <c r="H8" s="64"/>
      <c r="I8" s="67"/>
      <c r="J8" s="76"/>
      <c r="K8" s="64"/>
      <c r="L8" s="64"/>
      <c r="M8" s="67"/>
    </row>
    <row r="9" spans="1:13" ht="14" customHeight="1" x14ac:dyDescent="0.15">
      <c r="A9" s="88" t="s">
        <v>113</v>
      </c>
      <c r="B9" s="50"/>
      <c r="C9" s="105">
        <v>0</v>
      </c>
      <c r="D9" s="105">
        <f>C9</f>
        <v>0</v>
      </c>
      <c r="E9" s="89">
        <f>C56</f>
        <v>0</v>
      </c>
      <c r="F9" s="92">
        <f>E9</f>
        <v>0</v>
      </c>
      <c r="G9" s="105">
        <f t="shared" ref="E9:M11" si="1">F9</f>
        <v>0</v>
      </c>
      <c r="H9" s="89">
        <f t="shared" si="1"/>
        <v>0</v>
      </c>
      <c r="I9" s="92">
        <f t="shared" si="1"/>
        <v>0</v>
      </c>
      <c r="J9" s="105">
        <f t="shared" si="1"/>
        <v>0</v>
      </c>
      <c r="K9" s="89">
        <f t="shared" si="1"/>
        <v>0</v>
      </c>
      <c r="L9" s="89">
        <f t="shared" si="1"/>
        <v>0</v>
      </c>
      <c r="M9" s="92">
        <f t="shared" si="1"/>
        <v>0</v>
      </c>
    </row>
    <row r="10" spans="1:13" ht="14" customHeight="1" x14ac:dyDescent="0.15">
      <c r="A10" s="88" t="s">
        <v>40</v>
      </c>
      <c r="B10" s="72">
        <v>0.9</v>
      </c>
      <c r="C10" s="105">
        <f>C9*B10</f>
        <v>0</v>
      </c>
      <c r="D10" s="105">
        <f>D9*B10</f>
        <v>0</v>
      </c>
      <c r="E10" s="89">
        <f t="shared" si="1"/>
        <v>0</v>
      </c>
      <c r="F10" s="92">
        <f>F9*$B$10</f>
        <v>0</v>
      </c>
      <c r="G10" s="105">
        <f t="shared" ref="G10:M10" si="2">G9*$B$10</f>
        <v>0</v>
      </c>
      <c r="H10" s="89">
        <f t="shared" si="2"/>
        <v>0</v>
      </c>
      <c r="I10" s="92">
        <f t="shared" si="2"/>
        <v>0</v>
      </c>
      <c r="J10" s="105">
        <f t="shared" si="2"/>
        <v>0</v>
      </c>
      <c r="K10" s="89">
        <f t="shared" si="2"/>
        <v>0</v>
      </c>
      <c r="L10" s="89">
        <f t="shared" si="2"/>
        <v>0</v>
      </c>
      <c r="M10" s="92">
        <f t="shared" si="2"/>
        <v>0</v>
      </c>
    </row>
    <row r="11" spans="1:13" ht="14" customHeight="1" x14ac:dyDescent="0.15">
      <c r="A11" s="88" t="s">
        <v>45</v>
      </c>
      <c r="B11" s="63"/>
      <c r="C11" s="108">
        <v>1</v>
      </c>
      <c r="D11" s="141">
        <v>1</v>
      </c>
      <c r="E11" s="72">
        <v>0.7</v>
      </c>
      <c r="F11" s="107">
        <v>7.0000000000000007E-2</v>
      </c>
      <c r="G11" s="141">
        <f>F11</f>
        <v>7.0000000000000007E-2</v>
      </c>
      <c r="H11" s="66">
        <f t="shared" si="1"/>
        <v>7.0000000000000007E-2</v>
      </c>
      <c r="I11" s="109">
        <f t="shared" si="1"/>
        <v>7.0000000000000007E-2</v>
      </c>
      <c r="J11" s="141">
        <f t="shared" si="1"/>
        <v>7.0000000000000007E-2</v>
      </c>
      <c r="K11" s="66">
        <f t="shared" si="1"/>
        <v>7.0000000000000007E-2</v>
      </c>
      <c r="L11" s="66">
        <f t="shared" si="1"/>
        <v>7.0000000000000007E-2</v>
      </c>
      <c r="M11" s="109">
        <f t="shared" si="1"/>
        <v>7.0000000000000007E-2</v>
      </c>
    </row>
    <row r="12" spans="1:13" ht="14" thickBot="1" x14ac:dyDescent="0.2">
      <c r="A12" s="77" t="s">
        <v>114</v>
      </c>
      <c r="B12" s="52"/>
      <c r="C12" s="148">
        <f>'Summary Board'!K117</f>
        <v>6.15</v>
      </c>
      <c r="D12" s="149">
        <f>$C$12*(1+$B$8)^D$4</f>
        <v>6.2730000000000006</v>
      </c>
      <c r="E12" s="143">
        <f t="shared" ref="E12:M12" si="3">$C$12*(1+$B$8)^E$4</f>
        <v>6.39846</v>
      </c>
      <c r="F12" s="144">
        <f t="shared" si="3"/>
        <v>6.5264291999999999</v>
      </c>
      <c r="G12" s="149">
        <f t="shared" si="3"/>
        <v>6.6569577840000003</v>
      </c>
      <c r="H12" s="143">
        <f t="shared" si="3"/>
        <v>6.7900969396800006</v>
      </c>
      <c r="I12" s="144">
        <f t="shared" si="3"/>
        <v>6.9258988784736006</v>
      </c>
      <c r="J12" s="149">
        <f t="shared" si="3"/>
        <v>7.0644168560430716</v>
      </c>
      <c r="K12" s="143">
        <f t="shared" si="3"/>
        <v>7.2057051931639338</v>
      </c>
      <c r="L12" s="143">
        <f t="shared" si="3"/>
        <v>7.3498192970272118</v>
      </c>
      <c r="M12" s="144">
        <f t="shared" si="3"/>
        <v>7.4968156829677568</v>
      </c>
    </row>
    <row r="13" spans="1:13" ht="14" customHeight="1" outlineLevel="1" x14ac:dyDescent="0.15">
      <c r="A13" s="88" t="s">
        <v>17</v>
      </c>
      <c r="B13" s="50"/>
      <c r="C13" s="134">
        <f>C10*(1-C11)*C12</f>
        <v>0</v>
      </c>
      <c r="D13" s="138">
        <f t="shared" ref="D13:M13" si="4">D10*(1-D11)*D12</f>
        <v>0</v>
      </c>
      <c r="E13" s="111">
        <f t="shared" si="4"/>
        <v>0</v>
      </c>
      <c r="F13" s="113">
        <f>F10*(1-F11)*F12</f>
        <v>0</v>
      </c>
      <c r="G13" s="138">
        <f t="shared" si="4"/>
        <v>0</v>
      </c>
      <c r="H13" s="111">
        <f t="shared" si="4"/>
        <v>0</v>
      </c>
      <c r="I13" s="113">
        <f t="shared" si="4"/>
        <v>0</v>
      </c>
      <c r="J13" s="138">
        <f t="shared" si="4"/>
        <v>0</v>
      </c>
      <c r="K13" s="111">
        <f t="shared" si="4"/>
        <v>0</v>
      </c>
      <c r="L13" s="111">
        <f t="shared" si="4"/>
        <v>0</v>
      </c>
      <c r="M13" s="113">
        <f t="shared" si="4"/>
        <v>0</v>
      </c>
    </row>
    <row r="14" spans="1:13" ht="14" customHeight="1" outlineLevel="1" x14ac:dyDescent="0.15">
      <c r="A14" s="88" t="s">
        <v>169</v>
      </c>
      <c r="B14" s="50"/>
      <c r="C14" s="130">
        <f t="shared" ref="C14:M14" si="5">C10*(1-C11)*($D$62*(1+$B$8)^C$4)</f>
        <v>0</v>
      </c>
      <c r="D14" s="128">
        <f t="shared" si="5"/>
        <v>0</v>
      </c>
      <c r="E14" s="118">
        <f t="shared" si="5"/>
        <v>0</v>
      </c>
      <c r="F14" s="129">
        <f t="shared" si="5"/>
        <v>0</v>
      </c>
      <c r="G14" s="128">
        <f t="shared" si="5"/>
        <v>0</v>
      </c>
      <c r="H14" s="118">
        <f t="shared" si="5"/>
        <v>0</v>
      </c>
      <c r="I14" s="129">
        <f t="shared" si="5"/>
        <v>0</v>
      </c>
      <c r="J14" s="128">
        <f t="shared" si="5"/>
        <v>0</v>
      </c>
      <c r="K14" s="118">
        <f t="shared" si="5"/>
        <v>0</v>
      </c>
      <c r="L14" s="118">
        <f t="shared" si="5"/>
        <v>0</v>
      </c>
      <c r="M14" s="129">
        <f t="shared" si="5"/>
        <v>0</v>
      </c>
    </row>
    <row r="15" spans="1:13" ht="14" customHeight="1" outlineLevel="1" thickBot="1" x14ac:dyDescent="0.2">
      <c r="A15" s="77" t="s">
        <v>170</v>
      </c>
      <c r="B15" s="52"/>
      <c r="C15" s="210">
        <f t="shared" ref="C15:M15" si="6">C10*($D$62*(1+$B$8)^C$4)</f>
        <v>0</v>
      </c>
      <c r="D15" s="211">
        <f t="shared" si="6"/>
        <v>0</v>
      </c>
      <c r="E15" s="212">
        <f t="shared" si="6"/>
        <v>0</v>
      </c>
      <c r="F15" s="213">
        <f t="shared" si="6"/>
        <v>0</v>
      </c>
      <c r="G15" s="211">
        <f t="shared" si="6"/>
        <v>0</v>
      </c>
      <c r="H15" s="212">
        <f t="shared" si="6"/>
        <v>0</v>
      </c>
      <c r="I15" s="213">
        <f t="shared" si="6"/>
        <v>0</v>
      </c>
      <c r="J15" s="211">
        <f t="shared" si="6"/>
        <v>0</v>
      </c>
      <c r="K15" s="212">
        <f t="shared" si="6"/>
        <v>0</v>
      </c>
      <c r="L15" s="212">
        <f t="shared" si="6"/>
        <v>0</v>
      </c>
      <c r="M15" s="213">
        <f t="shared" si="6"/>
        <v>0</v>
      </c>
    </row>
    <row r="16" spans="1:13" x14ac:dyDescent="0.15">
      <c r="A16" s="48" t="s">
        <v>293</v>
      </c>
      <c r="B16" s="50"/>
      <c r="C16" s="104"/>
      <c r="D16" s="49"/>
      <c r="E16" s="53"/>
      <c r="F16" s="68"/>
      <c r="G16" s="49"/>
      <c r="H16" s="53"/>
      <c r="I16" s="68"/>
      <c r="J16" s="49"/>
      <c r="K16" s="53"/>
      <c r="L16" s="53"/>
      <c r="M16" s="68"/>
    </row>
    <row r="17" spans="1:13" ht="14" customHeight="1" x14ac:dyDescent="0.15">
      <c r="A17" s="88" t="s">
        <v>11</v>
      </c>
      <c r="B17" s="72">
        <v>0.02</v>
      </c>
      <c r="C17" s="147"/>
      <c r="D17" s="76"/>
      <c r="E17" s="64"/>
      <c r="F17" s="67"/>
      <c r="G17" s="76"/>
      <c r="H17" s="64"/>
      <c r="I17" s="67"/>
      <c r="J17" s="76"/>
      <c r="K17" s="64"/>
      <c r="L17" s="64"/>
      <c r="M17" s="67"/>
    </row>
    <row r="18" spans="1:13" ht="14" customHeight="1" x14ac:dyDescent="0.15">
      <c r="A18" s="88" t="s">
        <v>113</v>
      </c>
      <c r="B18" s="50"/>
      <c r="C18" s="157">
        <v>0</v>
      </c>
      <c r="D18" s="105">
        <f>C18</f>
        <v>0</v>
      </c>
      <c r="E18" s="89">
        <f>D18</f>
        <v>0</v>
      </c>
      <c r="F18" s="89">
        <f>E18</f>
        <v>0</v>
      </c>
      <c r="G18" s="105">
        <f>F18</f>
        <v>0</v>
      </c>
      <c r="H18" s="89">
        <f>G18</f>
        <v>0</v>
      </c>
      <c r="I18" s="92">
        <f>C57</f>
        <v>0</v>
      </c>
      <c r="J18" s="105">
        <f>I18</f>
        <v>0</v>
      </c>
      <c r="K18" s="89">
        <f>J18</f>
        <v>0</v>
      </c>
      <c r="L18" s="89">
        <f>K18</f>
        <v>0</v>
      </c>
      <c r="M18" s="92">
        <f>L18</f>
        <v>0</v>
      </c>
    </row>
    <row r="19" spans="1:13" ht="14" customHeight="1" x14ac:dyDescent="0.15">
      <c r="A19" s="88" t="s">
        <v>40</v>
      </c>
      <c r="B19" s="72">
        <v>0.9</v>
      </c>
      <c r="C19" s="157">
        <v>0</v>
      </c>
      <c r="D19" s="105">
        <f t="shared" ref="D19:M19" si="7">D18*$B$28</f>
        <v>0</v>
      </c>
      <c r="E19" s="89">
        <f t="shared" si="7"/>
        <v>0</v>
      </c>
      <c r="F19" s="92">
        <f t="shared" si="7"/>
        <v>0</v>
      </c>
      <c r="G19" s="105">
        <f t="shared" si="7"/>
        <v>0</v>
      </c>
      <c r="H19" s="89">
        <f t="shared" si="7"/>
        <v>0</v>
      </c>
      <c r="I19" s="92">
        <f t="shared" si="7"/>
        <v>0</v>
      </c>
      <c r="J19" s="105">
        <f t="shared" si="7"/>
        <v>0</v>
      </c>
      <c r="K19" s="89">
        <f t="shared" si="7"/>
        <v>0</v>
      </c>
      <c r="L19" s="89">
        <f t="shared" si="7"/>
        <v>0</v>
      </c>
      <c r="M19" s="92">
        <f t="shared" si="7"/>
        <v>0</v>
      </c>
    </row>
    <row r="20" spans="1:13" ht="14" customHeight="1" x14ac:dyDescent="0.15">
      <c r="A20" s="88" t="s">
        <v>45</v>
      </c>
      <c r="B20" s="63"/>
      <c r="C20" s="108">
        <v>1</v>
      </c>
      <c r="D20" s="141">
        <f>C20</f>
        <v>1</v>
      </c>
      <c r="E20" s="66">
        <f>D20</f>
        <v>1</v>
      </c>
      <c r="F20" s="109">
        <f>E20</f>
        <v>1</v>
      </c>
      <c r="G20" s="141">
        <f>F20</f>
        <v>1</v>
      </c>
      <c r="H20" s="66">
        <f>G20</f>
        <v>1</v>
      </c>
      <c r="I20" s="107">
        <v>0.7</v>
      </c>
      <c r="J20" s="108">
        <v>7.0000000000000007E-2</v>
      </c>
      <c r="K20" s="66">
        <f>J20</f>
        <v>7.0000000000000007E-2</v>
      </c>
      <c r="L20" s="66">
        <f>K20</f>
        <v>7.0000000000000007E-2</v>
      </c>
      <c r="M20" s="109">
        <f>L20</f>
        <v>7.0000000000000007E-2</v>
      </c>
    </row>
    <row r="21" spans="1:13" s="173" customFormat="1" ht="13.5" customHeight="1" thickBot="1" x14ac:dyDescent="0.2">
      <c r="A21" s="77" t="s">
        <v>114</v>
      </c>
      <c r="B21" s="52"/>
      <c r="C21" s="148">
        <f>C12</f>
        <v>6.15</v>
      </c>
      <c r="D21" s="149">
        <f t="shared" ref="D21:M21" si="8">$C$30*(1+$B$26)^D$4</f>
        <v>6.2730000000000006</v>
      </c>
      <c r="E21" s="143">
        <f t="shared" si="8"/>
        <v>6.39846</v>
      </c>
      <c r="F21" s="144">
        <f t="shared" si="8"/>
        <v>6.5264291999999999</v>
      </c>
      <c r="G21" s="149">
        <f t="shared" si="8"/>
        <v>6.6569577840000003</v>
      </c>
      <c r="H21" s="143">
        <f t="shared" si="8"/>
        <v>6.7900969396800006</v>
      </c>
      <c r="I21" s="144">
        <f t="shared" si="8"/>
        <v>6.9258988784736006</v>
      </c>
      <c r="J21" s="149">
        <f t="shared" si="8"/>
        <v>7.0644168560430716</v>
      </c>
      <c r="K21" s="143">
        <f t="shared" si="8"/>
        <v>7.2057051931639338</v>
      </c>
      <c r="L21" s="143">
        <f t="shared" si="8"/>
        <v>7.3498192970272118</v>
      </c>
      <c r="M21" s="144">
        <f t="shared" si="8"/>
        <v>7.4968156829677568</v>
      </c>
    </row>
    <row r="22" spans="1:13" ht="14" customHeight="1" outlineLevel="1" x14ac:dyDescent="0.15">
      <c r="A22" s="159" t="s">
        <v>17</v>
      </c>
      <c r="B22" s="101"/>
      <c r="C22" s="214">
        <f>C19*(1-C20)*C21</f>
        <v>0</v>
      </c>
      <c r="D22" s="125">
        <f>D19*(1-D20)*D21</f>
        <v>0</v>
      </c>
      <c r="E22" s="126">
        <f>E19*(1-E20)*E21</f>
        <v>0</v>
      </c>
      <c r="F22" s="127">
        <f>F19*(1-F20)*F21</f>
        <v>0</v>
      </c>
      <c r="G22" s="125">
        <f t="shared" ref="G22:M22" si="9">G19*(1-G20)*G21</f>
        <v>0</v>
      </c>
      <c r="H22" s="126">
        <f t="shared" si="9"/>
        <v>0</v>
      </c>
      <c r="I22" s="127">
        <f t="shared" si="9"/>
        <v>0</v>
      </c>
      <c r="J22" s="125">
        <f t="shared" si="9"/>
        <v>0</v>
      </c>
      <c r="K22" s="126">
        <f t="shared" si="9"/>
        <v>0</v>
      </c>
      <c r="L22" s="126">
        <f t="shared" si="9"/>
        <v>0</v>
      </c>
      <c r="M22" s="127">
        <f t="shared" si="9"/>
        <v>0</v>
      </c>
    </row>
    <row r="23" spans="1:13" ht="14" customHeight="1" outlineLevel="1" x14ac:dyDescent="0.15">
      <c r="A23" s="88" t="s">
        <v>169</v>
      </c>
      <c r="B23" s="50"/>
      <c r="C23" s="130">
        <f t="shared" ref="C23:M23" si="10">C19*(1-C20)*($D$62*(1+$B$26)^C$4)</f>
        <v>0</v>
      </c>
      <c r="D23" s="128">
        <f t="shared" si="10"/>
        <v>0</v>
      </c>
      <c r="E23" s="118">
        <f t="shared" si="10"/>
        <v>0</v>
      </c>
      <c r="F23" s="129">
        <f t="shared" si="10"/>
        <v>0</v>
      </c>
      <c r="G23" s="128">
        <f t="shared" si="10"/>
        <v>0</v>
      </c>
      <c r="H23" s="118">
        <f t="shared" si="10"/>
        <v>0</v>
      </c>
      <c r="I23" s="129">
        <f t="shared" si="10"/>
        <v>0</v>
      </c>
      <c r="J23" s="128">
        <f t="shared" si="10"/>
        <v>0</v>
      </c>
      <c r="K23" s="118">
        <f t="shared" si="10"/>
        <v>0</v>
      </c>
      <c r="L23" s="118">
        <f t="shared" si="10"/>
        <v>0</v>
      </c>
      <c r="M23" s="129">
        <f t="shared" si="10"/>
        <v>0</v>
      </c>
    </row>
    <row r="24" spans="1:13" ht="14" customHeight="1" outlineLevel="1" thickBot="1" x14ac:dyDescent="0.2">
      <c r="A24" s="77" t="s">
        <v>170</v>
      </c>
      <c r="B24" s="52"/>
      <c r="C24" s="210">
        <f t="shared" ref="C24:M24" si="11">C19*($D$62*(1+$B$26)^C$4)</f>
        <v>0</v>
      </c>
      <c r="D24" s="211">
        <f t="shared" si="11"/>
        <v>0</v>
      </c>
      <c r="E24" s="212">
        <f t="shared" si="11"/>
        <v>0</v>
      </c>
      <c r="F24" s="213">
        <f t="shared" si="11"/>
        <v>0</v>
      </c>
      <c r="G24" s="211">
        <f t="shared" si="11"/>
        <v>0</v>
      </c>
      <c r="H24" s="212">
        <f t="shared" si="11"/>
        <v>0</v>
      </c>
      <c r="I24" s="213">
        <f t="shared" si="11"/>
        <v>0</v>
      </c>
      <c r="J24" s="211">
        <f t="shared" si="11"/>
        <v>0</v>
      </c>
      <c r="K24" s="212">
        <f t="shared" si="11"/>
        <v>0</v>
      </c>
      <c r="L24" s="212">
        <f t="shared" si="11"/>
        <v>0</v>
      </c>
      <c r="M24" s="213">
        <f t="shared" si="11"/>
        <v>0</v>
      </c>
    </row>
    <row r="25" spans="1:13" x14ac:dyDescent="0.15">
      <c r="A25" s="48" t="s">
        <v>312</v>
      </c>
      <c r="B25" s="50"/>
      <c r="C25" s="104"/>
      <c r="D25" s="49"/>
      <c r="E25" s="53"/>
      <c r="F25" s="68"/>
      <c r="G25" s="49"/>
      <c r="H25" s="53"/>
      <c r="I25" s="68"/>
      <c r="J25" s="49"/>
      <c r="K25" s="53"/>
      <c r="L25" s="53"/>
      <c r="M25" s="68"/>
    </row>
    <row r="26" spans="1:13" ht="14" customHeight="1" x14ac:dyDescent="0.15">
      <c r="A26" s="88" t="s">
        <v>11</v>
      </c>
      <c r="B26" s="72">
        <v>0.02</v>
      </c>
      <c r="C26" s="147"/>
      <c r="D26" s="76"/>
      <c r="E26" s="64"/>
      <c r="F26" s="67"/>
      <c r="G26" s="76"/>
      <c r="H26" s="64"/>
      <c r="I26" s="67"/>
      <c r="J26" s="76"/>
      <c r="K26" s="64"/>
      <c r="L26" s="64"/>
      <c r="M26" s="67"/>
    </row>
    <row r="27" spans="1:13" ht="14" customHeight="1" x14ac:dyDescent="0.15">
      <c r="A27" s="88" t="s">
        <v>113</v>
      </c>
      <c r="B27" s="50"/>
      <c r="C27" s="157">
        <v>0</v>
      </c>
      <c r="D27" s="105">
        <f t="shared" ref="D27:L27" si="12">C27</f>
        <v>0</v>
      </c>
      <c r="E27" s="89">
        <f t="shared" si="12"/>
        <v>0</v>
      </c>
      <c r="F27" s="89">
        <f t="shared" si="12"/>
        <v>0</v>
      </c>
      <c r="G27" s="105">
        <f t="shared" si="12"/>
        <v>0</v>
      </c>
      <c r="H27" s="89">
        <f t="shared" si="12"/>
        <v>0</v>
      </c>
      <c r="I27" s="89">
        <f>C58</f>
        <v>0</v>
      </c>
      <c r="J27" s="89">
        <f t="shared" si="12"/>
        <v>0</v>
      </c>
      <c r="K27" s="89">
        <f t="shared" si="12"/>
        <v>0</v>
      </c>
      <c r="L27" s="89">
        <f t="shared" si="12"/>
        <v>0</v>
      </c>
      <c r="M27" s="92">
        <f>C58+C59</f>
        <v>0</v>
      </c>
    </row>
    <row r="28" spans="1:13" ht="14" customHeight="1" x14ac:dyDescent="0.15">
      <c r="A28" s="88" t="s">
        <v>40</v>
      </c>
      <c r="B28" s="72">
        <v>0.9</v>
      </c>
      <c r="C28" s="157">
        <v>0</v>
      </c>
      <c r="D28" s="105">
        <f>D27*$B$28</f>
        <v>0</v>
      </c>
      <c r="E28" s="89">
        <f t="shared" ref="E28:M28" si="13">E27*$B$28</f>
        <v>0</v>
      </c>
      <c r="F28" s="92">
        <f t="shared" si="13"/>
        <v>0</v>
      </c>
      <c r="G28" s="105">
        <f t="shared" si="13"/>
        <v>0</v>
      </c>
      <c r="H28" s="89">
        <f t="shared" si="13"/>
        <v>0</v>
      </c>
      <c r="I28" s="92">
        <f t="shared" si="13"/>
        <v>0</v>
      </c>
      <c r="J28" s="105">
        <f t="shared" si="13"/>
        <v>0</v>
      </c>
      <c r="K28" s="89">
        <f t="shared" si="13"/>
        <v>0</v>
      </c>
      <c r="L28" s="89">
        <f t="shared" si="13"/>
        <v>0</v>
      </c>
      <c r="M28" s="92">
        <f t="shared" si="13"/>
        <v>0</v>
      </c>
    </row>
    <row r="29" spans="1:13" ht="14" customHeight="1" x14ac:dyDescent="0.15">
      <c r="A29" s="88" t="s">
        <v>45</v>
      </c>
      <c r="B29" s="63"/>
      <c r="C29" s="108">
        <v>1</v>
      </c>
      <c r="D29" s="141">
        <f>C29</f>
        <v>1</v>
      </c>
      <c r="E29" s="66">
        <f>D29</f>
        <v>1</v>
      </c>
      <c r="F29" s="109">
        <f t="shared" ref="F29:K29" si="14">E29</f>
        <v>1</v>
      </c>
      <c r="G29" s="141">
        <f t="shared" si="14"/>
        <v>1</v>
      </c>
      <c r="H29" s="66">
        <f t="shared" si="14"/>
        <v>1</v>
      </c>
      <c r="I29" s="66">
        <f t="shared" si="14"/>
        <v>1</v>
      </c>
      <c r="J29" s="66">
        <f t="shared" si="14"/>
        <v>1</v>
      </c>
      <c r="K29" s="66">
        <f t="shared" si="14"/>
        <v>1</v>
      </c>
      <c r="L29" s="66">
        <f>K29</f>
        <v>1</v>
      </c>
      <c r="M29" s="107">
        <v>7.0000000000000007E-2</v>
      </c>
    </row>
    <row r="30" spans="1:13" s="173" customFormat="1" ht="13.5" customHeight="1" thickBot="1" x14ac:dyDescent="0.2">
      <c r="A30" s="77" t="s">
        <v>114</v>
      </c>
      <c r="B30" s="52"/>
      <c r="C30" s="148">
        <f>C21</f>
        <v>6.15</v>
      </c>
      <c r="D30" s="149">
        <f t="shared" ref="D30:M30" si="15">$C$30*(1+$B$26)^D$4</f>
        <v>6.2730000000000006</v>
      </c>
      <c r="E30" s="143">
        <f t="shared" si="15"/>
        <v>6.39846</v>
      </c>
      <c r="F30" s="144">
        <f t="shared" si="15"/>
        <v>6.5264291999999999</v>
      </c>
      <c r="G30" s="149">
        <f t="shared" si="15"/>
        <v>6.6569577840000003</v>
      </c>
      <c r="H30" s="143">
        <f t="shared" si="15"/>
        <v>6.7900969396800006</v>
      </c>
      <c r="I30" s="144">
        <f t="shared" si="15"/>
        <v>6.9258988784736006</v>
      </c>
      <c r="J30" s="149">
        <f t="shared" si="15"/>
        <v>7.0644168560430716</v>
      </c>
      <c r="K30" s="143">
        <f t="shared" si="15"/>
        <v>7.2057051931639338</v>
      </c>
      <c r="L30" s="143">
        <f t="shared" si="15"/>
        <v>7.3498192970272118</v>
      </c>
      <c r="M30" s="144">
        <f t="shared" si="15"/>
        <v>7.4968156829677568</v>
      </c>
    </row>
    <row r="31" spans="1:13" ht="14" customHeight="1" outlineLevel="1" x14ac:dyDescent="0.15">
      <c r="A31" s="159" t="s">
        <v>17</v>
      </c>
      <c r="B31" s="101"/>
      <c r="C31" s="214">
        <f>C28*(1-C29)*C30</f>
        <v>0</v>
      </c>
      <c r="D31" s="125">
        <f t="shared" ref="D31:M31" si="16">D28*(1-D29)*D30</f>
        <v>0</v>
      </c>
      <c r="E31" s="126">
        <f t="shared" si="16"/>
        <v>0</v>
      </c>
      <c r="F31" s="127">
        <f>F28*(1-F29)*F30</f>
        <v>0</v>
      </c>
      <c r="G31" s="125">
        <f t="shared" si="16"/>
        <v>0</v>
      </c>
      <c r="H31" s="126">
        <f t="shared" si="16"/>
        <v>0</v>
      </c>
      <c r="I31" s="127">
        <f t="shared" si="16"/>
        <v>0</v>
      </c>
      <c r="J31" s="125">
        <f t="shared" si="16"/>
        <v>0</v>
      </c>
      <c r="K31" s="126">
        <f t="shared" si="16"/>
        <v>0</v>
      </c>
      <c r="L31" s="126">
        <f t="shared" si="16"/>
        <v>0</v>
      </c>
      <c r="M31" s="127">
        <f t="shared" si="16"/>
        <v>0</v>
      </c>
    </row>
    <row r="32" spans="1:13" ht="14" customHeight="1" outlineLevel="1" x14ac:dyDescent="0.15">
      <c r="A32" s="88" t="s">
        <v>169</v>
      </c>
      <c r="B32" s="50"/>
      <c r="C32" s="130">
        <f t="shared" ref="C32:M32" si="17">C28*(1-C29)*($D$62*(1+$B$26)^C$4)</f>
        <v>0</v>
      </c>
      <c r="D32" s="128">
        <f t="shared" si="17"/>
        <v>0</v>
      </c>
      <c r="E32" s="118">
        <f t="shared" si="17"/>
        <v>0</v>
      </c>
      <c r="F32" s="129">
        <f t="shared" si="17"/>
        <v>0</v>
      </c>
      <c r="G32" s="128">
        <f t="shared" si="17"/>
        <v>0</v>
      </c>
      <c r="H32" s="118">
        <f t="shared" si="17"/>
        <v>0</v>
      </c>
      <c r="I32" s="129">
        <f t="shared" si="17"/>
        <v>0</v>
      </c>
      <c r="J32" s="128">
        <f t="shared" si="17"/>
        <v>0</v>
      </c>
      <c r="K32" s="118">
        <f t="shared" si="17"/>
        <v>0</v>
      </c>
      <c r="L32" s="118">
        <f t="shared" si="17"/>
        <v>0</v>
      </c>
      <c r="M32" s="129">
        <f t="shared" si="17"/>
        <v>0</v>
      </c>
    </row>
    <row r="33" spans="1:13" ht="14" customHeight="1" outlineLevel="1" thickBot="1" x14ac:dyDescent="0.2">
      <c r="A33" s="77" t="s">
        <v>170</v>
      </c>
      <c r="B33" s="52"/>
      <c r="C33" s="210">
        <f t="shared" ref="C33:M33" si="18">C28*($D$62*(1+$B$26)^C$4)</f>
        <v>0</v>
      </c>
      <c r="D33" s="211">
        <f t="shared" si="18"/>
        <v>0</v>
      </c>
      <c r="E33" s="212">
        <f t="shared" si="18"/>
        <v>0</v>
      </c>
      <c r="F33" s="213">
        <f t="shared" si="18"/>
        <v>0</v>
      </c>
      <c r="G33" s="211">
        <f t="shared" si="18"/>
        <v>0</v>
      </c>
      <c r="H33" s="212">
        <f t="shared" si="18"/>
        <v>0</v>
      </c>
      <c r="I33" s="213">
        <f t="shared" si="18"/>
        <v>0</v>
      </c>
      <c r="J33" s="211">
        <f t="shared" si="18"/>
        <v>0</v>
      </c>
      <c r="K33" s="212">
        <f t="shared" si="18"/>
        <v>0</v>
      </c>
      <c r="L33" s="212">
        <f t="shared" si="18"/>
        <v>0</v>
      </c>
      <c r="M33" s="213">
        <f t="shared" si="18"/>
        <v>0</v>
      </c>
    </row>
    <row r="34" spans="1:13" ht="14" thickBot="1" x14ac:dyDescent="0.2">
      <c r="A34" s="96" t="s">
        <v>0</v>
      </c>
      <c r="B34" s="93"/>
      <c r="C34" s="102"/>
      <c r="D34" s="510"/>
      <c r="E34" s="511"/>
      <c r="F34" s="512"/>
      <c r="G34" s="181"/>
      <c r="H34" s="182"/>
      <c r="I34" s="183"/>
      <c r="J34" s="181"/>
      <c r="K34" s="182"/>
      <c r="L34" s="182"/>
      <c r="M34" s="183"/>
    </row>
    <row r="35" spans="1:13" x14ac:dyDescent="0.15">
      <c r="A35" s="88" t="s">
        <v>17</v>
      </c>
      <c r="B35" s="50"/>
      <c r="C35" s="80">
        <f t="shared" ref="C35:E36" si="19">SUM(C13,C31,)</f>
        <v>0</v>
      </c>
      <c r="D35" s="134">
        <f t="shared" si="19"/>
        <v>0</v>
      </c>
      <c r="E35" s="110">
        <f t="shared" si="19"/>
        <v>0</v>
      </c>
      <c r="F35" s="110">
        <f>SUM(F13,F22,F31,)</f>
        <v>0</v>
      </c>
      <c r="G35" s="214">
        <f t="shared" ref="G35:M35" si="20">SUM(G13,G22,G31,)</f>
        <v>0</v>
      </c>
      <c r="H35" s="216">
        <f t="shared" si="20"/>
        <v>0</v>
      </c>
      <c r="I35" s="216">
        <f t="shared" si="20"/>
        <v>0</v>
      </c>
      <c r="J35" s="214">
        <f t="shared" si="20"/>
        <v>0</v>
      </c>
      <c r="K35" s="216">
        <f t="shared" si="20"/>
        <v>0</v>
      </c>
      <c r="L35" s="216">
        <f t="shared" si="20"/>
        <v>0</v>
      </c>
      <c r="M35" s="217">
        <f t="shared" si="20"/>
        <v>0</v>
      </c>
    </row>
    <row r="36" spans="1:13" x14ac:dyDescent="0.15">
      <c r="A36" s="88" t="s">
        <v>118</v>
      </c>
      <c r="B36" s="50"/>
      <c r="C36" s="81">
        <f t="shared" si="19"/>
        <v>0</v>
      </c>
      <c r="D36" s="128">
        <f t="shared" si="19"/>
        <v>0</v>
      </c>
      <c r="E36" s="118">
        <f t="shared" si="19"/>
        <v>0</v>
      </c>
      <c r="F36" s="118">
        <f>SUM(F14,F32,F23)</f>
        <v>0</v>
      </c>
      <c r="G36" s="128">
        <f t="shared" ref="G36:M36" si="21">SUM(G14,G32,G23)</f>
        <v>0</v>
      </c>
      <c r="H36" s="118">
        <f t="shared" si="21"/>
        <v>0</v>
      </c>
      <c r="I36" s="118">
        <f t="shared" si="21"/>
        <v>0</v>
      </c>
      <c r="J36" s="128">
        <f t="shared" si="21"/>
        <v>0</v>
      </c>
      <c r="K36" s="118">
        <f t="shared" si="21"/>
        <v>0</v>
      </c>
      <c r="L36" s="118">
        <f t="shared" si="21"/>
        <v>0</v>
      </c>
      <c r="M36" s="129">
        <f t="shared" si="21"/>
        <v>0</v>
      </c>
    </row>
    <row r="37" spans="1:13" s="172" customFormat="1" ht="14" thickBot="1" x14ac:dyDescent="0.2">
      <c r="A37" s="114" t="s">
        <v>119</v>
      </c>
      <c r="B37" s="177"/>
      <c r="C37" s="179">
        <f>-SUM(C15,C33,)</f>
        <v>0</v>
      </c>
      <c r="D37" s="180">
        <f>-SUM(D15,D33,)</f>
        <v>0</v>
      </c>
      <c r="E37" s="178">
        <f>-SUM(E15,E33,)</f>
        <v>0</v>
      </c>
      <c r="F37" s="178">
        <f>-SUM(F15,F33,F24)</f>
        <v>0</v>
      </c>
      <c r="G37" s="370">
        <f t="shared" ref="G37:M37" si="22">-SUM(G15,G33,G24)</f>
        <v>0</v>
      </c>
      <c r="H37" s="371">
        <f t="shared" si="22"/>
        <v>0</v>
      </c>
      <c r="I37" s="371">
        <f t="shared" si="22"/>
        <v>0</v>
      </c>
      <c r="J37" s="370">
        <f t="shared" si="22"/>
        <v>0</v>
      </c>
      <c r="K37" s="371">
        <f t="shared" si="22"/>
        <v>0</v>
      </c>
      <c r="L37" s="371">
        <f t="shared" si="22"/>
        <v>0</v>
      </c>
      <c r="M37" s="372">
        <f t="shared" si="22"/>
        <v>0</v>
      </c>
    </row>
    <row r="38" spans="1:13" ht="14" customHeight="1" thickBot="1" x14ac:dyDescent="0.2">
      <c r="A38" s="348" t="s">
        <v>5</v>
      </c>
      <c r="B38" s="52"/>
      <c r="C38" s="136">
        <f>SUM(C35:C37)</f>
        <v>0</v>
      </c>
      <c r="D38" s="137">
        <f t="shared" ref="D38:M38" si="23">SUM(D35:D37)</f>
        <v>0</v>
      </c>
      <c r="E38" s="116">
        <f t="shared" si="23"/>
        <v>0</v>
      </c>
      <c r="F38" s="117">
        <f t="shared" si="23"/>
        <v>0</v>
      </c>
      <c r="G38" s="137">
        <f t="shared" si="23"/>
        <v>0</v>
      </c>
      <c r="H38" s="116">
        <f t="shared" si="23"/>
        <v>0</v>
      </c>
      <c r="I38" s="117">
        <f t="shared" si="23"/>
        <v>0</v>
      </c>
      <c r="J38" s="137">
        <f t="shared" si="23"/>
        <v>0</v>
      </c>
      <c r="K38" s="116">
        <f t="shared" si="23"/>
        <v>0</v>
      </c>
      <c r="L38" s="116">
        <f t="shared" si="23"/>
        <v>0</v>
      </c>
      <c r="M38" s="117">
        <f t="shared" si="23"/>
        <v>0</v>
      </c>
    </row>
    <row r="39" spans="1:13" ht="14" thickBot="1" x14ac:dyDescent="0.2">
      <c r="A39" s="96" t="s">
        <v>2</v>
      </c>
      <c r="B39" s="93"/>
      <c r="C39" s="102"/>
      <c r="D39" s="124"/>
      <c r="E39" s="99"/>
      <c r="F39" s="100"/>
      <c r="G39" s="124"/>
      <c r="H39" s="99"/>
      <c r="I39" s="100"/>
      <c r="J39" s="124"/>
      <c r="K39" s="99"/>
      <c r="L39" s="99"/>
      <c r="M39" s="100"/>
    </row>
    <row r="40" spans="1:13" x14ac:dyDescent="0.15">
      <c r="A40" s="88" t="s">
        <v>104</v>
      </c>
      <c r="B40" s="50"/>
      <c r="C40" s="352">
        <f>'Summary Board'!F105</f>
        <v>186.77301600000001</v>
      </c>
      <c r="D40" s="106">
        <f t="shared" ref="D40:M40" si="24">$C$40*(1+$B$8)^D4</f>
        <v>190.50847632000003</v>
      </c>
      <c r="E40" s="97">
        <f t="shared" si="24"/>
        <v>194.31864584640002</v>
      </c>
      <c r="F40" s="98">
        <f t="shared" si="24"/>
        <v>198.20501876332801</v>
      </c>
      <c r="G40" s="106">
        <f t="shared" si="24"/>
        <v>202.16911913859457</v>
      </c>
      <c r="H40" s="97">
        <f t="shared" si="24"/>
        <v>206.21250152136648</v>
      </c>
      <c r="I40" s="98">
        <f t="shared" si="24"/>
        <v>210.33675155179381</v>
      </c>
      <c r="J40" s="106">
        <f t="shared" si="24"/>
        <v>214.54348658282964</v>
      </c>
      <c r="K40" s="97">
        <f t="shared" si="24"/>
        <v>218.83435631448626</v>
      </c>
      <c r="L40" s="97">
        <f t="shared" si="24"/>
        <v>223.21104344077597</v>
      </c>
      <c r="M40" s="98">
        <f t="shared" si="24"/>
        <v>227.67526430959151</v>
      </c>
    </row>
    <row r="41" spans="1:13" ht="14" customHeight="1" x14ac:dyDescent="0.15">
      <c r="A41" s="88" t="s">
        <v>13</v>
      </c>
      <c r="B41" s="50"/>
      <c r="C41" s="132" t="e">
        <f>C42/SUM($C$42:$M$42)</f>
        <v>#DIV/0!</v>
      </c>
      <c r="D41" s="133" t="e">
        <f t="shared" ref="D41:M41" si="25">D42/SUM($C$42:$M$42)</f>
        <v>#DIV/0!</v>
      </c>
      <c r="E41" s="90" t="e">
        <f t="shared" si="25"/>
        <v>#DIV/0!</v>
      </c>
      <c r="F41" s="121" t="e">
        <f t="shared" si="25"/>
        <v>#DIV/0!</v>
      </c>
      <c r="G41" s="133" t="e">
        <f t="shared" si="25"/>
        <v>#DIV/0!</v>
      </c>
      <c r="H41" s="90" t="e">
        <f t="shared" si="25"/>
        <v>#DIV/0!</v>
      </c>
      <c r="I41" s="121" t="e">
        <f t="shared" si="25"/>
        <v>#DIV/0!</v>
      </c>
      <c r="J41" s="133" t="e">
        <f t="shared" si="25"/>
        <v>#DIV/0!</v>
      </c>
      <c r="K41" s="90" t="e">
        <f t="shared" si="25"/>
        <v>#DIV/0!</v>
      </c>
      <c r="L41" s="90" t="e">
        <f t="shared" si="25"/>
        <v>#DIV/0!</v>
      </c>
      <c r="M41" s="121" t="e">
        <f t="shared" si="25"/>
        <v>#DIV/0!</v>
      </c>
    </row>
    <row r="42" spans="1:13" ht="14" customHeight="1" x14ac:dyDescent="0.15">
      <c r="A42" s="88" t="s">
        <v>2</v>
      </c>
      <c r="B42" s="50"/>
      <c r="C42" s="85">
        <f>'Development Schedule'!D83*C40</f>
        <v>0</v>
      </c>
      <c r="D42" s="151">
        <f>'Development Schedule'!E83*D40</f>
        <v>0</v>
      </c>
      <c r="E42" s="152">
        <f>'Development Schedule'!F83*E40</f>
        <v>0</v>
      </c>
      <c r="F42" s="153">
        <f>'Development Schedule'!G83*F40</f>
        <v>0</v>
      </c>
      <c r="G42" s="151">
        <f>'Development Schedule'!H83*G40</f>
        <v>0</v>
      </c>
      <c r="H42" s="152">
        <f>'Development Schedule'!I83*H40</f>
        <v>0</v>
      </c>
      <c r="I42" s="153">
        <f>'Development Schedule'!J83*I40</f>
        <v>0</v>
      </c>
      <c r="J42" s="151">
        <f>'Development Schedule'!K83*J40</f>
        <v>0</v>
      </c>
      <c r="K42" s="152">
        <f>'Development Schedule'!L83*K40</f>
        <v>0</v>
      </c>
      <c r="L42" s="152">
        <f>'Development Schedule'!M83*L40</f>
        <v>0</v>
      </c>
      <c r="M42" s="153">
        <f>'Development Schedule'!N83*M40</f>
        <v>0</v>
      </c>
    </row>
    <row r="43" spans="1:13" ht="14" customHeight="1" x14ac:dyDescent="0.15">
      <c r="A43" s="114" t="s">
        <v>14</v>
      </c>
      <c r="B43" s="119"/>
      <c r="C43" s="86"/>
      <c r="D43" s="135"/>
      <c r="E43" s="120"/>
      <c r="F43" s="123"/>
      <c r="G43" s="135"/>
      <c r="H43" s="120"/>
      <c r="I43" s="123"/>
      <c r="J43" s="135"/>
      <c r="K43" s="120"/>
      <c r="L43" s="120"/>
      <c r="M43" s="123"/>
    </row>
    <row r="44" spans="1:13" ht="14" customHeight="1" thickBot="1" x14ac:dyDescent="0.2">
      <c r="A44" s="348" t="s">
        <v>3</v>
      </c>
      <c r="B44" s="52"/>
      <c r="C44" s="137">
        <f>SUM(C42:C43)</f>
        <v>0</v>
      </c>
      <c r="D44" s="137">
        <f t="shared" ref="D44:M44" si="26">SUM(D42:D43)</f>
        <v>0</v>
      </c>
      <c r="E44" s="116">
        <f t="shared" si="26"/>
        <v>0</v>
      </c>
      <c r="F44" s="117">
        <f t="shared" si="26"/>
        <v>0</v>
      </c>
      <c r="G44" s="137">
        <f t="shared" si="26"/>
        <v>0</v>
      </c>
      <c r="H44" s="116">
        <f t="shared" si="26"/>
        <v>0</v>
      </c>
      <c r="I44" s="117">
        <f t="shared" si="26"/>
        <v>0</v>
      </c>
      <c r="J44" s="137">
        <f t="shared" si="26"/>
        <v>0</v>
      </c>
      <c r="K44" s="116">
        <f t="shared" si="26"/>
        <v>0</v>
      </c>
      <c r="L44" s="116">
        <f t="shared" si="26"/>
        <v>0</v>
      </c>
      <c r="M44" s="117">
        <f t="shared" si="26"/>
        <v>0</v>
      </c>
    </row>
    <row r="45" spans="1:13" ht="14" thickBot="1" x14ac:dyDescent="0.2">
      <c r="A45" s="96" t="s">
        <v>4</v>
      </c>
      <c r="B45" s="93"/>
      <c r="C45" s="102"/>
      <c r="D45" s="124"/>
      <c r="E45" s="99"/>
      <c r="F45" s="100"/>
      <c r="G45" s="124"/>
      <c r="H45" s="99"/>
      <c r="I45" s="100"/>
      <c r="J45" s="124"/>
      <c r="K45" s="99"/>
      <c r="L45" s="99"/>
      <c r="M45" s="100"/>
    </row>
    <row r="46" spans="1:13" ht="14" customHeight="1" x14ac:dyDescent="0.15">
      <c r="A46" s="88" t="s">
        <v>5</v>
      </c>
      <c r="B46" s="50"/>
      <c r="C46" s="80">
        <f>C38</f>
        <v>0</v>
      </c>
      <c r="D46" s="134">
        <f t="shared" ref="D46:M46" si="27">D38</f>
        <v>0</v>
      </c>
      <c r="E46" s="110">
        <f t="shared" si="27"/>
        <v>0</v>
      </c>
      <c r="F46" s="122">
        <f t="shared" si="27"/>
        <v>0</v>
      </c>
      <c r="G46" s="134">
        <f t="shared" si="27"/>
        <v>0</v>
      </c>
      <c r="H46" s="110">
        <f t="shared" si="27"/>
        <v>0</v>
      </c>
      <c r="I46" s="122">
        <f t="shared" si="27"/>
        <v>0</v>
      </c>
      <c r="J46" s="134">
        <f t="shared" si="27"/>
        <v>0</v>
      </c>
      <c r="K46" s="110">
        <f t="shared" si="27"/>
        <v>0</v>
      </c>
      <c r="L46" s="110">
        <f t="shared" si="27"/>
        <v>0</v>
      </c>
      <c r="M46" s="122">
        <f t="shared" si="27"/>
        <v>0</v>
      </c>
    </row>
    <row r="47" spans="1:13" ht="14" customHeight="1" x14ac:dyDescent="0.15">
      <c r="A47" s="88" t="s">
        <v>60</v>
      </c>
      <c r="B47" s="66">
        <f>D63</f>
        <v>5.5E-2</v>
      </c>
      <c r="C47" s="82">
        <v>0</v>
      </c>
      <c r="D47" s="128">
        <f>C47</f>
        <v>0</v>
      </c>
      <c r="E47" s="118">
        <f t="shared" ref="E47:L48" si="28">D47</f>
        <v>0</v>
      </c>
      <c r="F47" s="129">
        <f t="shared" si="28"/>
        <v>0</v>
      </c>
      <c r="G47" s="128">
        <f t="shared" si="28"/>
        <v>0</v>
      </c>
      <c r="H47" s="118">
        <f t="shared" si="28"/>
        <v>0</v>
      </c>
      <c r="I47" s="129">
        <f t="shared" si="28"/>
        <v>0</v>
      </c>
      <c r="J47" s="128">
        <f t="shared" si="28"/>
        <v>0</v>
      </c>
      <c r="K47" s="118">
        <f t="shared" si="28"/>
        <v>0</v>
      </c>
      <c r="L47" s="118">
        <f t="shared" si="28"/>
        <v>0</v>
      </c>
      <c r="M47" s="129">
        <f>M46/B47</f>
        <v>0</v>
      </c>
    </row>
    <row r="48" spans="1:13" ht="14" customHeight="1" x14ac:dyDescent="0.15">
      <c r="A48" s="88" t="s">
        <v>61</v>
      </c>
      <c r="B48" s="66">
        <f>D64</f>
        <v>0.03</v>
      </c>
      <c r="C48" s="82">
        <v>0</v>
      </c>
      <c r="D48" s="128">
        <f>C48</f>
        <v>0</v>
      </c>
      <c r="E48" s="118">
        <f t="shared" si="28"/>
        <v>0</v>
      </c>
      <c r="F48" s="129">
        <f t="shared" si="28"/>
        <v>0</v>
      </c>
      <c r="G48" s="128">
        <f t="shared" si="28"/>
        <v>0</v>
      </c>
      <c r="H48" s="118">
        <f t="shared" si="28"/>
        <v>0</v>
      </c>
      <c r="I48" s="129">
        <f t="shared" si="28"/>
        <v>0</v>
      </c>
      <c r="J48" s="128">
        <f t="shared" si="28"/>
        <v>0</v>
      </c>
      <c r="K48" s="118">
        <f t="shared" si="28"/>
        <v>0</v>
      </c>
      <c r="L48" s="118">
        <f t="shared" si="28"/>
        <v>0</v>
      </c>
      <c r="M48" s="129">
        <f>M47*-B48</f>
        <v>0</v>
      </c>
    </row>
    <row r="49" spans="1:13" ht="14" customHeight="1" x14ac:dyDescent="0.15">
      <c r="A49" s="114" t="s">
        <v>105</v>
      </c>
      <c r="B49" s="150"/>
      <c r="C49" s="139">
        <f>-C44</f>
        <v>0</v>
      </c>
      <c r="D49" s="140">
        <f t="shared" ref="D49:M49" si="29">-D44</f>
        <v>0</v>
      </c>
      <c r="E49" s="112">
        <f t="shared" si="29"/>
        <v>0</v>
      </c>
      <c r="F49" s="115">
        <f t="shared" si="29"/>
        <v>0</v>
      </c>
      <c r="G49" s="140">
        <f t="shared" si="29"/>
        <v>0</v>
      </c>
      <c r="H49" s="112">
        <f t="shared" si="29"/>
        <v>0</v>
      </c>
      <c r="I49" s="115">
        <f t="shared" si="29"/>
        <v>0</v>
      </c>
      <c r="J49" s="140">
        <f t="shared" si="29"/>
        <v>0</v>
      </c>
      <c r="K49" s="112">
        <f t="shared" si="29"/>
        <v>0</v>
      </c>
      <c r="L49" s="112">
        <f t="shared" si="29"/>
        <v>0</v>
      </c>
      <c r="M49" s="115">
        <f t="shared" si="29"/>
        <v>0</v>
      </c>
    </row>
    <row r="50" spans="1:13" ht="14" customHeight="1" thickBot="1" x14ac:dyDescent="0.2">
      <c r="A50" s="348" t="s">
        <v>6</v>
      </c>
      <c r="B50" s="71"/>
      <c r="C50" s="136">
        <f>SUM(C46:C49)</f>
        <v>0</v>
      </c>
      <c r="D50" s="137">
        <f t="shared" ref="D50:M50" si="30">SUM(D46:D49)</f>
        <v>0</v>
      </c>
      <c r="E50" s="116">
        <f t="shared" si="30"/>
        <v>0</v>
      </c>
      <c r="F50" s="117">
        <f t="shared" si="30"/>
        <v>0</v>
      </c>
      <c r="G50" s="137">
        <f t="shared" si="30"/>
        <v>0</v>
      </c>
      <c r="H50" s="116">
        <f t="shared" si="30"/>
        <v>0</v>
      </c>
      <c r="I50" s="117">
        <f t="shared" si="30"/>
        <v>0</v>
      </c>
      <c r="J50" s="137">
        <f t="shared" si="30"/>
        <v>0</v>
      </c>
      <c r="K50" s="116">
        <f t="shared" si="30"/>
        <v>0</v>
      </c>
      <c r="L50" s="116">
        <f t="shared" si="30"/>
        <v>0</v>
      </c>
      <c r="M50" s="117">
        <f t="shared" si="30"/>
        <v>0</v>
      </c>
    </row>
    <row r="51" spans="1:13" ht="14" thickBot="1" x14ac:dyDescent="0.2">
      <c r="A51" s="69" t="s">
        <v>27</v>
      </c>
      <c r="B51" s="63"/>
      <c r="C51" s="184">
        <f>C50+NPV(D65,D50:M50)</f>
        <v>0</v>
      </c>
      <c r="D51" s="181"/>
      <c r="E51" s="182"/>
      <c r="F51" s="183"/>
      <c r="G51" s="181"/>
      <c r="H51" s="182"/>
      <c r="I51" s="183"/>
      <c r="J51" s="65"/>
      <c r="K51" s="65"/>
      <c r="L51" s="65"/>
      <c r="M51" s="91"/>
    </row>
    <row r="52" spans="1:13" ht="14" thickBot="1" x14ac:dyDescent="0.2">
      <c r="A52" s="54" t="s">
        <v>62</v>
      </c>
      <c r="B52" s="84"/>
      <c r="C52" s="142" t="e">
        <f>IRR(C50:M50,0)</f>
        <v>#NUM!</v>
      </c>
      <c r="D52" s="131"/>
      <c r="E52" s="84"/>
      <c r="F52" s="87"/>
      <c r="G52" s="131"/>
      <c r="H52" s="84"/>
      <c r="I52" s="87"/>
      <c r="J52" s="84"/>
      <c r="K52" s="84"/>
      <c r="L52" s="84"/>
      <c r="M52" s="87"/>
    </row>
    <row r="53" spans="1:13" ht="14" thickBot="1" x14ac:dyDescent="0.2">
      <c r="A53" s="35"/>
      <c r="B53" s="47"/>
      <c r="C53" s="47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14" thickBot="1" x14ac:dyDescent="0.2">
      <c r="A54" s="502" t="s">
        <v>99</v>
      </c>
      <c r="B54" s="503"/>
      <c r="C54" s="503"/>
      <c r="D54" s="504"/>
      <c r="E54" s="35"/>
      <c r="F54" s="35"/>
      <c r="G54" s="35"/>
      <c r="H54" s="35"/>
      <c r="I54" s="35"/>
      <c r="J54" s="35"/>
      <c r="K54" s="35"/>
      <c r="L54" s="35"/>
      <c r="M54" s="35"/>
    </row>
    <row r="55" spans="1:13" ht="14" thickBot="1" x14ac:dyDescent="0.2">
      <c r="A55" s="358"/>
      <c r="B55" s="359"/>
      <c r="C55" s="360" t="s">
        <v>115</v>
      </c>
      <c r="D55" s="361" t="s">
        <v>116</v>
      </c>
      <c r="E55" s="35"/>
      <c r="F55" s="35"/>
      <c r="G55" s="35"/>
      <c r="H55" s="35"/>
      <c r="I55" s="35"/>
      <c r="J55" s="35"/>
      <c r="K55" s="35"/>
      <c r="L55" s="35"/>
      <c r="M55" s="35"/>
    </row>
    <row r="56" spans="1:13" x14ac:dyDescent="0.15">
      <c r="A56" s="514" t="s">
        <v>422</v>
      </c>
      <c r="B56" s="373"/>
      <c r="C56" s="374">
        <f>'Development Schedule'!C21</f>
        <v>0</v>
      </c>
      <c r="D56" s="364">
        <f>C56*$B$28</f>
        <v>0</v>
      </c>
      <c r="E56" s="35"/>
      <c r="F56" s="35"/>
      <c r="G56" s="35"/>
      <c r="H56" s="35"/>
      <c r="I56" s="35"/>
      <c r="J56" s="35"/>
      <c r="K56" s="35"/>
      <c r="L56" s="35"/>
      <c r="M56" s="35"/>
    </row>
    <row r="57" spans="1:13" x14ac:dyDescent="0.15">
      <c r="A57" s="515" t="s">
        <v>423</v>
      </c>
      <c r="B57" s="362"/>
      <c r="C57" s="363">
        <f>'Development Schedule'!C50</f>
        <v>0</v>
      </c>
      <c r="D57" s="357">
        <f>C57*$B$28</f>
        <v>0</v>
      </c>
      <c r="E57" s="35"/>
      <c r="F57" s="35"/>
      <c r="G57" s="35"/>
      <c r="H57" s="35"/>
      <c r="I57" s="35"/>
      <c r="J57" s="35"/>
      <c r="K57" s="35"/>
      <c r="L57" s="35"/>
      <c r="M57" s="35"/>
    </row>
    <row r="58" spans="1:13" ht="14" thickBot="1" x14ac:dyDescent="0.2">
      <c r="A58" s="365" t="s">
        <v>339</v>
      </c>
      <c r="B58" s="366"/>
      <c r="C58" s="367">
        <v>0</v>
      </c>
      <c r="D58" s="368">
        <f>C58*$B$28</f>
        <v>0</v>
      </c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14" thickBot="1" x14ac:dyDescent="0.2">
      <c r="A59" s="515" t="s">
        <v>424</v>
      </c>
      <c r="B59" s="362"/>
      <c r="C59" s="367">
        <v>0</v>
      </c>
      <c r="D59" s="368">
        <f>C59*$B$28</f>
        <v>0</v>
      </c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14" thickBot="1" x14ac:dyDescent="0.2">
      <c r="A60" s="35"/>
      <c r="B60" s="47"/>
      <c r="C60" s="47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 ht="14" thickBot="1" x14ac:dyDescent="0.2">
      <c r="A61" s="502" t="s">
        <v>106</v>
      </c>
      <c r="B61" s="505"/>
      <c r="C61" s="505"/>
      <c r="D61" s="506"/>
      <c r="E61" s="35"/>
      <c r="F61" s="35"/>
      <c r="G61" s="35"/>
      <c r="H61" s="35"/>
      <c r="I61" s="35"/>
      <c r="J61" s="35"/>
      <c r="K61" s="35"/>
      <c r="L61" s="35"/>
      <c r="M61" s="35"/>
    </row>
    <row r="62" spans="1:13" x14ac:dyDescent="0.15">
      <c r="A62" s="49" t="s">
        <v>117</v>
      </c>
      <c r="B62" s="50"/>
      <c r="C62" s="50"/>
      <c r="D62" s="369">
        <f>C30*0.3</f>
        <v>1.845</v>
      </c>
      <c r="E62" s="35"/>
      <c r="F62" s="35"/>
      <c r="G62" s="35"/>
      <c r="H62" s="35"/>
      <c r="I62" s="35"/>
      <c r="J62" s="35"/>
      <c r="K62" s="35"/>
      <c r="L62" s="35"/>
      <c r="M62" s="35"/>
    </row>
    <row r="63" spans="1:13" x14ac:dyDescent="0.15">
      <c r="A63" s="49" t="s">
        <v>107</v>
      </c>
      <c r="B63" s="50"/>
      <c r="C63" s="50"/>
      <c r="D63" s="176">
        <f>'Summary Board'!K125</f>
        <v>5.5E-2</v>
      </c>
      <c r="E63" s="35"/>
      <c r="F63" s="35"/>
      <c r="G63" s="35"/>
      <c r="H63" s="35"/>
      <c r="I63" s="35"/>
      <c r="J63" s="35"/>
      <c r="K63" s="35"/>
      <c r="L63" s="35"/>
      <c r="M63" s="35"/>
    </row>
    <row r="64" spans="1:13" x14ac:dyDescent="0.15">
      <c r="A64" s="49" t="s">
        <v>108</v>
      </c>
      <c r="B64" s="50"/>
      <c r="C64" s="50"/>
      <c r="D64" s="176">
        <v>0.03</v>
      </c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14" thickBot="1" x14ac:dyDescent="0.2">
      <c r="A65" s="51" t="s">
        <v>95</v>
      </c>
      <c r="B65" s="52"/>
      <c r="C65" s="52"/>
      <c r="D65" s="517">
        <v>0.09</v>
      </c>
      <c r="E65" s="35"/>
      <c r="F65" s="35"/>
      <c r="G65" s="35"/>
      <c r="H65" s="35"/>
      <c r="I65" s="35"/>
      <c r="J65" s="35"/>
      <c r="K65" s="35"/>
      <c r="L65" s="35"/>
      <c r="M65" s="35"/>
    </row>
    <row r="66" spans="1:13" x14ac:dyDescent="0.15">
      <c r="A66" s="35"/>
      <c r="B66" s="47"/>
      <c r="C66" s="47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1:13" x14ac:dyDescent="0.15">
      <c r="A67" s="35"/>
      <c r="B67" s="47"/>
      <c r="C67" s="47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3" x14ac:dyDescent="0.15">
      <c r="A68" s="35"/>
      <c r="B68" s="47"/>
      <c r="C68" s="47"/>
      <c r="D68" s="35"/>
      <c r="E68" s="35"/>
      <c r="F68" s="35"/>
      <c r="G68" s="35"/>
      <c r="H68" s="35"/>
      <c r="I68" s="35"/>
      <c r="J68" s="35"/>
      <c r="K68" s="35"/>
      <c r="L68" s="35"/>
      <c r="M68" s="35"/>
    </row>
  </sheetData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&amp;L&amp;"Arial,Bold"5. Income Statement: Office/Commercial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/>
  </sheetPr>
  <dimension ref="A1:V117"/>
  <sheetViews>
    <sheetView view="pageBreakPreview" zoomScale="85" zoomScaleSheetLayoutView="85" workbookViewId="0">
      <selection activeCell="A112" sqref="A112:D112"/>
    </sheetView>
  </sheetViews>
  <sheetFormatPr baseColWidth="10" defaultColWidth="9.1640625" defaultRowHeight="13" outlineLevelRow="1" x14ac:dyDescent="0.15"/>
  <cols>
    <col min="1" max="1" width="23" style="1064" customWidth="1"/>
    <col min="2" max="2" width="12.6640625" style="1104" customWidth="1"/>
    <col min="3" max="3" width="13.6640625" style="1104" customWidth="1"/>
    <col min="4" max="13" width="13.6640625" style="1064" customWidth="1"/>
    <col min="14" max="14" width="14.33203125" style="1064" bestFit="1" customWidth="1"/>
    <col min="15" max="16384" width="9.1640625" style="1064"/>
  </cols>
  <sheetData>
    <row r="1" spans="1:22" ht="14" customHeight="1" thickBot="1" x14ac:dyDescent="0.2">
      <c r="A1" s="882"/>
      <c r="B1" s="883"/>
      <c r="C1" s="883"/>
      <c r="D1" s="882"/>
      <c r="E1" s="882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22" ht="14" customHeight="1" thickBot="1" x14ac:dyDescent="0.2">
      <c r="A2" s="882"/>
      <c r="B2" s="883"/>
      <c r="C2" s="883"/>
      <c r="D2" s="882"/>
      <c r="E2" s="882"/>
      <c r="F2" s="882"/>
      <c r="G2" s="882"/>
      <c r="H2" s="882"/>
      <c r="I2" s="882"/>
      <c r="J2" s="882"/>
      <c r="K2" s="882"/>
      <c r="L2" s="1234"/>
      <c r="M2" s="1235"/>
    </row>
    <row r="3" spans="1:22" ht="14" customHeight="1" thickBot="1" x14ac:dyDescent="0.2">
      <c r="A3" s="933"/>
      <c r="B3" s="1065"/>
      <c r="C3" s="1004" t="s">
        <v>58</v>
      </c>
      <c r="D3" s="939" t="s">
        <v>37</v>
      </c>
      <c r="E3" s="936"/>
      <c r="F3" s="936"/>
      <c r="G3" s="935" t="s">
        <v>79</v>
      </c>
      <c r="H3" s="938"/>
      <c r="I3" s="937"/>
      <c r="J3" s="939" t="s">
        <v>80</v>
      </c>
      <c r="K3" s="939"/>
      <c r="L3" s="936"/>
      <c r="M3" s="937"/>
    </row>
    <row r="4" spans="1:22" ht="14" customHeight="1" thickBot="1" x14ac:dyDescent="0.2">
      <c r="A4" s="941"/>
      <c r="B4" s="532"/>
      <c r="C4" s="1004">
        <v>0</v>
      </c>
      <c r="D4" s="943">
        <f>C4+1</f>
        <v>1</v>
      </c>
      <c r="E4" s="943">
        <f t="shared" ref="E4:M5" si="0">D4+1</f>
        <v>2</v>
      </c>
      <c r="F4" s="943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3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</row>
    <row r="5" spans="1:22" ht="14" customHeight="1" thickBot="1" x14ac:dyDescent="0.2">
      <c r="A5" s="947"/>
      <c r="B5" s="945"/>
      <c r="C5" s="1004" t="s">
        <v>362</v>
      </c>
      <c r="D5" s="943">
        <v>2020</v>
      </c>
      <c r="E5" s="943">
        <f>D5+1</f>
        <v>2021</v>
      </c>
      <c r="F5" s="943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3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</row>
    <row r="6" spans="1:22" ht="14" thickBot="1" x14ac:dyDescent="0.2">
      <c r="A6" s="1023" t="s">
        <v>10</v>
      </c>
      <c r="B6" s="1066"/>
      <c r="C6" s="1067"/>
      <c r="D6" s="1069"/>
      <c r="E6" s="1069"/>
      <c r="F6" s="1069"/>
      <c r="G6" s="1068"/>
      <c r="H6" s="1069"/>
      <c r="I6" s="1070"/>
      <c r="J6" s="1069"/>
      <c r="K6" s="1069"/>
      <c r="L6" s="1069"/>
      <c r="M6" s="1070"/>
    </row>
    <row r="7" spans="1:22" ht="14" customHeight="1" x14ac:dyDescent="0.15">
      <c r="A7" s="1182" t="s">
        <v>37</v>
      </c>
      <c r="B7" s="1197"/>
      <c r="C7" s="1198"/>
      <c r="D7" s="1197"/>
      <c r="E7" s="1197"/>
      <c r="F7" s="1197"/>
      <c r="G7" s="1199"/>
      <c r="H7" s="1197"/>
      <c r="I7" s="1200"/>
      <c r="J7" s="1197"/>
      <c r="K7" s="1197"/>
      <c r="L7" s="1197"/>
      <c r="M7" s="1200"/>
    </row>
    <row r="8" spans="1:22" ht="14" customHeight="1" x14ac:dyDescent="0.15">
      <c r="A8" s="1011" t="s">
        <v>11</v>
      </c>
      <c r="B8" s="1201">
        <v>0.02</v>
      </c>
      <c r="C8" s="1114"/>
      <c r="D8" s="1116"/>
      <c r="E8" s="1116"/>
      <c r="F8" s="1116"/>
      <c r="G8" s="1115"/>
      <c r="H8" s="1116"/>
      <c r="I8" s="1117"/>
      <c r="J8" s="1116"/>
      <c r="K8" s="1116"/>
      <c r="L8" s="1116"/>
      <c r="M8" s="1117"/>
    </row>
    <row r="9" spans="1:22" ht="14" customHeight="1" x14ac:dyDescent="0.15">
      <c r="A9" s="1011" t="s">
        <v>113</v>
      </c>
      <c r="B9" s="1038"/>
      <c r="C9" s="1249">
        <v>0</v>
      </c>
      <c r="D9" s="1121">
        <f>C9</f>
        <v>0</v>
      </c>
      <c r="E9" s="1121">
        <f>C103</f>
        <v>90343</v>
      </c>
      <c r="F9" s="1121">
        <f t="shared" ref="F9:M11" si="1">E9</f>
        <v>90343</v>
      </c>
      <c r="G9" s="1123">
        <f t="shared" si="1"/>
        <v>90343</v>
      </c>
      <c r="H9" s="1121">
        <f t="shared" si="1"/>
        <v>90343</v>
      </c>
      <c r="I9" s="1124">
        <f t="shared" si="1"/>
        <v>90343</v>
      </c>
      <c r="J9" s="1121">
        <f t="shared" si="1"/>
        <v>90343</v>
      </c>
      <c r="K9" s="1121">
        <f t="shared" si="1"/>
        <v>90343</v>
      </c>
      <c r="L9" s="1121">
        <f t="shared" si="1"/>
        <v>90343</v>
      </c>
      <c r="M9" s="1124">
        <f t="shared" si="1"/>
        <v>90343</v>
      </c>
    </row>
    <row r="10" spans="1:22" ht="14" customHeight="1" x14ac:dyDescent="0.15">
      <c r="A10" s="1011" t="s">
        <v>40</v>
      </c>
      <c r="B10" s="1106">
        <v>0.9</v>
      </c>
      <c r="C10" s="1249">
        <f>C9*$B$10</f>
        <v>0</v>
      </c>
      <c r="D10" s="1121">
        <f>D9*$B$10</f>
        <v>0</v>
      </c>
      <c r="E10" s="1121">
        <f t="shared" ref="E10:M10" si="2">E9*$B$10</f>
        <v>81308.7</v>
      </c>
      <c r="F10" s="1121">
        <f t="shared" si="2"/>
        <v>81308.7</v>
      </c>
      <c r="G10" s="1123">
        <f t="shared" si="2"/>
        <v>81308.7</v>
      </c>
      <c r="H10" s="1121">
        <f t="shared" si="2"/>
        <v>81308.7</v>
      </c>
      <c r="I10" s="1124">
        <f t="shared" si="2"/>
        <v>81308.7</v>
      </c>
      <c r="J10" s="1121">
        <f t="shared" si="2"/>
        <v>81308.7</v>
      </c>
      <c r="K10" s="1121">
        <f t="shared" si="2"/>
        <v>81308.7</v>
      </c>
      <c r="L10" s="1121">
        <f t="shared" si="2"/>
        <v>81308.7</v>
      </c>
      <c r="M10" s="1124">
        <f t="shared" si="2"/>
        <v>81308.7</v>
      </c>
    </row>
    <row r="11" spans="1:22" ht="14" customHeight="1" x14ac:dyDescent="0.15">
      <c r="A11" s="1011" t="s">
        <v>45</v>
      </c>
      <c r="B11" s="1172"/>
      <c r="C11" s="1107">
        <v>1</v>
      </c>
      <c r="D11" s="1106">
        <v>0</v>
      </c>
      <c r="E11" s="1106">
        <v>0.3</v>
      </c>
      <c r="F11" s="1106">
        <v>0.05</v>
      </c>
      <c r="G11" s="1111">
        <f t="shared" si="1"/>
        <v>0.05</v>
      </c>
      <c r="H11" s="1106">
        <f t="shared" si="1"/>
        <v>0.05</v>
      </c>
      <c r="I11" s="1110">
        <f t="shared" si="1"/>
        <v>0.05</v>
      </c>
      <c r="J11" s="1106">
        <f t="shared" si="1"/>
        <v>0.05</v>
      </c>
      <c r="K11" s="1106">
        <f t="shared" si="1"/>
        <v>0.05</v>
      </c>
      <c r="L11" s="1106">
        <f t="shared" si="1"/>
        <v>0.05</v>
      </c>
      <c r="M11" s="1110">
        <f t="shared" si="1"/>
        <v>0.05</v>
      </c>
    </row>
    <row r="12" spans="1:22" s="1239" customFormat="1" ht="14" thickBot="1" x14ac:dyDescent="0.2">
      <c r="A12" s="1088" t="s">
        <v>114</v>
      </c>
      <c r="B12" s="1154"/>
      <c r="C12" s="1205">
        <f>'Summary Board'!K111</f>
        <v>38</v>
      </c>
      <c r="D12" s="1207">
        <f>$C$12*(1+$B$8)^D$4</f>
        <v>38.76</v>
      </c>
      <c r="E12" s="1207">
        <f t="shared" ref="E12:M12" si="3">$C$12*(1+$B$8)^E$4</f>
        <v>39.535200000000003</v>
      </c>
      <c r="F12" s="1207">
        <f t="shared" si="3"/>
        <v>40.325903999999994</v>
      </c>
      <c r="G12" s="1206">
        <f t="shared" si="3"/>
        <v>41.132422079999998</v>
      </c>
      <c r="H12" s="1207">
        <f t="shared" si="3"/>
        <v>41.9550705216</v>
      </c>
      <c r="I12" s="1208">
        <f t="shared" si="3"/>
        <v>42.794171932032</v>
      </c>
      <c r="J12" s="1207">
        <f t="shared" si="3"/>
        <v>43.650055370672632</v>
      </c>
      <c r="K12" s="1207">
        <f t="shared" si="3"/>
        <v>44.52305647808609</v>
      </c>
      <c r="L12" s="1207">
        <f t="shared" si="3"/>
        <v>45.413517607647812</v>
      </c>
      <c r="M12" s="1208">
        <f t="shared" si="3"/>
        <v>46.321787959800773</v>
      </c>
      <c r="N12" s="1264"/>
      <c r="O12" s="1264"/>
      <c r="P12" s="1264"/>
      <c r="Q12" s="1264"/>
      <c r="R12" s="1264"/>
      <c r="S12" s="1264"/>
      <c r="T12" s="1264"/>
      <c r="U12" s="1264"/>
      <c r="V12" s="1264"/>
    </row>
    <row r="13" spans="1:22" s="1239" customFormat="1" outlineLevel="1" x14ac:dyDescent="0.15">
      <c r="A13" s="1097" t="s">
        <v>17</v>
      </c>
      <c r="B13" s="1197"/>
      <c r="C13" s="1146">
        <f>C10*(1-C11)*C12</f>
        <v>0</v>
      </c>
      <c r="D13" s="1166">
        <f>D10*(1-D11)*D12</f>
        <v>0</v>
      </c>
      <c r="E13" s="1166">
        <f>E10*(1-E11)*E12</f>
        <v>2250189.0013680002</v>
      </c>
      <c r="F13" s="1166">
        <f t="shared" ref="F13:M13" si="4">F10*(1-F11)*F12</f>
        <v>3114904.4890365596</v>
      </c>
      <c r="G13" s="1165">
        <f t="shared" si="4"/>
        <v>3177202.5788172912</v>
      </c>
      <c r="H13" s="1166">
        <f t="shared" si="4"/>
        <v>3240746.6303936369</v>
      </c>
      <c r="I13" s="1167">
        <f t="shared" si="4"/>
        <v>3305561.5630015098</v>
      </c>
      <c r="J13" s="1166">
        <f t="shared" si="4"/>
        <v>3371672.7942615394</v>
      </c>
      <c r="K13" s="1166">
        <f t="shared" si="4"/>
        <v>3439106.2501467704</v>
      </c>
      <c r="L13" s="1166">
        <f t="shared" si="4"/>
        <v>3507888.3751497059</v>
      </c>
      <c r="M13" s="1167">
        <f t="shared" si="4"/>
        <v>3578046.1426527002</v>
      </c>
      <c r="N13" s="1264"/>
      <c r="O13" s="1264"/>
      <c r="P13" s="1264"/>
      <c r="Q13" s="1264"/>
      <c r="R13" s="1264"/>
      <c r="S13" s="1264"/>
      <c r="T13" s="1264"/>
      <c r="U13" s="1264"/>
      <c r="V13" s="1264"/>
    </row>
    <row r="14" spans="1:22" s="1239" customFormat="1" outlineLevel="1" x14ac:dyDescent="0.15">
      <c r="A14" s="1011" t="s">
        <v>169</v>
      </c>
      <c r="B14" s="1038"/>
      <c r="C14" s="1168">
        <f t="shared" ref="C14:M14" si="5">C10*(1-C11)*($D$113*(1+$B8)^C$4)</f>
        <v>0</v>
      </c>
      <c r="D14" s="1170">
        <f t="shared" si="5"/>
        <v>0</v>
      </c>
      <c r="E14" s="1170">
        <f t="shared" si="5"/>
        <v>540045.36032832006</v>
      </c>
      <c r="F14" s="1170">
        <f t="shared" si="5"/>
        <v>747577.07736877445</v>
      </c>
      <c r="G14" s="1169">
        <f t="shared" si="5"/>
        <v>762528.61891614995</v>
      </c>
      <c r="H14" s="1170">
        <f t="shared" si="5"/>
        <v>777779.19129447301</v>
      </c>
      <c r="I14" s="1171">
        <f t="shared" si="5"/>
        <v>793334.77512036252</v>
      </c>
      <c r="J14" s="1170">
        <f t="shared" si="5"/>
        <v>809201.47062276956</v>
      </c>
      <c r="K14" s="1170">
        <f t="shared" si="5"/>
        <v>825385.50003522506</v>
      </c>
      <c r="L14" s="1170">
        <f t="shared" si="5"/>
        <v>841893.21003592957</v>
      </c>
      <c r="M14" s="1171">
        <f t="shared" si="5"/>
        <v>858731.07423664816</v>
      </c>
      <c r="N14" s="1264"/>
      <c r="O14" s="1264"/>
      <c r="P14" s="1264"/>
      <c r="Q14" s="1264"/>
      <c r="R14" s="1264"/>
      <c r="S14" s="1264"/>
      <c r="T14" s="1264"/>
      <c r="U14" s="1264"/>
      <c r="V14" s="1264"/>
    </row>
    <row r="15" spans="1:22" s="1239" customFormat="1" ht="14" outlineLevel="1" thickBot="1" x14ac:dyDescent="0.2">
      <c r="A15" s="1088" t="s">
        <v>170</v>
      </c>
      <c r="B15" s="1154"/>
      <c r="C15" s="1254">
        <f t="shared" ref="C15:M15" si="6">C10*($D$113*(1+$B8)^C$4)</f>
        <v>0</v>
      </c>
      <c r="D15" s="1246">
        <f t="shared" si="6"/>
        <v>0</v>
      </c>
      <c r="E15" s="1246">
        <f t="shared" si="6"/>
        <v>771493.37189760013</v>
      </c>
      <c r="F15" s="1246">
        <f t="shared" si="6"/>
        <v>786923.23933555197</v>
      </c>
      <c r="G15" s="1245">
        <f t="shared" si="6"/>
        <v>802661.70412226301</v>
      </c>
      <c r="H15" s="1246">
        <f t="shared" si="6"/>
        <v>818714.93820470839</v>
      </c>
      <c r="I15" s="1247">
        <f t="shared" si="6"/>
        <v>835089.23696880264</v>
      </c>
      <c r="J15" s="1246">
        <f t="shared" si="6"/>
        <v>851791.02170817845</v>
      </c>
      <c r="K15" s="1246">
        <f t="shared" si="6"/>
        <v>868826.84214234212</v>
      </c>
      <c r="L15" s="1246">
        <f t="shared" si="6"/>
        <v>886203.3789851889</v>
      </c>
      <c r="M15" s="1247">
        <f t="shared" si="6"/>
        <v>903927.44656489277</v>
      </c>
      <c r="N15" s="1264"/>
      <c r="O15" s="1264"/>
      <c r="P15" s="1264"/>
      <c r="Q15" s="1264"/>
      <c r="R15" s="1264"/>
      <c r="S15" s="1264"/>
      <c r="T15" s="1264"/>
      <c r="U15" s="1264"/>
      <c r="V15" s="1264"/>
    </row>
    <row r="16" spans="1:22" ht="14" hidden="1" customHeight="1" x14ac:dyDescent="0.15">
      <c r="A16" s="1071" t="s">
        <v>37</v>
      </c>
      <c r="B16" s="1038"/>
      <c r="C16" s="1112"/>
      <c r="D16" s="1038"/>
      <c r="E16" s="1038"/>
      <c r="F16" s="1038"/>
      <c r="G16" s="1037"/>
      <c r="H16" s="1038"/>
      <c r="I16" s="1113"/>
      <c r="J16" s="1038"/>
      <c r="K16" s="1038"/>
      <c r="L16" s="1038"/>
      <c r="M16" s="1113"/>
    </row>
    <row r="17" spans="1:22" ht="14" hidden="1" customHeight="1" x14ac:dyDescent="0.15">
      <c r="A17" s="1011" t="s">
        <v>11</v>
      </c>
      <c r="B17" s="1106">
        <v>0.02</v>
      </c>
      <c r="C17" s="1114"/>
      <c r="D17" s="1116"/>
      <c r="E17" s="1116"/>
      <c r="F17" s="1116"/>
      <c r="G17" s="1115"/>
      <c r="H17" s="1116"/>
      <c r="I17" s="1117"/>
      <c r="J17" s="1116"/>
      <c r="K17" s="1116"/>
      <c r="L17" s="1116"/>
      <c r="M17" s="1117"/>
    </row>
    <row r="18" spans="1:22" ht="14" hidden="1" customHeight="1" x14ac:dyDescent="0.15">
      <c r="A18" s="1011" t="s">
        <v>113</v>
      </c>
      <c r="B18" s="1038"/>
      <c r="C18" s="1249">
        <v>0</v>
      </c>
      <c r="D18" s="1121">
        <f>C18</f>
        <v>0</v>
      </c>
      <c r="E18" s="1121">
        <f>C104</f>
        <v>0</v>
      </c>
      <c r="F18" s="1121">
        <f t="shared" ref="F18:M18" si="7">E18</f>
        <v>0</v>
      </c>
      <c r="G18" s="1123">
        <f t="shared" si="7"/>
        <v>0</v>
      </c>
      <c r="H18" s="1121">
        <f t="shared" si="7"/>
        <v>0</v>
      </c>
      <c r="I18" s="1124">
        <f t="shared" si="7"/>
        <v>0</v>
      </c>
      <c r="J18" s="1121">
        <f t="shared" si="7"/>
        <v>0</v>
      </c>
      <c r="K18" s="1121">
        <f t="shared" si="7"/>
        <v>0</v>
      </c>
      <c r="L18" s="1121">
        <f t="shared" si="7"/>
        <v>0</v>
      </c>
      <c r="M18" s="1124">
        <f t="shared" si="7"/>
        <v>0</v>
      </c>
    </row>
    <row r="19" spans="1:22" ht="14" hidden="1" customHeight="1" x14ac:dyDescent="0.15">
      <c r="A19" s="1011" t="s">
        <v>40</v>
      </c>
      <c r="B19" s="1106">
        <v>0.9</v>
      </c>
      <c r="C19" s="1249">
        <f>C18*$B$19</f>
        <v>0</v>
      </c>
      <c r="D19" s="1121">
        <f t="shared" ref="D19:M19" si="8">D18*$B$19</f>
        <v>0</v>
      </c>
      <c r="E19" s="1121">
        <f t="shared" si="8"/>
        <v>0</v>
      </c>
      <c r="F19" s="1121">
        <f t="shared" si="8"/>
        <v>0</v>
      </c>
      <c r="G19" s="1123">
        <f t="shared" si="8"/>
        <v>0</v>
      </c>
      <c r="H19" s="1121">
        <f t="shared" si="8"/>
        <v>0</v>
      </c>
      <c r="I19" s="1124">
        <f t="shared" si="8"/>
        <v>0</v>
      </c>
      <c r="J19" s="1121">
        <f t="shared" si="8"/>
        <v>0</v>
      </c>
      <c r="K19" s="1121">
        <f t="shared" si="8"/>
        <v>0</v>
      </c>
      <c r="L19" s="1121">
        <f t="shared" si="8"/>
        <v>0</v>
      </c>
      <c r="M19" s="1124">
        <f t="shared" si="8"/>
        <v>0</v>
      </c>
    </row>
    <row r="20" spans="1:22" ht="14" hidden="1" customHeight="1" x14ac:dyDescent="0.15">
      <c r="A20" s="1011" t="s">
        <v>45</v>
      </c>
      <c r="B20" s="1172"/>
      <c r="C20" s="1107">
        <v>1</v>
      </c>
      <c r="D20" s="1106">
        <f>C20</f>
        <v>1</v>
      </c>
      <c r="E20" s="1106">
        <v>0.3</v>
      </c>
      <c r="F20" s="1106">
        <v>0.05</v>
      </c>
      <c r="G20" s="1111">
        <f t="shared" ref="G20:M20" si="9">F20</f>
        <v>0.05</v>
      </c>
      <c r="H20" s="1106">
        <f t="shared" si="9"/>
        <v>0.05</v>
      </c>
      <c r="I20" s="1110">
        <f t="shared" si="9"/>
        <v>0.05</v>
      </c>
      <c r="J20" s="1106">
        <f t="shared" si="9"/>
        <v>0.05</v>
      </c>
      <c r="K20" s="1106">
        <f t="shared" si="9"/>
        <v>0.05</v>
      </c>
      <c r="L20" s="1106">
        <f t="shared" si="9"/>
        <v>0.05</v>
      </c>
      <c r="M20" s="1110">
        <f t="shared" si="9"/>
        <v>0.05</v>
      </c>
    </row>
    <row r="21" spans="1:22" ht="14" hidden="1" thickBot="1" x14ac:dyDescent="0.2">
      <c r="A21" s="1088" t="s">
        <v>114</v>
      </c>
      <c r="B21" s="1154"/>
      <c r="C21" s="1205">
        <f>'Summary Board'!K110</f>
        <v>19.63</v>
      </c>
      <c r="D21" s="1207">
        <f t="shared" ref="D21:M21" si="10">$C$21*(1+$B$17)^D$4</f>
        <v>20.022600000000001</v>
      </c>
      <c r="E21" s="1207">
        <f t="shared" si="10"/>
        <v>20.423051999999998</v>
      </c>
      <c r="F21" s="1207">
        <f t="shared" si="10"/>
        <v>20.831513039999997</v>
      </c>
      <c r="G21" s="1206">
        <f t="shared" si="10"/>
        <v>21.248143300799999</v>
      </c>
      <c r="H21" s="1207">
        <f t="shared" si="10"/>
        <v>21.673106166815998</v>
      </c>
      <c r="I21" s="1208">
        <f t="shared" si="10"/>
        <v>22.106568290152321</v>
      </c>
      <c r="J21" s="1207">
        <f t="shared" si="10"/>
        <v>22.54869965595536</v>
      </c>
      <c r="K21" s="1207">
        <f t="shared" si="10"/>
        <v>22.99967364907447</v>
      </c>
      <c r="L21" s="1207">
        <f t="shared" si="10"/>
        <v>23.459667122055961</v>
      </c>
      <c r="M21" s="1208">
        <f t="shared" si="10"/>
        <v>23.928860464497081</v>
      </c>
      <c r="N21" s="1265"/>
      <c r="O21" s="1265"/>
      <c r="P21" s="1265"/>
      <c r="Q21" s="1265"/>
      <c r="R21" s="1265"/>
      <c r="S21" s="1265"/>
      <c r="T21" s="1265"/>
      <c r="U21" s="1265"/>
      <c r="V21" s="1265"/>
    </row>
    <row r="22" spans="1:22" s="1239" customFormat="1" hidden="1" outlineLevel="1" x14ac:dyDescent="0.15">
      <c r="A22" s="1097" t="s">
        <v>17</v>
      </c>
      <c r="B22" s="1197"/>
      <c r="C22" s="1146">
        <f t="shared" ref="C22:M22" si="11">C19*(1-C20)*C21</f>
        <v>0</v>
      </c>
      <c r="D22" s="1166">
        <f t="shared" si="11"/>
        <v>0</v>
      </c>
      <c r="E22" s="1166">
        <f t="shared" si="11"/>
        <v>0</v>
      </c>
      <c r="F22" s="1166">
        <f t="shared" si="11"/>
        <v>0</v>
      </c>
      <c r="G22" s="1165">
        <f t="shared" si="11"/>
        <v>0</v>
      </c>
      <c r="H22" s="1166">
        <f t="shared" si="11"/>
        <v>0</v>
      </c>
      <c r="I22" s="1167">
        <f t="shared" si="11"/>
        <v>0</v>
      </c>
      <c r="J22" s="1166">
        <f t="shared" si="11"/>
        <v>0</v>
      </c>
      <c r="K22" s="1166">
        <f t="shared" si="11"/>
        <v>0</v>
      </c>
      <c r="L22" s="1166">
        <f t="shared" si="11"/>
        <v>0</v>
      </c>
      <c r="M22" s="1167">
        <f t="shared" si="11"/>
        <v>0</v>
      </c>
      <c r="N22" s="1264"/>
      <c r="O22" s="1264"/>
      <c r="P22" s="1264"/>
      <c r="Q22" s="1264"/>
      <c r="R22" s="1264"/>
      <c r="S22" s="1264"/>
      <c r="T22" s="1264"/>
      <c r="U22" s="1264"/>
      <c r="V22" s="1264"/>
    </row>
    <row r="23" spans="1:22" s="1239" customFormat="1" hidden="1" outlineLevel="1" x14ac:dyDescent="0.15">
      <c r="A23" s="1011" t="s">
        <v>169</v>
      </c>
      <c r="B23" s="1038"/>
      <c r="C23" s="1168">
        <f t="shared" ref="C23:M23" si="12">C19*(1-C20)*($D$113*(1+$B17)^C$4)</f>
        <v>0</v>
      </c>
      <c r="D23" s="1170">
        <f t="shared" si="12"/>
        <v>0</v>
      </c>
      <c r="E23" s="1170">
        <f t="shared" si="12"/>
        <v>0</v>
      </c>
      <c r="F23" s="1170">
        <f t="shared" si="12"/>
        <v>0</v>
      </c>
      <c r="G23" s="1169">
        <f t="shared" si="12"/>
        <v>0</v>
      </c>
      <c r="H23" s="1170">
        <f t="shared" si="12"/>
        <v>0</v>
      </c>
      <c r="I23" s="1171">
        <f t="shared" si="12"/>
        <v>0</v>
      </c>
      <c r="J23" s="1170">
        <f t="shared" si="12"/>
        <v>0</v>
      </c>
      <c r="K23" s="1170">
        <f t="shared" si="12"/>
        <v>0</v>
      </c>
      <c r="L23" s="1170">
        <f t="shared" si="12"/>
        <v>0</v>
      </c>
      <c r="M23" s="1171">
        <f t="shared" si="12"/>
        <v>0</v>
      </c>
      <c r="N23" s="1264"/>
      <c r="O23" s="1264"/>
      <c r="P23" s="1264"/>
      <c r="Q23" s="1264"/>
      <c r="R23" s="1264"/>
      <c r="S23" s="1264"/>
      <c r="T23" s="1264"/>
      <c r="U23" s="1264"/>
      <c r="V23" s="1264"/>
    </row>
    <row r="24" spans="1:22" s="1239" customFormat="1" ht="14" hidden="1" outlineLevel="1" thickBot="1" x14ac:dyDescent="0.2">
      <c r="A24" s="1088" t="s">
        <v>170</v>
      </c>
      <c r="B24" s="1154"/>
      <c r="C24" s="1254">
        <f t="shared" ref="C24:M24" si="13">C19*($D$113*(1+$B17)^C$4)</f>
        <v>0</v>
      </c>
      <c r="D24" s="1246">
        <f t="shared" si="13"/>
        <v>0</v>
      </c>
      <c r="E24" s="1246">
        <f t="shared" si="13"/>
        <v>0</v>
      </c>
      <c r="F24" s="1246">
        <f t="shared" si="13"/>
        <v>0</v>
      </c>
      <c r="G24" s="1245">
        <f t="shared" si="13"/>
        <v>0</v>
      </c>
      <c r="H24" s="1246">
        <f t="shared" si="13"/>
        <v>0</v>
      </c>
      <c r="I24" s="1247">
        <f t="shared" si="13"/>
        <v>0</v>
      </c>
      <c r="J24" s="1246">
        <f t="shared" si="13"/>
        <v>0</v>
      </c>
      <c r="K24" s="1246">
        <f t="shared" si="13"/>
        <v>0</v>
      </c>
      <c r="L24" s="1246">
        <f t="shared" si="13"/>
        <v>0</v>
      </c>
      <c r="M24" s="1247">
        <f t="shared" si="13"/>
        <v>0</v>
      </c>
      <c r="N24" s="1264"/>
      <c r="O24" s="1264"/>
      <c r="P24" s="1264"/>
      <c r="Q24" s="1264"/>
      <c r="R24" s="1264"/>
      <c r="S24" s="1264"/>
      <c r="T24" s="1264"/>
      <c r="U24" s="1264"/>
      <c r="V24" s="1264"/>
    </row>
    <row r="25" spans="1:22" ht="14" customHeight="1" collapsed="1" x14ac:dyDescent="0.15">
      <c r="A25" s="1071" t="s">
        <v>37</v>
      </c>
      <c r="B25" s="1038"/>
      <c r="C25" s="1112"/>
      <c r="D25" s="1038"/>
      <c r="E25" s="1038"/>
      <c r="F25" s="1038"/>
      <c r="G25" s="1037"/>
      <c r="H25" s="1038"/>
      <c r="I25" s="1113"/>
      <c r="J25" s="1038"/>
      <c r="K25" s="1038"/>
      <c r="L25" s="1038"/>
      <c r="M25" s="1113"/>
    </row>
    <row r="26" spans="1:22" ht="14" customHeight="1" x14ac:dyDescent="0.15">
      <c r="A26" s="1011" t="s">
        <v>11</v>
      </c>
      <c r="B26" s="1106">
        <v>0.02</v>
      </c>
      <c r="C26" s="1114"/>
      <c r="D26" s="1116"/>
      <c r="E26" s="1116"/>
      <c r="F26" s="1116"/>
      <c r="G26" s="1115"/>
      <c r="H26" s="1116"/>
      <c r="I26" s="1117"/>
      <c r="J26" s="1116"/>
      <c r="K26" s="1116"/>
      <c r="L26" s="1116"/>
      <c r="M26" s="1117"/>
    </row>
    <row r="27" spans="1:22" ht="14" customHeight="1" x14ac:dyDescent="0.15">
      <c r="A27" s="1011" t="s">
        <v>113</v>
      </c>
      <c r="B27" s="1038"/>
      <c r="C27" s="1249">
        <v>0</v>
      </c>
      <c r="D27" s="1121">
        <f>C27</f>
        <v>0</v>
      </c>
      <c r="E27" s="1121">
        <f t="shared" ref="E27:M27" si="14">D27</f>
        <v>0</v>
      </c>
      <c r="F27" s="1121">
        <f>C105</f>
        <v>0</v>
      </c>
      <c r="G27" s="1123">
        <f t="shared" si="14"/>
        <v>0</v>
      </c>
      <c r="H27" s="1121">
        <f t="shared" si="14"/>
        <v>0</v>
      </c>
      <c r="I27" s="1124">
        <f t="shared" si="14"/>
        <v>0</v>
      </c>
      <c r="J27" s="1121">
        <f t="shared" si="14"/>
        <v>0</v>
      </c>
      <c r="K27" s="1121">
        <f t="shared" si="14"/>
        <v>0</v>
      </c>
      <c r="L27" s="1121">
        <f t="shared" si="14"/>
        <v>0</v>
      </c>
      <c r="M27" s="1124">
        <f t="shared" si="14"/>
        <v>0</v>
      </c>
    </row>
    <row r="28" spans="1:22" ht="14" customHeight="1" x14ac:dyDescent="0.15">
      <c r="A28" s="1011" t="s">
        <v>40</v>
      </c>
      <c r="B28" s="1106">
        <v>0.9</v>
      </c>
      <c r="C28" s="1249">
        <f>C27*$B$28</f>
        <v>0</v>
      </c>
      <c r="D28" s="1121">
        <f t="shared" ref="D28:M28" si="15">D27*$B$28</f>
        <v>0</v>
      </c>
      <c r="E28" s="1121">
        <f t="shared" si="15"/>
        <v>0</v>
      </c>
      <c r="F28" s="1121">
        <f t="shared" si="15"/>
        <v>0</v>
      </c>
      <c r="G28" s="1123">
        <f t="shared" si="15"/>
        <v>0</v>
      </c>
      <c r="H28" s="1121">
        <f t="shared" si="15"/>
        <v>0</v>
      </c>
      <c r="I28" s="1124">
        <f t="shared" si="15"/>
        <v>0</v>
      </c>
      <c r="J28" s="1121">
        <f t="shared" si="15"/>
        <v>0</v>
      </c>
      <c r="K28" s="1121">
        <f t="shared" si="15"/>
        <v>0</v>
      </c>
      <c r="L28" s="1121">
        <f t="shared" si="15"/>
        <v>0</v>
      </c>
      <c r="M28" s="1124">
        <f t="shared" si="15"/>
        <v>0</v>
      </c>
    </row>
    <row r="29" spans="1:22" ht="14" customHeight="1" x14ac:dyDescent="0.15">
      <c r="A29" s="1011" t="s">
        <v>45</v>
      </c>
      <c r="B29" s="1172"/>
      <c r="C29" s="1107">
        <v>1</v>
      </c>
      <c r="D29" s="1106">
        <f>C29</f>
        <v>1</v>
      </c>
      <c r="E29" s="1106">
        <v>1</v>
      </c>
      <c r="F29" s="1106">
        <v>0.3</v>
      </c>
      <c r="G29" s="1111">
        <v>0.05</v>
      </c>
      <c r="H29" s="1106">
        <f t="shared" ref="H29:M29" si="16">G29</f>
        <v>0.05</v>
      </c>
      <c r="I29" s="1110">
        <f t="shared" si="16"/>
        <v>0.05</v>
      </c>
      <c r="J29" s="1106">
        <f t="shared" si="16"/>
        <v>0.05</v>
      </c>
      <c r="K29" s="1106">
        <f t="shared" si="16"/>
        <v>0.05</v>
      </c>
      <c r="L29" s="1106">
        <f t="shared" si="16"/>
        <v>0.05</v>
      </c>
      <c r="M29" s="1110">
        <f t="shared" si="16"/>
        <v>0.05</v>
      </c>
    </row>
    <row r="30" spans="1:22" ht="14" thickBot="1" x14ac:dyDescent="0.2">
      <c r="A30" s="1088" t="s">
        <v>114</v>
      </c>
      <c r="B30" s="1154"/>
      <c r="C30" s="1205">
        <f>C21</f>
        <v>19.63</v>
      </c>
      <c r="D30" s="1207">
        <f t="shared" ref="D30:M30" si="17">$C$30*(1+$B$26)^D$4</f>
        <v>20.022600000000001</v>
      </c>
      <c r="E30" s="1207">
        <f t="shared" si="17"/>
        <v>20.423051999999998</v>
      </c>
      <c r="F30" s="1207">
        <f t="shared" si="17"/>
        <v>20.831513039999997</v>
      </c>
      <c r="G30" s="1206">
        <f t="shared" si="17"/>
        <v>21.248143300799999</v>
      </c>
      <c r="H30" s="1207">
        <f t="shared" si="17"/>
        <v>21.673106166815998</v>
      </c>
      <c r="I30" s="1208">
        <f t="shared" si="17"/>
        <v>22.106568290152321</v>
      </c>
      <c r="J30" s="1207">
        <f t="shared" si="17"/>
        <v>22.54869965595536</v>
      </c>
      <c r="K30" s="1207">
        <f t="shared" si="17"/>
        <v>22.99967364907447</v>
      </c>
      <c r="L30" s="1207">
        <f t="shared" si="17"/>
        <v>23.459667122055961</v>
      </c>
      <c r="M30" s="1208">
        <f t="shared" si="17"/>
        <v>23.928860464497081</v>
      </c>
      <c r="N30" s="1265"/>
      <c r="O30" s="1265"/>
      <c r="P30" s="1265"/>
      <c r="Q30" s="1265"/>
      <c r="R30" s="1265"/>
      <c r="S30" s="1265"/>
      <c r="T30" s="1265"/>
      <c r="U30" s="1265"/>
      <c r="V30" s="1265"/>
    </row>
    <row r="31" spans="1:22" s="1239" customFormat="1" outlineLevel="1" x14ac:dyDescent="0.15">
      <c r="A31" s="1097" t="s">
        <v>17</v>
      </c>
      <c r="B31" s="1197"/>
      <c r="C31" s="1146">
        <f>C28*(1-C29)*C30</f>
        <v>0</v>
      </c>
      <c r="D31" s="1166">
        <f t="shared" ref="D31:M31" si="18">D28*(1-D29)*D30</f>
        <v>0</v>
      </c>
      <c r="E31" s="1166">
        <f t="shared" si="18"/>
        <v>0</v>
      </c>
      <c r="F31" s="1166">
        <f t="shared" si="18"/>
        <v>0</v>
      </c>
      <c r="G31" s="1165">
        <f t="shared" si="18"/>
        <v>0</v>
      </c>
      <c r="H31" s="1166">
        <f t="shared" si="18"/>
        <v>0</v>
      </c>
      <c r="I31" s="1167">
        <f t="shared" si="18"/>
        <v>0</v>
      </c>
      <c r="J31" s="1166">
        <f t="shared" si="18"/>
        <v>0</v>
      </c>
      <c r="K31" s="1166">
        <f t="shared" si="18"/>
        <v>0</v>
      </c>
      <c r="L31" s="1166">
        <f t="shared" si="18"/>
        <v>0</v>
      </c>
      <c r="M31" s="1167">
        <f t="shared" si="18"/>
        <v>0</v>
      </c>
      <c r="N31" s="1264"/>
      <c r="O31" s="1264"/>
      <c r="P31" s="1264"/>
      <c r="Q31" s="1264"/>
      <c r="R31" s="1264"/>
      <c r="S31" s="1264"/>
      <c r="T31" s="1264"/>
      <c r="U31" s="1264"/>
      <c r="V31" s="1264"/>
    </row>
    <row r="32" spans="1:22" s="1239" customFormat="1" outlineLevel="1" x14ac:dyDescent="0.15">
      <c r="A32" s="1011" t="s">
        <v>169</v>
      </c>
      <c r="B32" s="1038"/>
      <c r="C32" s="1168">
        <f t="shared" ref="C32:M32" si="19">C28*(1-C29)*($D$113*(1+$B26)^C$4)</f>
        <v>0</v>
      </c>
      <c r="D32" s="1170">
        <f t="shared" si="19"/>
        <v>0</v>
      </c>
      <c r="E32" s="1170">
        <f t="shared" si="19"/>
        <v>0</v>
      </c>
      <c r="F32" s="1170">
        <f t="shared" si="19"/>
        <v>0</v>
      </c>
      <c r="G32" s="1169">
        <f t="shared" si="19"/>
        <v>0</v>
      </c>
      <c r="H32" s="1170">
        <f t="shared" si="19"/>
        <v>0</v>
      </c>
      <c r="I32" s="1171">
        <f t="shared" si="19"/>
        <v>0</v>
      </c>
      <c r="J32" s="1170">
        <f t="shared" si="19"/>
        <v>0</v>
      </c>
      <c r="K32" s="1170">
        <f t="shared" si="19"/>
        <v>0</v>
      </c>
      <c r="L32" s="1170">
        <f t="shared" si="19"/>
        <v>0</v>
      </c>
      <c r="M32" s="1171">
        <f t="shared" si="19"/>
        <v>0</v>
      </c>
      <c r="N32" s="1264"/>
      <c r="O32" s="1264"/>
      <c r="P32" s="1264"/>
      <c r="Q32" s="1264"/>
      <c r="R32" s="1264"/>
      <c r="S32" s="1264"/>
      <c r="T32" s="1264"/>
      <c r="U32" s="1264"/>
      <c r="V32" s="1264"/>
    </row>
    <row r="33" spans="1:22" s="1239" customFormat="1" ht="14" outlineLevel="1" thickBot="1" x14ac:dyDescent="0.2">
      <c r="A33" s="1088" t="s">
        <v>170</v>
      </c>
      <c r="B33" s="1154"/>
      <c r="C33" s="1254">
        <f t="shared" ref="C33:M33" si="20">C28*($D$113*(1+$B26)^C$4)</f>
        <v>0</v>
      </c>
      <c r="D33" s="1246">
        <f t="shared" si="20"/>
        <v>0</v>
      </c>
      <c r="E33" s="1246">
        <f t="shared" si="20"/>
        <v>0</v>
      </c>
      <c r="F33" s="1246">
        <f t="shared" si="20"/>
        <v>0</v>
      </c>
      <c r="G33" s="1245">
        <f t="shared" si="20"/>
        <v>0</v>
      </c>
      <c r="H33" s="1246">
        <f t="shared" si="20"/>
        <v>0</v>
      </c>
      <c r="I33" s="1247">
        <f t="shared" si="20"/>
        <v>0</v>
      </c>
      <c r="J33" s="1246">
        <f t="shared" si="20"/>
        <v>0</v>
      </c>
      <c r="K33" s="1246">
        <f t="shared" si="20"/>
        <v>0</v>
      </c>
      <c r="L33" s="1246">
        <f t="shared" si="20"/>
        <v>0</v>
      </c>
      <c r="M33" s="1247">
        <f t="shared" si="20"/>
        <v>0</v>
      </c>
      <c r="N33" s="1264"/>
      <c r="O33" s="1264"/>
      <c r="P33" s="1264"/>
      <c r="Q33" s="1264"/>
      <c r="R33" s="1264"/>
      <c r="S33" s="1264"/>
      <c r="T33" s="1264"/>
      <c r="U33" s="1264"/>
      <c r="V33" s="1264"/>
    </row>
    <row r="34" spans="1:22" ht="14" customHeight="1" x14ac:dyDescent="0.15">
      <c r="A34" s="1071" t="s">
        <v>79</v>
      </c>
      <c r="B34" s="1038"/>
      <c r="C34" s="1112"/>
      <c r="D34" s="1038"/>
      <c r="E34" s="1038"/>
      <c r="F34" s="1038"/>
      <c r="G34" s="1037"/>
      <c r="H34" s="1038"/>
      <c r="I34" s="1113"/>
      <c r="J34" s="1038"/>
      <c r="K34" s="1038"/>
      <c r="L34" s="1038"/>
      <c r="M34" s="1113"/>
    </row>
    <row r="35" spans="1:22" ht="14" customHeight="1" x14ac:dyDescent="0.15">
      <c r="A35" s="1011" t="s">
        <v>11</v>
      </c>
      <c r="B35" s="1106">
        <v>0.02</v>
      </c>
      <c r="C35" s="1114"/>
      <c r="D35" s="1116"/>
      <c r="E35" s="1116"/>
      <c r="F35" s="1116"/>
      <c r="G35" s="1115"/>
      <c r="H35" s="1116"/>
      <c r="I35" s="1117"/>
      <c r="J35" s="1116"/>
      <c r="K35" s="1116"/>
      <c r="L35" s="1116"/>
      <c r="M35" s="1117"/>
      <c r="O35" s="882"/>
    </row>
    <row r="36" spans="1:22" ht="14" customHeight="1" x14ac:dyDescent="0.15">
      <c r="A36" s="1011" t="s">
        <v>113</v>
      </c>
      <c r="B36" s="1038"/>
      <c r="C36" s="1249">
        <v>0</v>
      </c>
      <c r="D36" s="1121">
        <f>C36</f>
        <v>0</v>
      </c>
      <c r="E36" s="1121">
        <f>D36</f>
        <v>0</v>
      </c>
      <c r="F36" s="1121">
        <f t="shared" ref="F36:M36" si="21">E36</f>
        <v>0</v>
      </c>
      <c r="G36" s="1123">
        <f t="shared" si="21"/>
        <v>0</v>
      </c>
      <c r="H36" s="1121">
        <f>C106</f>
        <v>56733</v>
      </c>
      <c r="I36" s="1124">
        <f t="shared" si="21"/>
        <v>56733</v>
      </c>
      <c r="J36" s="1121">
        <f t="shared" si="21"/>
        <v>56733</v>
      </c>
      <c r="K36" s="1121">
        <f t="shared" si="21"/>
        <v>56733</v>
      </c>
      <c r="L36" s="1121">
        <f t="shared" si="21"/>
        <v>56733</v>
      </c>
      <c r="M36" s="1124">
        <f t="shared" si="21"/>
        <v>56733</v>
      </c>
    </row>
    <row r="37" spans="1:22" ht="14" customHeight="1" x14ac:dyDescent="0.15">
      <c r="A37" s="1011" t="s">
        <v>40</v>
      </c>
      <c r="B37" s="1106">
        <v>0.9</v>
      </c>
      <c r="C37" s="1249">
        <f>C36*$B$37</f>
        <v>0</v>
      </c>
      <c r="D37" s="1121">
        <f t="shared" ref="D37:M37" si="22">D36*$B$37</f>
        <v>0</v>
      </c>
      <c r="E37" s="1121">
        <f t="shared" si="22"/>
        <v>0</v>
      </c>
      <c r="F37" s="1121">
        <f t="shared" si="22"/>
        <v>0</v>
      </c>
      <c r="G37" s="1123">
        <f t="shared" si="22"/>
        <v>0</v>
      </c>
      <c r="H37" s="1121">
        <f t="shared" si="22"/>
        <v>51059.700000000004</v>
      </c>
      <c r="I37" s="1124">
        <f t="shared" si="22"/>
        <v>51059.700000000004</v>
      </c>
      <c r="J37" s="1121">
        <f t="shared" si="22"/>
        <v>51059.700000000004</v>
      </c>
      <c r="K37" s="1121">
        <f t="shared" si="22"/>
        <v>51059.700000000004</v>
      </c>
      <c r="L37" s="1121">
        <f t="shared" si="22"/>
        <v>51059.700000000004</v>
      </c>
      <c r="M37" s="1124">
        <f t="shared" si="22"/>
        <v>51059.700000000004</v>
      </c>
    </row>
    <row r="38" spans="1:22" ht="14" customHeight="1" x14ac:dyDescent="0.15">
      <c r="A38" s="1011" t="s">
        <v>45</v>
      </c>
      <c r="B38" s="1172"/>
      <c r="C38" s="1107">
        <v>1</v>
      </c>
      <c r="D38" s="1106">
        <f>C38</f>
        <v>1</v>
      </c>
      <c r="E38" s="1106">
        <f>D38</f>
        <v>1</v>
      </c>
      <c r="F38" s="1106">
        <f>E38</f>
        <v>1</v>
      </c>
      <c r="G38" s="1111">
        <f t="shared" ref="G38:M38" si="23">F38</f>
        <v>1</v>
      </c>
      <c r="H38" s="1106">
        <v>0.3</v>
      </c>
      <c r="I38" s="1110">
        <v>0.05</v>
      </c>
      <c r="J38" s="1106">
        <f t="shared" si="23"/>
        <v>0.05</v>
      </c>
      <c r="K38" s="1106">
        <f t="shared" si="23"/>
        <v>0.05</v>
      </c>
      <c r="L38" s="1106">
        <f t="shared" si="23"/>
        <v>0.05</v>
      </c>
      <c r="M38" s="1110">
        <f t="shared" si="23"/>
        <v>0.05</v>
      </c>
    </row>
    <row r="39" spans="1:22" ht="18" customHeight="1" thickBot="1" x14ac:dyDescent="0.2">
      <c r="A39" s="1088" t="s">
        <v>114</v>
      </c>
      <c r="B39" s="1154"/>
      <c r="C39" s="1205">
        <f>C30</f>
        <v>19.63</v>
      </c>
      <c r="D39" s="1207">
        <f t="shared" ref="D39:M39" si="24">$C$39*(1+$B$35)^D$4</f>
        <v>20.022600000000001</v>
      </c>
      <c r="E39" s="1207">
        <f t="shared" si="24"/>
        <v>20.423051999999998</v>
      </c>
      <c r="F39" s="1207">
        <f t="shared" si="24"/>
        <v>20.831513039999997</v>
      </c>
      <c r="G39" s="1206">
        <f t="shared" si="24"/>
        <v>21.248143300799999</v>
      </c>
      <c r="H39" s="1207">
        <f t="shared" si="24"/>
        <v>21.673106166815998</v>
      </c>
      <c r="I39" s="1208">
        <f t="shared" si="24"/>
        <v>22.106568290152321</v>
      </c>
      <c r="J39" s="1207">
        <f t="shared" si="24"/>
        <v>22.54869965595536</v>
      </c>
      <c r="K39" s="1207">
        <f t="shared" si="24"/>
        <v>22.99967364907447</v>
      </c>
      <c r="L39" s="1207">
        <f t="shared" si="24"/>
        <v>23.459667122055961</v>
      </c>
      <c r="M39" s="1208">
        <f t="shared" si="24"/>
        <v>23.928860464497081</v>
      </c>
      <c r="N39" s="1265"/>
      <c r="O39" s="1265"/>
      <c r="P39" s="1265"/>
      <c r="Q39" s="1265"/>
      <c r="R39" s="1265"/>
      <c r="S39" s="1265"/>
      <c r="T39" s="1265"/>
      <c r="U39" s="1265"/>
      <c r="V39" s="1265"/>
    </row>
    <row r="40" spans="1:22" s="1239" customFormat="1" outlineLevel="1" x14ac:dyDescent="0.15">
      <c r="A40" s="1097" t="s">
        <v>17</v>
      </c>
      <c r="B40" s="1197"/>
      <c r="C40" s="1146">
        <f>C37*(1-C38)*C39</f>
        <v>0</v>
      </c>
      <c r="D40" s="1166">
        <f t="shared" ref="D40:M40" si="25">D37*(1-D38)*D39</f>
        <v>0</v>
      </c>
      <c r="E40" s="1166">
        <f t="shared" si="25"/>
        <v>0</v>
      </c>
      <c r="F40" s="1166">
        <f t="shared" si="25"/>
        <v>0</v>
      </c>
      <c r="G40" s="1165">
        <f t="shared" si="25"/>
        <v>0</v>
      </c>
      <c r="H40" s="1166">
        <f t="shared" si="25"/>
        <v>774635.60926204245</v>
      </c>
      <c r="I40" s="1167">
        <f t="shared" si="25"/>
        <v>1072317.0076784561</v>
      </c>
      <c r="J40" s="1166">
        <f t="shared" si="25"/>
        <v>1093763.3478320248</v>
      </c>
      <c r="K40" s="1166">
        <f t="shared" si="25"/>
        <v>1115638.6147886654</v>
      </c>
      <c r="L40" s="1166">
        <f t="shared" si="25"/>
        <v>1137951.3870844389</v>
      </c>
      <c r="M40" s="1167">
        <f t="shared" si="25"/>
        <v>1160710.4148261277</v>
      </c>
      <c r="N40" s="1264"/>
      <c r="O40" s="1264"/>
      <c r="P40" s="1264"/>
      <c r="Q40" s="1264"/>
      <c r="R40" s="1264"/>
      <c r="S40" s="1264"/>
      <c r="T40" s="1264"/>
      <c r="U40" s="1264"/>
      <c r="V40" s="1264"/>
    </row>
    <row r="41" spans="1:22" s="1239" customFormat="1" outlineLevel="1" x14ac:dyDescent="0.15">
      <c r="A41" s="1011" t="s">
        <v>169</v>
      </c>
      <c r="B41" s="1038"/>
      <c r="C41" s="1168">
        <f t="shared" ref="C41:M41" si="26">C37*(1-C38)*($D$113*(1+$B35)^C$4)</f>
        <v>0</v>
      </c>
      <c r="D41" s="1170">
        <f t="shared" si="26"/>
        <v>0</v>
      </c>
      <c r="E41" s="1170">
        <f t="shared" si="26"/>
        <v>0</v>
      </c>
      <c r="F41" s="1170">
        <f t="shared" si="26"/>
        <v>0</v>
      </c>
      <c r="G41" s="1169">
        <f t="shared" si="26"/>
        <v>0</v>
      </c>
      <c r="H41" s="1170">
        <f t="shared" si="26"/>
        <v>359891.83680437232</v>
      </c>
      <c r="I41" s="1171">
        <f t="shared" si="26"/>
        <v>498193.12837633828</v>
      </c>
      <c r="J41" s="1170">
        <f t="shared" si="26"/>
        <v>508156.99094386492</v>
      </c>
      <c r="K41" s="1170">
        <f t="shared" si="26"/>
        <v>518320.13076274231</v>
      </c>
      <c r="L41" s="1170">
        <f t="shared" si="26"/>
        <v>528686.53337799711</v>
      </c>
      <c r="M41" s="1171">
        <f t="shared" si="26"/>
        <v>539260.26404555712</v>
      </c>
      <c r="N41" s="1264"/>
      <c r="O41" s="1264"/>
      <c r="P41" s="1264"/>
      <c r="Q41" s="1264"/>
      <c r="R41" s="1264"/>
      <c r="S41" s="1264"/>
      <c r="T41" s="1264"/>
      <c r="U41" s="1264"/>
      <c r="V41" s="1264"/>
    </row>
    <row r="42" spans="1:22" s="1239" customFormat="1" ht="14" outlineLevel="1" thickBot="1" x14ac:dyDescent="0.2">
      <c r="A42" s="1088" t="s">
        <v>170</v>
      </c>
      <c r="B42" s="1154"/>
      <c r="C42" s="1254">
        <f t="shared" ref="C42:M42" si="27">C37*($D$113*(1+$B35)^C$4)</f>
        <v>0</v>
      </c>
      <c r="D42" s="1246">
        <f t="shared" si="27"/>
        <v>0</v>
      </c>
      <c r="E42" s="1246">
        <f t="shared" si="27"/>
        <v>0</v>
      </c>
      <c r="F42" s="1246">
        <f t="shared" si="27"/>
        <v>0</v>
      </c>
      <c r="G42" s="1245">
        <f t="shared" si="27"/>
        <v>0</v>
      </c>
      <c r="H42" s="1246">
        <f t="shared" si="27"/>
        <v>514131.19543481758</v>
      </c>
      <c r="I42" s="1247">
        <f t="shared" si="27"/>
        <v>524413.81934351404</v>
      </c>
      <c r="J42" s="1246">
        <f t="shared" si="27"/>
        <v>534902.09573038411</v>
      </c>
      <c r="K42" s="1246">
        <f t="shared" si="27"/>
        <v>545600.13764499186</v>
      </c>
      <c r="L42" s="1246">
        <f t="shared" si="27"/>
        <v>556512.14039789175</v>
      </c>
      <c r="M42" s="1247">
        <f t="shared" si="27"/>
        <v>567642.38320584956</v>
      </c>
      <c r="N42" s="1264"/>
      <c r="O42" s="1264"/>
      <c r="P42" s="1264"/>
      <c r="Q42" s="1264"/>
      <c r="R42" s="1264"/>
      <c r="S42" s="1264"/>
      <c r="T42" s="1264"/>
      <c r="U42" s="1264"/>
      <c r="V42" s="1264"/>
    </row>
    <row r="43" spans="1:22" ht="14" hidden="1" customHeight="1" x14ac:dyDescent="0.15">
      <c r="A43" s="1071" t="s">
        <v>79</v>
      </c>
      <c r="B43" s="1038"/>
      <c r="C43" s="1112"/>
      <c r="D43" s="1038"/>
      <c r="E43" s="1038"/>
      <c r="F43" s="1038"/>
      <c r="G43" s="1037"/>
      <c r="H43" s="1038"/>
      <c r="I43" s="1113"/>
      <c r="J43" s="1038"/>
      <c r="K43" s="1038"/>
      <c r="L43" s="1038"/>
      <c r="M43" s="1113"/>
    </row>
    <row r="44" spans="1:22" ht="14" hidden="1" customHeight="1" x14ac:dyDescent="0.15">
      <c r="A44" s="1011" t="s">
        <v>11</v>
      </c>
      <c r="B44" s="1106">
        <v>0.02</v>
      </c>
      <c r="C44" s="1114"/>
      <c r="D44" s="1116"/>
      <c r="E44" s="1116"/>
      <c r="F44" s="1116"/>
      <c r="G44" s="1115"/>
      <c r="H44" s="1116"/>
      <c r="I44" s="1117"/>
      <c r="J44" s="1116"/>
      <c r="K44" s="1116"/>
      <c r="L44" s="1116"/>
      <c r="M44" s="1117"/>
    </row>
    <row r="45" spans="1:22" ht="14" hidden="1" customHeight="1" x14ac:dyDescent="0.15">
      <c r="A45" s="1011" t="s">
        <v>113</v>
      </c>
      <c r="B45" s="1038"/>
      <c r="C45" s="1249">
        <v>0</v>
      </c>
      <c r="D45" s="1121">
        <f>C45</f>
        <v>0</v>
      </c>
      <c r="E45" s="1121">
        <f>D45</f>
        <v>0</v>
      </c>
      <c r="F45" s="1121">
        <f>E45</f>
        <v>0</v>
      </c>
      <c r="G45" s="1123">
        <f t="shared" ref="G45:M45" si="28">F45</f>
        <v>0</v>
      </c>
      <c r="H45" s="1121">
        <f t="shared" si="28"/>
        <v>0</v>
      </c>
      <c r="I45" s="1124">
        <f>C107</f>
        <v>0</v>
      </c>
      <c r="J45" s="1121">
        <f t="shared" si="28"/>
        <v>0</v>
      </c>
      <c r="K45" s="1121">
        <f t="shared" si="28"/>
        <v>0</v>
      </c>
      <c r="L45" s="1121">
        <f t="shared" si="28"/>
        <v>0</v>
      </c>
      <c r="M45" s="1124">
        <f t="shared" si="28"/>
        <v>0</v>
      </c>
    </row>
    <row r="46" spans="1:22" ht="14" hidden="1" customHeight="1" x14ac:dyDescent="0.15">
      <c r="A46" s="1011" t="s">
        <v>40</v>
      </c>
      <c r="B46" s="1106">
        <v>0.9</v>
      </c>
      <c r="C46" s="1249">
        <f>C45*$B$46</f>
        <v>0</v>
      </c>
      <c r="D46" s="1121">
        <f t="shared" ref="D46:M46" si="29">D45*$B$46</f>
        <v>0</v>
      </c>
      <c r="E46" s="1121">
        <f t="shared" si="29"/>
        <v>0</v>
      </c>
      <c r="F46" s="1121">
        <f t="shared" si="29"/>
        <v>0</v>
      </c>
      <c r="G46" s="1123">
        <f t="shared" si="29"/>
        <v>0</v>
      </c>
      <c r="H46" s="1121">
        <f t="shared" si="29"/>
        <v>0</v>
      </c>
      <c r="I46" s="1124">
        <f t="shared" si="29"/>
        <v>0</v>
      </c>
      <c r="J46" s="1121">
        <f t="shared" si="29"/>
        <v>0</v>
      </c>
      <c r="K46" s="1121">
        <f t="shared" si="29"/>
        <v>0</v>
      </c>
      <c r="L46" s="1121">
        <f t="shared" si="29"/>
        <v>0</v>
      </c>
      <c r="M46" s="1124">
        <f t="shared" si="29"/>
        <v>0</v>
      </c>
    </row>
    <row r="47" spans="1:22" ht="14" hidden="1" customHeight="1" x14ac:dyDescent="0.15">
      <c r="A47" s="1011" t="s">
        <v>45</v>
      </c>
      <c r="B47" s="1172"/>
      <c r="C47" s="1107">
        <v>1</v>
      </c>
      <c r="D47" s="1106">
        <f>C47</f>
        <v>1</v>
      </c>
      <c r="E47" s="1106">
        <f>D47</f>
        <v>1</v>
      </c>
      <c r="F47" s="1106">
        <f>E47</f>
        <v>1</v>
      </c>
      <c r="G47" s="1111">
        <f>F47</f>
        <v>1</v>
      </c>
      <c r="H47" s="1106">
        <f t="shared" ref="H47:M47" si="30">G47</f>
        <v>1</v>
      </c>
      <c r="I47" s="1110">
        <v>0.3</v>
      </c>
      <c r="J47" s="1106">
        <v>0.05</v>
      </c>
      <c r="K47" s="1106">
        <f t="shared" si="30"/>
        <v>0.05</v>
      </c>
      <c r="L47" s="1106">
        <f t="shared" si="30"/>
        <v>0.05</v>
      </c>
      <c r="M47" s="1110">
        <f t="shared" si="30"/>
        <v>0.05</v>
      </c>
    </row>
    <row r="48" spans="1:22" ht="14" hidden="1" thickBot="1" x14ac:dyDescent="0.2">
      <c r="A48" s="1088" t="s">
        <v>114</v>
      </c>
      <c r="B48" s="1154"/>
      <c r="C48" s="1205">
        <f>C39</f>
        <v>19.63</v>
      </c>
      <c r="D48" s="1207">
        <f t="shared" ref="D48:M48" si="31">$C$48*(1+$B$44)^D$4</f>
        <v>20.022600000000001</v>
      </c>
      <c r="E48" s="1207">
        <f t="shared" si="31"/>
        <v>20.423051999999998</v>
      </c>
      <c r="F48" s="1207">
        <f t="shared" si="31"/>
        <v>20.831513039999997</v>
      </c>
      <c r="G48" s="1206">
        <f t="shared" si="31"/>
        <v>21.248143300799999</v>
      </c>
      <c r="H48" s="1207">
        <f t="shared" si="31"/>
        <v>21.673106166815998</v>
      </c>
      <c r="I48" s="1208">
        <f t="shared" si="31"/>
        <v>22.106568290152321</v>
      </c>
      <c r="J48" s="1207">
        <f t="shared" si="31"/>
        <v>22.54869965595536</v>
      </c>
      <c r="K48" s="1207">
        <f t="shared" si="31"/>
        <v>22.99967364907447</v>
      </c>
      <c r="L48" s="1207">
        <f t="shared" si="31"/>
        <v>23.459667122055961</v>
      </c>
      <c r="M48" s="1208">
        <f t="shared" si="31"/>
        <v>23.928860464497081</v>
      </c>
      <c r="N48" s="1265"/>
      <c r="O48" s="1265"/>
      <c r="P48" s="1265"/>
      <c r="Q48" s="1265"/>
      <c r="R48" s="1265"/>
      <c r="S48" s="1265"/>
      <c r="T48" s="1265"/>
      <c r="U48" s="1265"/>
      <c r="V48" s="1265"/>
    </row>
    <row r="49" spans="1:22" s="1239" customFormat="1" hidden="1" outlineLevel="1" x14ac:dyDescent="0.15">
      <c r="A49" s="1097" t="s">
        <v>17</v>
      </c>
      <c r="B49" s="1197"/>
      <c r="C49" s="1146">
        <f t="shared" ref="C49:M49" si="32">C46*(1-C47)*C48</f>
        <v>0</v>
      </c>
      <c r="D49" s="1166">
        <f t="shared" si="32"/>
        <v>0</v>
      </c>
      <c r="E49" s="1166">
        <f t="shared" si="32"/>
        <v>0</v>
      </c>
      <c r="F49" s="1166">
        <f t="shared" si="32"/>
        <v>0</v>
      </c>
      <c r="G49" s="1165">
        <f t="shared" si="32"/>
        <v>0</v>
      </c>
      <c r="H49" s="1166">
        <f t="shared" si="32"/>
        <v>0</v>
      </c>
      <c r="I49" s="1167">
        <f t="shared" si="32"/>
        <v>0</v>
      </c>
      <c r="J49" s="1166">
        <f t="shared" si="32"/>
        <v>0</v>
      </c>
      <c r="K49" s="1166">
        <f t="shared" si="32"/>
        <v>0</v>
      </c>
      <c r="L49" s="1166">
        <f t="shared" si="32"/>
        <v>0</v>
      </c>
      <c r="M49" s="1167">
        <f t="shared" si="32"/>
        <v>0</v>
      </c>
      <c r="N49" s="1264"/>
      <c r="O49" s="1264"/>
      <c r="P49" s="1264"/>
      <c r="Q49" s="1264"/>
      <c r="R49" s="1264"/>
      <c r="S49" s="1264"/>
      <c r="T49" s="1264"/>
      <c r="U49" s="1264"/>
      <c r="V49" s="1264"/>
    </row>
    <row r="50" spans="1:22" s="1239" customFormat="1" hidden="1" outlineLevel="1" x14ac:dyDescent="0.15">
      <c r="A50" s="1011" t="s">
        <v>169</v>
      </c>
      <c r="B50" s="1038"/>
      <c r="C50" s="1168">
        <f t="shared" ref="C50:M50" si="33">C46*(1-C47)*($D$113*(1+$B44)^C$4)</f>
        <v>0</v>
      </c>
      <c r="D50" s="1170">
        <f t="shared" si="33"/>
        <v>0</v>
      </c>
      <c r="E50" s="1170">
        <f t="shared" si="33"/>
        <v>0</v>
      </c>
      <c r="F50" s="1170">
        <f t="shared" si="33"/>
        <v>0</v>
      </c>
      <c r="G50" s="1169">
        <f t="shared" si="33"/>
        <v>0</v>
      </c>
      <c r="H50" s="1170">
        <f t="shared" si="33"/>
        <v>0</v>
      </c>
      <c r="I50" s="1171">
        <f t="shared" si="33"/>
        <v>0</v>
      </c>
      <c r="J50" s="1170">
        <f t="shared" si="33"/>
        <v>0</v>
      </c>
      <c r="K50" s="1170">
        <f t="shared" si="33"/>
        <v>0</v>
      </c>
      <c r="L50" s="1170">
        <f t="shared" si="33"/>
        <v>0</v>
      </c>
      <c r="M50" s="1171">
        <f t="shared" si="33"/>
        <v>0</v>
      </c>
      <c r="N50" s="1264"/>
      <c r="O50" s="1264"/>
      <c r="P50" s="1264"/>
      <c r="Q50" s="1264"/>
      <c r="R50" s="1264"/>
      <c r="S50" s="1264"/>
      <c r="T50" s="1264"/>
      <c r="U50" s="1264"/>
      <c r="V50" s="1264"/>
    </row>
    <row r="51" spans="1:22" s="1239" customFormat="1" ht="14" hidden="1" outlineLevel="1" thickBot="1" x14ac:dyDescent="0.2">
      <c r="A51" s="1088" t="s">
        <v>170</v>
      </c>
      <c r="B51" s="1154"/>
      <c r="C51" s="1254">
        <f t="shared" ref="C51:M51" si="34">C46*($D$113*(1+$B44)^C$4)</f>
        <v>0</v>
      </c>
      <c r="D51" s="1246">
        <f t="shared" si="34"/>
        <v>0</v>
      </c>
      <c r="E51" s="1246">
        <f t="shared" si="34"/>
        <v>0</v>
      </c>
      <c r="F51" s="1246">
        <f t="shared" si="34"/>
        <v>0</v>
      </c>
      <c r="G51" s="1245">
        <f t="shared" si="34"/>
        <v>0</v>
      </c>
      <c r="H51" s="1246">
        <f t="shared" si="34"/>
        <v>0</v>
      </c>
      <c r="I51" s="1247">
        <f t="shared" si="34"/>
        <v>0</v>
      </c>
      <c r="J51" s="1246">
        <f t="shared" si="34"/>
        <v>0</v>
      </c>
      <c r="K51" s="1246">
        <f t="shared" si="34"/>
        <v>0</v>
      </c>
      <c r="L51" s="1246">
        <f t="shared" si="34"/>
        <v>0</v>
      </c>
      <c r="M51" s="1247">
        <f t="shared" si="34"/>
        <v>0</v>
      </c>
      <c r="N51" s="1264"/>
      <c r="O51" s="1264"/>
      <c r="P51" s="1264"/>
      <c r="Q51" s="1264"/>
      <c r="R51" s="1264"/>
      <c r="S51" s="1264"/>
      <c r="T51" s="1264"/>
      <c r="U51" s="1264"/>
      <c r="V51" s="1264"/>
    </row>
    <row r="52" spans="1:22" ht="14" hidden="1" customHeight="1" x14ac:dyDescent="0.15">
      <c r="A52" s="1071" t="s">
        <v>79</v>
      </c>
      <c r="B52" s="1038"/>
      <c r="C52" s="1112"/>
      <c r="D52" s="1038"/>
      <c r="E52" s="1038"/>
      <c r="F52" s="1038"/>
      <c r="G52" s="1037"/>
      <c r="H52" s="1038"/>
      <c r="I52" s="1113"/>
      <c r="J52" s="1038"/>
      <c r="K52" s="1038"/>
      <c r="L52" s="1038"/>
      <c r="M52" s="1113"/>
    </row>
    <row r="53" spans="1:22" ht="14" hidden="1" customHeight="1" x14ac:dyDescent="0.15">
      <c r="A53" s="1011" t="s">
        <v>11</v>
      </c>
      <c r="B53" s="1106">
        <v>0.03</v>
      </c>
      <c r="C53" s="1114"/>
      <c r="D53" s="1116"/>
      <c r="E53" s="1116"/>
      <c r="F53" s="1116"/>
      <c r="G53" s="1115"/>
      <c r="H53" s="1116"/>
      <c r="I53" s="1117"/>
      <c r="J53" s="1116"/>
      <c r="K53" s="1116"/>
      <c r="L53" s="1116"/>
      <c r="M53" s="1117"/>
    </row>
    <row r="54" spans="1:22" ht="14" hidden="1" customHeight="1" x14ac:dyDescent="0.15">
      <c r="A54" s="1011" t="s">
        <v>113</v>
      </c>
      <c r="B54" s="1038"/>
      <c r="C54" s="1249">
        <v>0</v>
      </c>
      <c r="D54" s="1121">
        <f>C54</f>
        <v>0</v>
      </c>
      <c r="E54" s="1121">
        <f>D54</f>
        <v>0</v>
      </c>
      <c r="F54" s="1121">
        <f>E54</f>
        <v>0</v>
      </c>
      <c r="G54" s="1123">
        <f t="shared" ref="G54:M54" si="35">F54</f>
        <v>0</v>
      </c>
      <c r="H54" s="1121">
        <f t="shared" si="35"/>
        <v>0</v>
      </c>
      <c r="I54" s="1124">
        <f t="shared" si="35"/>
        <v>0</v>
      </c>
      <c r="J54" s="1121">
        <f>C108</f>
        <v>0</v>
      </c>
      <c r="K54" s="1121">
        <f t="shared" si="35"/>
        <v>0</v>
      </c>
      <c r="L54" s="1121">
        <f t="shared" si="35"/>
        <v>0</v>
      </c>
      <c r="M54" s="1124">
        <f t="shared" si="35"/>
        <v>0</v>
      </c>
    </row>
    <row r="55" spans="1:22" ht="14" hidden="1" customHeight="1" x14ac:dyDescent="0.15">
      <c r="A55" s="1011" t="s">
        <v>40</v>
      </c>
      <c r="B55" s="1106">
        <v>0.9</v>
      </c>
      <c r="C55" s="1249">
        <f>C54*$B$55</f>
        <v>0</v>
      </c>
      <c r="D55" s="1121">
        <f t="shared" ref="D55:M55" si="36">D54*$B$55</f>
        <v>0</v>
      </c>
      <c r="E55" s="1121">
        <f t="shared" si="36"/>
        <v>0</v>
      </c>
      <c r="F55" s="1121">
        <f t="shared" si="36"/>
        <v>0</v>
      </c>
      <c r="G55" s="1123">
        <f t="shared" si="36"/>
        <v>0</v>
      </c>
      <c r="H55" s="1121">
        <f t="shared" si="36"/>
        <v>0</v>
      </c>
      <c r="I55" s="1124">
        <f t="shared" si="36"/>
        <v>0</v>
      </c>
      <c r="J55" s="1121">
        <f t="shared" si="36"/>
        <v>0</v>
      </c>
      <c r="K55" s="1121">
        <f t="shared" si="36"/>
        <v>0</v>
      </c>
      <c r="L55" s="1121">
        <f t="shared" si="36"/>
        <v>0</v>
      </c>
      <c r="M55" s="1124">
        <f t="shared" si="36"/>
        <v>0</v>
      </c>
    </row>
    <row r="56" spans="1:22" ht="14" hidden="1" customHeight="1" x14ac:dyDescent="0.15">
      <c r="A56" s="1011" t="s">
        <v>45</v>
      </c>
      <c r="B56" s="1172"/>
      <c r="C56" s="1107">
        <v>1</v>
      </c>
      <c r="D56" s="1106">
        <f>C56</f>
        <v>1</v>
      </c>
      <c r="E56" s="1106">
        <f>D56</f>
        <v>1</v>
      </c>
      <c r="F56" s="1106">
        <f>E56</f>
        <v>1</v>
      </c>
      <c r="G56" s="1111">
        <f>F56</f>
        <v>1</v>
      </c>
      <c r="H56" s="1106">
        <f t="shared" ref="H56:M56" si="37">G56</f>
        <v>1</v>
      </c>
      <c r="I56" s="1110">
        <f t="shared" si="37"/>
        <v>1</v>
      </c>
      <c r="J56" s="1106">
        <v>0.3</v>
      </c>
      <c r="K56" s="1106">
        <v>0.05</v>
      </c>
      <c r="L56" s="1106">
        <f t="shared" si="37"/>
        <v>0.05</v>
      </c>
      <c r="M56" s="1110">
        <f t="shared" si="37"/>
        <v>0.05</v>
      </c>
    </row>
    <row r="57" spans="1:22" ht="18" hidden="1" customHeight="1" thickBot="1" x14ac:dyDescent="0.2">
      <c r="A57" s="1088" t="s">
        <v>114</v>
      </c>
      <c r="B57" s="1154"/>
      <c r="C57" s="1205">
        <f>'Summary Board'!K111</f>
        <v>38</v>
      </c>
      <c r="D57" s="1207">
        <f t="shared" ref="D57:M57" si="38">$C$57*(1+$B$53)^D$4</f>
        <v>39.14</v>
      </c>
      <c r="E57" s="1207">
        <f t="shared" si="38"/>
        <v>40.3142</v>
      </c>
      <c r="F57" s="1207">
        <f t="shared" si="38"/>
        <v>41.523626</v>
      </c>
      <c r="G57" s="1206">
        <f t="shared" si="38"/>
        <v>42.769334779999994</v>
      </c>
      <c r="H57" s="1207">
        <f t="shared" si="38"/>
        <v>44.052414823399992</v>
      </c>
      <c r="I57" s="1208">
        <f t="shared" si="38"/>
        <v>45.373987268101999</v>
      </c>
      <c r="J57" s="1207">
        <f t="shared" si="38"/>
        <v>46.735206886145058</v>
      </c>
      <c r="K57" s="1207">
        <f t="shared" si="38"/>
        <v>48.137263092729405</v>
      </c>
      <c r="L57" s="1207">
        <f t="shared" si="38"/>
        <v>49.581380985511288</v>
      </c>
      <c r="M57" s="1208">
        <f t="shared" si="38"/>
        <v>51.068822415076625</v>
      </c>
      <c r="N57" s="1265"/>
      <c r="O57" s="1265"/>
      <c r="P57" s="1265"/>
      <c r="Q57" s="1265"/>
      <c r="R57" s="1265"/>
      <c r="S57" s="1265"/>
      <c r="T57" s="1265"/>
      <c r="U57" s="1265"/>
      <c r="V57" s="1265"/>
    </row>
    <row r="58" spans="1:22" s="1239" customFormat="1" hidden="1" outlineLevel="1" x14ac:dyDescent="0.15">
      <c r="A58" s="1097" t="s">
        <v>17</v>
      </c>
      <c r="B58" s="1197"/>
      <c r="C58" s="1146">
        <f t="shared" ref="C58:M58" si="39">C55*(1-C56)*C57</f>
        <v>0</v>
      </c>
      <c r="D58" s="1166">
        <f t="shared" si="39"/>
        <v>0</v>
      </c>
      <c r="E58" s="1166">
        <f t="shared" si="39"/>
        <v>0</v>
      </c>
      <c r="F58" s="1166">
        <f t="shared" si="39"/>
        <v>0</v>
      </c>
      <c r="G58" s="1165">
        <f t="shared" si="39"/>
        <v>0</v>
      </c>
      <c r="H58" s="1166">
        <f t="shared" si="39"/>
        <v>0</v>
      </c>
      <c r="I58" s="1167">
        <f t="shared" si="39"/>
        <v>0</v>
      </c>
      <c r="J58" s="1166">
        <f t="shared" si="39"/>
        <v>0</v>
      </c>
      <c r="K58" s="1166">
        <f t="shared" si="39"/>
        <v>0</v>
      </c>
      <c r="L58" s="1166">
        <f t="shared" si="39"/>
        <v>0</v>
      </c>
      <c r="M58" s="1167">
        <f t="shared" si="39"/>
        <v>0</v>
      </c>
      <c r="N58" s="1264"/>
      <c r="O58" s="1264"/>
      <c r="P58" s="1264"/>
      <c r="Q58" s="1264"/>
      <c r="R58" s="1264"/>
      <c r="S58" s="1264"/>
      <c r="T58" s="1264"/>
      <c r="U58" s="1264"/>
      <c r="V58" s="1264"/>
    </row>
    <row r="59" spans="1:22" s="1239" customFormat="1" hidden="1" outlineLevel="1" x14ac:dyDescent="0.15">
      <c r="A59" s="1011" t="s">
        <v>169</v>
      </c>
      <c r="B59" s="1038"/>
      <c r="C59" s="1168">
        <f t="shared" ref="C59:M59" si="40">C55*(1-C56)*($D$113*(1+$B53)^C$4)</f>
        <v>0</v>
      </c>
      <c r="D59" s="1170">
        <f t="shared" si="40"/>
        <v>0</v>
      </c>
      <c r="E59" s="1170">
        <f t="shared" si="40"/>
        <v>0</v>
      </c>
      <c r="F59" s="1170">
        <f t="shared" si="40"/>
        <v>0</v>
      </c>
      <c r="G59" s="1169">
        <f t="shared" si="40"/>
        <v>0</v>
      </c>
      <c r="H59" s="1170">
        <f t="shared" si="40"/>
        <v>0</v>
      </c>
      <c r="I59" s="1171">
        <f t="shared" si="40"/>
        <v>0</v>
      </c>
      <c r="J59" s="1170">
        <f t="shared" si="40"/>
        <v>0</v>
      </c>
      <c r="K59" s="1170">
        <f t="shared" si="40"/>
        <v>0</v>
      </c>
      <c r="L59" s="1170">
        <f t="shared" si="40"/>
        <v>0</v>
      </c>
      <c r="M59" s="1171">
        <f t="shared" si="40"/>
        <v>0</v>
      </c>
      <c r="N59" s="1264"/>
      <c r="O59" s="1264"/>
      <c r="P59" s="1264"/>
      <c r="Q59" s="1264"/>
      <c r="R59" s="1264"/>
      <c r="S59" s="1264"/>
      <c r="T59" s="1264"/>
      <c r="U59" s="1264"/>
      <c r="V59" s="1264"/>
    </row>
    <row r="60" spans="1:22" s="1239" customFormat="1" ht="14" hidden="1" outlineLevel="1" thickBot="1" x14ac:dyDescent="0.2">
      <c r="A60" s="1088" t="s">
        <v>170</v>
      </c>
      <c r="B60" s="1154"/>
      <c r="C60" s="1254">
        <f t="shared" ref="C60:M60" si="41">C55*($D$113*(1+$B53)^C$4)</f>
        <v>0</v>
      </c>
      <c r="D60" s="1246">
        <f t="shared" si="41"/>
        <v>0</v>
      </c>
      <c r="E60" s="1246">
        <f t="shared" si="41"/>
        <v>0</v>
      </c>
      <c r="F60" s="1246">
        <f t="shared" si="41"/>
        <v>0</v>
      </c>
      <c r="G60" s="1245">
        <f t="shared" si="41"/>
        <v>0</v>
      </c>
      <c r="H60" s="1246">
        <f t="shared" si="41"/>
        <v>0</v>
      </c>
      <c r="I60" s="1247">
        <f t="shared" si="41"/>
        <v>0</v>
      </c>
      <c r="J60" s="1246">
        <f t="shared" si="41"/>
        <v>0</v>
      </c>
      <c r="K60" s="1246">
        <f t="shared" si="41"/>
        <v>0</v>
      </c>
      <c r="L60" s="1246">
        <f t="shared" si="41"/>
        <v>0</v>
      </c>
      <c r="M60" s="1247">
        <f t="shared" si="41"/>
        <v>0</v>
      </c>
      <c r="N60" s="1264"/>
      <c r="O60" s="1264"/>
      <c r="P60" s="1264"/>
      <c r="Q60" s="1264"/>
      <c r="R60" s="1264"/>
      <c r="S60" s="1264"/>
      <c r="T60" s="1264"/>
      <c r="U60" s="1264"/>
      <c r="V60" s="1264"/>
    </row>
    <row r="61" spans="1:22" ht="14" customHeight="1" collapsed="1" x14ac:dyDescent="0.15">
      <c r="A61" s="1071" t="s">
        <v>421</v>
      </c>
      <c r="B61" s="1038"/>
      <c r="C61" s="1112"/>
      <c r="D61" s="1038"/>
      <c r="E61" s="1038"/>
      <c r="F61" s="1038"/>
      <c r="G61" s="1037"/>
      <c r="H61" s="1038"/>
      <c r="I61" s="1113"/>
      <c r="J61" s="1038"/>
      <c r="K61" s="1038"/>
      <c r="L61" s="1038"/>
      <c r="M61" s="1113"/>
    </row>
    <row r="62" spans="1:22" ht="14" customHeight="1" x14ac:dyDescent="0.15">
      <c r="A62" s="1011" t="s">
        <v>11</v>
      </c>
      <c r="B62" s="1106">
        <v>0.02</v>
      </c>
      <c r="C62" s="1114"/>
      <c r="D62" s="1116"/>
      <c r="E62" s="1116"/>
      <c r="F62" s="1116"/>
      <c r="G62" s="1115"/>
      <c r="H62" s="1116"/>
      <c r="I62" s="1117"/>
      <c r="J62" s="1116"/>
      <c r="K62" s="1116"/>
      <c r="L62" s="1116"/>
      <c r="M62" s="1117"/>
    </row>
    <row r="63" spans="1:22" ht="14" customHeight="1" x14ac:dyDescent="0.15">
      <c r="A63" s="1011" t="s">
        <v>113</v>
      </c>
      <c r="B63" s="1038"/>
      <c r="C63" s="1249">
        <v>0</v>
      </c>
      <c r="D63" s="1121">
        <f>C63</f>
        <v>0</v>
      </c>
      <c r="E63" s="1121">
        <f>D63</f>
        <v>0</v>
      </c>
      <c r="F63" s="1121">
        <f>E63</f>
        <v>0</v>
      </c>
      <c r="G63" s="1123">
        <f t="shared" ref="G63:M63" si="42">F63</f>
        <v>0</v>
      </c>
      <c r="H63" s="1121">
        <f t="shared" si="42"/>
        <v>0</v>
      </c>
      <c r="I63" s="1124">
        <f t="shared" si="42"/>
        <v>0</v>
      </c>
      <c r="J63" s="1121">
        <f t="shared" si="42"/>
        <v>0</v>
      </c>
      <c r="K63" s="1121">
        <f t="shared" si="42"/>
        <v>0</v>
      </c>
      <c r="L63" s="1121">
        <f>C109</f>
        <v>67413</v>
      </c>
      <c r="M63" s="1124">
        <f t="shared" si="42"/>
        <v>67413</v>
      </c>
    </row>
    <row r="64" spans="1:22" ht="14" customHeight="1" x14ac:dyDescent="0.15">
      <c r="A64" s="1011" t="s">
        <v>40</v>
      </c>
      <c r="B64" s="1106">
        <v>0.9</v>
      </c>
      <c r="C64" s="1249">
        <f>C63*$B$64</f>
        <v>0</v>
      </c>
      <c r="D64" s="1121">
        <f t="shared" ref="D64:M64" si="43">D63*$B$64</f>
        <v>0</v>
      </c>
      <c r="E64" s="1121">
        <f t="shared" si="43"/>
        <v>0</v>
      </c>
      <c r="F64" s="1121">
        <f t="shared" si="43"/>
        <v>0</v>
      </c>
      <c r="G64" s="1123">
        <f t="shared" si="43"/>
        <v>0</v>
      </c>
      <c r="H64" s="1121">
        <f t="shared" si="43"/>
        <v>0</v>
      </c>
      <c r="I64" s="1124">
        <f t="shared" si="43"/>
        <v>0</v>
      </c>
      <c r="J64" s="1121">
        <f t="shared" si="43"/>
        <v>0</v>
      </c>
      <c r="K64" s="1121">
        <f t="shared" si="43"/>
        <v>0</v>
      </c>
      <c r="L64" s="1121">
        <f t="shared" si="43"/>
        <v>60671.700000000004</v>
      </c>
      <c r="M64" s="1124">
        <f t="shared" si="43"/>
        <v>60671.700000000004</v>
      </c>
    </row>
    <row r="65" spans="1:22" ht="14" customHeight="1" x14ac:dyDescent="0.15">
      <c r="A65" s="1011" t="s">
        <v>45</v>
      </c>
      <c r="B65" s="1172"/>
      <c r="C65" s="1107">
        <v>1</v>
      </c>
      <c r="D65" s="1106">
        <f t="shared" ref="D65:K65" si="44">C65</f>
        <v>1</v>
      </c>
      <c r="E65" s="1106">
        <f t="shared" si="44"/>
        <v>1</v>
      </c>
      <c r="F65" s="1106">
        <f t="shared" si="44"/>
        <v>1</v>
      </c>
      <c r="G65" s="1111">
        <f t="shared" si="44"/>
        <v>1</v>
      </c>
      <c r="H65" s="1106">
        <f t="shared" si="44"/>
        <v>1</v>
      </c>
      <c r="I65" s="1110">
        <f t="shared" si="44"/>
        <v>1</v>
      </c>
      <c r="J65" s="1106">
        <f t="shared" si="44"/>
        <v>1</v>
      </c>
      <c r="K65" s="1106">
        <f t="shared" si="44"/>
        <v>1</v>
      </c>
      <c r="L65" s="1106">
        <v>0.3</v>
      </c>
      <c r="M65" s="1110">
        <v>0.05</v>
      </c>
    </row>
    <row r="66" spans="1:22" ht="14" thickBot="1" x14ac:dyDescent="0.2">
      <c r="A66" s="1088" t="s">
        <v>114</v>
      </c>
      <c r="B66" s="1154"/>
      <c r="C66" s="1205">
        <f>C48</f>
        <v>19.63</v>
      </c>
      <c r="D66" s="1207">
        <f t="shared" ref="D66:M66" si="45">$C$66*(1+$B$62)^D$4</f>
        <v>20.022600000000001</v>
      </c>
      <c r="E66" s="1207">
        <f t="shared" si="45"/>
        <v>20.423051999999998</v>
      </c>
      <c r="F66" s="1207">
        <f t="shared" si="45"/>
        <v>20.831513039999997</v>
      </c>
      <c r="G66" s="1206">
        <f t="shared" si="45"/>
        <v>21.248143300799999</v>
      </c>
      <c r="H66" s="1207">
        <f t="shared" si="45"/>
        <v>21.673106166815998</v>
      </c>
      <c r="I66" s="1208">
        <f t="shared" si="45"/>
        <v>22.106568290152321</v>
      </c>
      <c r="J66" s="1207">
        <f t="shared" si="45"/>
        <v>22.54869965595536</v>
      </c>
      <c r="K66" s="1207">
        <f t="shared" si="45"/>
        <v>22.99967364907447</v>
      </c>
      <c r="L66" s="1207">
        <f t="shared" si="45"/>
        <v>23.459667122055961</v>
      </c>
      <c r="M66" s="1208">
        <f t="shared" si="45"/>
        <v>23.928860464497081</v>
      </c>
      <c r="N66" s="1265"/>
      <c r="O66" s="1265"/>
      <c r="P66" s="1265"/>
      <c r="Q66" s="1265"/>
      <c r="R66" s="1265"/>
      <c r="S66" s="1265"/>
      <c r="T66" s="1265"/>
      <c r="U66" s="1265"/>
      <c r="V66" s="1265"/>
    </row>
    <row r="67" spans="1:22" s="1239" customFormat="1" outlineLevel="1" x14ac:dyDescent="0.15">
      <c r="A67" s="1097" t="s">
        <v>17</v>
      </c>
      <c r="B67" s="1197"/>
      <c r="C67" s="1146">
        <f>C64*(1-C65)*C66</f>
        <v>0</v>
      </c>
      <c r="D67" s="1166">
        <f t="shared" ref="D67:M67" si="46">D64*(1-D65)*D66</f>
        <v>0</v>
      </c>
      <c r="E67" s="1166">
        <f t="shared" si="46"/>
        <v>0</v>
      </c>
      <c r="F67" s="1166">
        <f t="shared" si="46"/>
        <v>0</v>
      </c>
      <c r="G67" s="1165">
        <f t="shared" si="46"/>
        <v>0</v>
      </c>
      <c r="H67" s="1166">
        <f t="shared" si="46"/>
        <v>0</v>
      </c>
      <c r="I67" s="1167">
        <f t="shared" si="46"/>
        <v>0</v>
      </c>
      <c r="J67" s="1166">
        <f t="shared" si="46"/>
        <v>0</v>
      </c>
      <c r="K67" s="1166">
        <f t="shared" si="46"/>
        <v>0</v>
      </c>
      <c r="L67" s="1166">
        <f t="shared" si="46"/>
        <v>996336.52001046995</v>
      </c>
      <c r="M67" s="1167">
        <f t="shared" si="46"/>
        <v>1379214.4112716361</v>
      </c>
      <c r="N67" s="1264"/>
      <c r="O67" s="1264"/>
      <c r="P67" s="1264"/>
      <c r="Q67" s="1264"/>
      <c r="R67" s="1264"/>
      <c r="S67" s="1264"/>
      <c r="T67" s="1264"/>
      <c r="U67" s="1264"/>
      <c r="V67" s="1264"/>
    </row>
    <row r="68" spans="1:22" s="1239" customFormat="1" outlineLevel="1" x14ac:dyDescent="0.15">
      <c r="A68" s="1011" t="s">
        <v>169</v>
      </c>
      <c r="B68" s="1038"/>
      <c r="C68" s="1168">
        <f t="shared" ref="C68:M68" si="47">C64*(1-C65)*($D$113*(1+$B62)^C$4)</f>
        <v>0</v>
      </c>
      <c r="D68" s="1170">
        <f t="shared" si="47"/>
        <v>0</v>
      </c>
      <c r="E68" s="1170">
        <f t="shared" si="47"/>
        <v>0</v>
      </c>
      <c r="F68" s="1170">
        <f t="shared" si="47"/>
        <v>0</v>
      </c>
      <c r="G68" s="1169">
        <f t="shared" si="47"/>
        <v>0</v>
      </c>
      <c r="H68" s="1170">
        <f t="shared" si="47"/>
        <v>0</v>
      </c>
      <c r="I68" s="1171">
        <f t="shared" si="47"/>
        <v>0</v>
      </c>
      <c r="J68" s="1170">
        <f t="shared" si="47"/>
        <v>0</v>
      </c>
      <c r="K68" s="1170">
        <f t="shared" si="47"/>
        <v>0</v>
      </c>
      <c r="L68" s="1170">
        <f t="shared" si="47"/>
        <v>462892.9731276356</v>
      </c>
      <c r="M68" s="1171">
        <f t="shared" si="47"/>
        <v>640776.12994382693</v>
      </c>
      <c r="N68" s="1264"/>
      <c r="O68" s="1264"/>
      <c r="P68" s="1264"/>
      <c r="Q68" s="1264"/>
      <c r="R68" s="1264"/>
      <c r="S68" s="1264"/>
      <c r="T68" s="1264"/>
      <c r="U68" s="1264"/>
      <c r="V68" s="1264"/>
    </row>
    <row r="69" spans="1:22" s="1239" customFormat="1" ht="14" outlineLevel="1" thickBot="1" x14ac:dyDescent="0.2">
      <c r="A69" s="1088" t="s">
        <v>170</v>
      </c>
      <c r="B69" s="1154"/>
      <c r="C69" s="1254">
        <f t="shared" ref="C69:M69" si="48">C64*($D$113*(1+$B62)^C$4)</f>
        <v>0</v>
      </c>
      <c r="D69" s="1246">
        <f t="shared" si="48"/>
        <v>0</v>
      </c>
      <c r="E69" s="1246">
        <f t="shared" si="48"/>
        <v>0</v>
      </c>
      <c r="F69" s="1246">
        <f t="shared" si="48"/>
        <v>0</v>
      </c>
      <c r="G69" s="1245">
        <f t="shared" si="48"/>
        <v>0</v>
      </c>
      <c r="H69" s="1246">
        <f t="shared" si="48"/>
        <v>0</v>
      </c>
      <c r="I69" s="1247">
        <f t="shared" si="48"/>
        <v>0</v>
      </c>
      <c r="J69" s="1246">
        <f t="shared" si="48"/>
        <v>0</v>
      </c>
      <c r="K69" s="1246">
        <f t="shared" si="48"/>
        <v>0</v>
      </c>
      <c r="L69" s="1246">
        <f t="shared" si="48"/>
        <v>661275.67589662224</v>
      </c>
      <c r="M69" s="1247">
        <f t="shared" si="48"/>
        <v>674501.18941455474</v>
      </c>
      <c r="N69" s="1264"/>
      <c r="O69" s="1264"/>
      <c r="P69" s="1264"/>
      <c r="Q69" s="1264"/>
      <c r="R69" s="1264"/>
      <c r="S69" s="1264"/>
      <c r="T69" s="1264"/>
      <c r="U69" s="1264"/>
      <c r="V69" s="1264"/>
    </row>
    <row r="70" spans="1:22" ht="14" hidden="1" customHeight="1" x14ac:dyDescent="0.15">
      <c r="A70" s="1071" t="s">
        <v>421</v>
      </c>
      <c r="B70" s="1038"/>
      <c r="C70" s="1112"/>
      <c r="D70" s="1038"/>
      <c r="E70" s="1038"/>
      <c r="F70" s="1038"/>
      <c r="G70" s="1037"/>
      <c r="H70" s="1038"/>
      <c r="I70" s="1113"/>
      <c r="J70" s="1038"/>
      <c r="K70" s="1038"/>
      <c r="L70" s="1038"/>
      <c r="M70" s="1113"/>
    </row>
    <row r="71" spans="1:22" ht="14" hidden="1" customHeight="1" x14ac:dyDescent="0.15">
      <c r="A71" s="1011" t="s">
        <v>11</v>
      </c>
      <c r="B71" s="1106">
        <v>0.02</v>
      </c>
      <c r="C71" s="1114"/>
      <c r="D71" s="1116"/>
      <c r="E71" s="1116"/>
      <c r="F71" s="1116"/>
      <c r="G71" s="1115"/>
      <c r="H71" s="1116"/>
      <c r="I71" s="1117"/>
      <c r="J71" s="1116"/>
      <c r="K71" s="1116"/>
      <c r="L71" s="1116"/>
      <c r="M71" s="1117"/>
    </row>
    <row r="72" spans="1:22" ht="14" hidden="1" customHeight="1" x14ac:dyDescent="0.15">
      <c r="A72" s="1011" t="s">
        <v>113</v>
      </c>
      <c r="B72" s="1038"/>
      <c r="C72" s="1249">
        <v>0</v>
      </c>
      <c r="D72" s="1121">
        <f t="shared" ref="D72:L72" si="49">C72</f>
        <v>0</v>
      </c>
      <c r="E72" s="1121">
        <f t="shared" si="49"/>
        <v>0</v>
      </c>
      <c r="F72" s="1121">
        <f t="shared" si="49"/>
        <v>0</v>
      </c>
      <c r="G72" s="1123">
        <f t="shared" si="49"/>
        <v>0</v>
      </c>
      <c r="H72" s="1121">
        <f t="shared" si="49"/>
        <v>0</v>
      </c>
      <c r="I72" s="1124">
        <f t="shared" si="49"/>
        <v>0</v>
      </c>
      <c r="J72" s="1121">
        <f t="shared" si="49"/>
        <v>0</v>
      </c>
      <c r="K72" s="1121">
        <f t="shared" si="49"/>
        <v>0</v>
      </c>
      <c r="L72" s="1121">
        <f t="shared" si="49"/>
        <v>0</v>
      </c>
      <c r="M72" s="1124">
        <f>C110</f>
        <v>0</v>
      </c>
    </row>
    <row r="73" spans="1:22" ht="14" hidden="1" customHeight="1" x14ac:dyDescent="0.15">
      <c r="A73" s="1011" t="s">
        <v>40</v>
      </c>
      <c r="B73" s="1106">
        <v>0.9</v>
      </c>
      <c r="C73" s="1249">
        <f>C72*$B$73</f>
        <v>0</v>
      </c>
      <c r="D73" s="1121">
        <f t="shared" ref="D73:M73" si="50">D72*$B$73</f>
        <v>0</v>
      </c>
      <c r="E73" s="1121">
        <f t="shared" si="50"/>
        <v>0</v>
      </c>
      <c r="F73" s="1121">
        <f t="shared" si="50"/>
        <v>0</v>
      </c>
      <c r="G73" s="1123">
        <f t="shared" si="50"/>
        <v>0</v>
      </c>
      <c r="H73" s="1121">
        <f t="shared" si="50"/>
        <v>0</v>
      </c>
      <c r="I73" s="1124">
        <f t="shared" si="50"/>
        <v>0</v>
      </c>
      <c r="J73" s="1121">
        <f t="shared" si="50"/>
        <v>0</v>
      </c>
      <c r="K73" s="1121">
        <f t="shared" si="50"/>
        <v>0</v>
      </c>
      <c r="L73" s="1121">
        <f t="shared" si="50"/>
        <v>0</v>
      </c>
      <c r="M73" s="1124">
        <f t="shared" si="50"/>
        <v>0</v>
      </c>
    </row>
    <row r="74" spans="1:22" ht="14" hidden="1" customHeight="1" x14ac:dyDescent="0.15">
      <c r="A74" s="1011" t="s">
        <v>45</v>
      </c>
      <c r="B74" s="1172"/>
      <c r="C74" s="1107">
        <v>1</v>
      </c>
      <c r="D74" s="1106">
        <f t="shared" ref="D74:L74" si="51">C74</f>
        <v>1</v>
      </c>
      <c r="E74" s="1106">
        <f t="shared" si="51"/>
        <v>1</v>
      </c>
      <c r="F74" s="1106">
        <f t="shared" si="51"/>
        <v>1</v>
      </c>
      <c r="G74" s="1111">
        <f t="shared" si="51"/>
        <v>1</v>
      </c>
      <c r="H74" s="1106">
        <f t="shared" si="51"/>
        <v>1</v>
      </c>
      <c r="I74" s="1110">
        <f t="shared" si="51"/>
        <v>1</v>
      </c>
      <c r="J74" s="1106">
        <f t="shared" si="51"/>
        <v>1</v>
      </c>
      <c r="K74" s="1106">
        <f t="shared" si="51"/>
        <v>1</v>
      </c>
      <c r="L74" s="1106">
        <f t="shared" si="51"/>
        <v>1</v>
      </c>
      <c r="M74" s="1110">
        <v>0.3</v>
      </c>
    </row>
    <row r="75" spans="1:22" ht="14" hidden="1" thickBot="1" x14ac:dyDescent="0.2">
      <c r="A75" s="1088" t="s">
        <v>114</v>
      </c>
      <c r="B75" s="1154"/>
      <c r="C75" s="1205">
        <f>C66</f>
        <v>19.63</v>
      </c>
      <c r="D75" s="1207">
        <f t="shared" ref="D75:M75" si="52">$C$75*(1+$B$71)^D$4</f>
        <v>20.022600000000001</v>
      </c>
      <c r="E75" s="1207">
        <f t="shared" si="52"/>
        <v>20.423051999999998</v>
      </c>
      <c r="F75" s="1207">
        <f t="shared" si="52"/>
        <v>20.831513039999997</v>
      </c>
      <c r="G75" s="1206">
        <f t="shared" si="52"/>
        <v>21.248143300799999</v>
      </c>
      <c r="H75" s="1207">
        <f t="shared" si="52"/>
        <v>21.673106166815998</v>
      </c>
      <c r="I75" s="1208">
        <f t="shared" si="52"/>
        <v>22.106568290152321</v>
      </c>
      <c r="J75" s="1207">
        <f t="shared" si="52"/>
        <v>22.54869965595536</v>
      </c>
      <c r="K75" s="1207">
        <f t="shared" si="52"/>
        <v>22.99967364907447</v>
      </c>
      <c r="L75" s="1207">
        <f t="shared" si="52"/>
        <v>23.459667122055961</v>
      </c>
      <c r="M75" s="1208">
        <f t="shared" si="52"/>
        <v>23.928860464497081</v>
      </c>
      <c r="N75" s="1265"/>
      <c r="O75" s="1265"/>
      <c r="P75" s="1265"/>
      <c r="Q75" s="1265"/>
      <c r="R75" s="1265"/>
      <c r="S75" s="1265"/>
      <c r="T75" s="1265"/>
      <c r="U75" s="1265"/>
      <c r="V75" s="1265"/>
    </row>
    <row r="76" spans="1:22" s="1239" customFormat="1" hidden="1" outlineLevel="1" x14ac:dyDescent="0.15">
      <c r="A76" s="1097" t="s">
        <v>17</v>
      </c>
      <c r="B76" s="1197"/>
      <c r="C76" s="1146">
        <f>C73*(1-C74)*C75</f>
        <v>0</v>
      </c>
      <c r="D76" s="1166">
        <f t="shared" ref="D76:M76" si="53">D73*(1-D74)*D75</f>
        <v>0</v>
      </c>
      <c r="E76" s="1166">
        <f t="shared" si="53"/>
        <v>0</v>
      </c>
      <c r="F76" s="1166">
        <f t="shared" si="53"/>
        <v>0</v>
      </c>
      <c r="G76" s="1165">
        <f t="shared" si="53"/>
        <v>0</v>
      </c>
      <c r="H76" s="1166">
        <f t="shared" si="53"/>
        <v>0</v>
      </c>
      <c r="I76" s="1167">
        <f t="shared" si="53"/>
        <v>0</v>
      </c>
      <c r="J76" s="1166">
        <f t="shared" si="53"/>
        <v>0</v>
      </c>
      <c r="K76" s="1166">
        <f t="shared" si="53"/>
        <v>0</v>
      </c>
      <c r="L76" s="1166">
        <f t="shared" si="53"/>
        <v>0</v>
      </c>
      <c r="M76" s="1167">
        <f t="shared" si="53"/>
        <v>0</v>
      </c>
      <c r="N76" s="1264"/>
      <c r="O76" s="1264"/>
      <c r="P76" s="1264"/>
      <c r="Q76" s="1264"/>
      <c r="R76" s="1264"/>
      <c r="S76" s="1264"/>
      <c r="T76" s="1264"/>
      <c r="U76" s="1264"/>
      <c r="V76" s="1264"/>
    </row>
    <row r="77" spans="1:22" s="1239" customFormat="1" hidden="1" outlineLevel="1" x14ac:dyDescent="0.15">
      <c r="A77" s="1011" t="s">
        <v>169</v>
      </c>
      <c r="B77" s="1038"/>
      <c r="C77" s="1168">
        <f t="shared" ref="C77:M77" si="54">C73*(1-C74)*($D$113*(1+$B71)^C$4)</f>
        <v>0</v>
      </c>
      <c r="D77" s="1170">
        <f t="shared" si="54"/>
        <v>0</v>
      </c>
      <c r="E77" s="1170">
        <f t="shared" si="54"/>
        <v>0</v>
      </c>
      <c r="F77" s="1170">
        <f t="shared" si="54"/>
        <v>0</v>
      </c>
      <c r="G77" s="1169">
        <f t="shared" si="54"/>
        <v>0</v>
      </c>
      <c r="H77" s="1170">
        <f t="shared" si="54"/>
        <v>0</v>
      </c>
      <c r="I77" s="1171">
        <f t="shared" si="54"/>
        <v>0</v>
      </c>
      <c r="J77" s="1170">
        <f t="shared" si="54"/>
        <v>0</v>
      </c>
      <c r="K77" s="1170">
        <f t="shared" si="54"/>
        <v>0</v>
      </c>
      <c r="L77" s="1170">
        <f t="shared" si="54"/>
        <v>0</v>
      </c>
      <c r="M77" s="1171">
        <f t="shared" si="54"/>
        <v>0</v>
      </c>
      <c r="N77" s="1264"/>
      <c r="O77" s="1264"/>
      <c r="P77" s="1264"/>
      <c r="Q77" s="1264"/>
      <c r="R77" s="1264"/>
      <c r="S77" s="1264"/>
      <c r="T77" s="1264"/>
      <c r="U77" s="1264"/>
      <c r="V77" s="1264"/>
    </row>
    <row r="78" spans="1:22" s="1239" customFormat="1" ht="14" hidden="1" outlineLevel="1" thickBot="1" x14ac:dyDescent="0.2">
      <c r="A78" s="1088" t="s">
        <v>170</v>
      </c>
      <c r="B78" s="1154"/>
      <c r="C78" s="1254">
        <f t="shared" ref="C78:M78" si="55">C73*($D$113*(1+$B71)^C$4)</f>
        <v>0</v>
      </c>
      <c r="D78" s="1246">
        <f t="shared" si="55"/>
        <v>0</v>
      </c>
      <c r="E78" s="1246">
        <f t="shared" si="55"/>
        <v>0</v>
      </c>
      <c r="F78" s="1246">
        <f t="shared" si="55"/>
        <v>0</v>
      </c>
      <c r="G78" s="1245">
        <f t="shared" si="55"/>
        <v>0</v>
      </c>
      <c r="H78" s="1246">
        <f t="shared" si="55"/>
        <v>0</v>
      </c>
      <c r="I78" s="1247">
        <f t="shared" si="55"/>
        <v>0</v>
      </c>
      <c r="J78" s="1246">
        <f t="shared" si="55"/>
        <v>0</v>
      </c>
      <c r="K78" s="1246">
        <f t="shared" si="55"/>
        <v>0</v>
      </c>
      <c r="L78" s="1246">
        <f t="shared" si="55"/>
        <v>0</v>
      </c>
      <c r="M78" s="1247">
        <f t="shared" si="55"/>
        <v>0</v>
      </c>
      <c r="N78" s="1264"/>
      <c r="O78" s="1264"/>
      <c r="P78" s="1264"/>
      <c r="Q78" s="1264"/>
      <c r="R78" s="1264"/>
      <c r="S78" s="1264"/>
      <c r="T78" s="1264"/>
      <c r="U78" s="1264"/>
      <c r="V78" s="1264"/>
    </row>
    <row r="79" spans="1:22" ht="14" collapsed="1" thickBot="1" x14ac:dyDescent="0.2">
      <c r="A79" s="1023" t="s">
        <v>0</v>
      </c>
      <c r="B79" s="1142"/>
      <c r="C79" s="1143"/>
      <c r="D79" s="1144"/>
      <c r="E79" s="1142"/>
      <c r="F79" s="1145"/>
      <c r="G79" s="1144"/>
      <c r="H79" s="1142"/>
      <c r="I79" s="1145"/>
      <c r="J79" s="1144"/>
      <c r="K79" s="1142"/>
      <c r="L79" s="1142"/>
      <c r="M79" s="1145"/>
    </row>
    <row r="80" spans="1:22" x14ac:dyDescent="0.15">
      <c r="A80" s="1011" t="s">
        <v>17</v>
      </c>
      <c r="B80" s="1038"/>
      <c r="C80" s="1162">
        <f t="shared" ref="C80:M80" si="56">SUM(C13,C22,C31,C40,C49,C58,C67,C76)</f>
        <v>0</v>
      </c>
      <c r="D80" s="1163">
        <f t="shared" si="56"/>
        <v>0</v>
      </c>
      <c r="E80" s="1147">
        <f t="shared" si="56"/>
        <v>2250189.0013680002</v>
      </c>
      <c r="F80" s="1148">
        <f t="shared" si="56"/>
        <v>3114904.4890365596</v>
      </c>
      <c r="G80" s="1163">
        <f t="shared" si="56"/>
        <v>3177202.5788172912</v>
      </c>
      <c r="H80" s="1147">
        <f t="shared" si="56"/>
        <v>4015382.2396556791</v>
      </c>
      <c r="I80" s="1148">
        <f t="shared" si="56"/>
        <v>4377878.5706799664</v>
      </c>
      <c r="J80" s="1163">
        <f t="shared" si="56"/>
        <v>4465436.1420935644</v>
      </c>
      <c r="K80" s="1147">
        <f t="shared" si="56"/>
        <v>4554744.8649354354</v>
      </c>
      <c r="L80" s="1147">
        <f t="shared" si="56"/>
        <v>5642176.2822446153</v>
      </c>
      <c r="M80" s="1148">
        <f t="shared" si="56"/>
        <v>6117970.9687504647</v>
      </c>
    </row>
    <row r="81" spans="1:14" x14ac:dyDescent="0.15">
      <c r="A81" s="1011" t="s">
        <v>118</v>
      </c>
      <c r="B81" s="1038"/>
      <c r="C81" s="1168">
        <f t="shared" ref="C81:M81" si="57">SUM(C14,C23,C32,C41,C50,C59,C68,C77)</f>
        <v>0</v>
      </c>
      <c r="D81" s="1169">
        <f t="shared" si="57"/>
        <v>0</v>
      </c>
      <c r="E81" s="1170">
        <f t="shared" si="57"/>
        <v>540045.36032832006</v>
      </c>
      <c r="F81" s="1171">
        <f t="shared" si="57"/>
        <v>747577.07736877445</v>
      </c>
      <c r="G81" s="1169">
        <f t="shared" si="57"/>
        <v>762528.61891614995</v>
      </c>
      <c r="H81" s="1170">
        <f t="shared" si="57"/>
        <v>1137671.0280988454</v>
      </c>
      <c r="I81" s="1171">
        <f t="shared" si="57"/>
        <v>1291527.9034967008</v>
      </c>
      <c r="J81" s="1169">
        <f t="shared" si="57"/>
        <v>1317358.4615666345</v>
      </c>
      <c r="K81" s="1170">
        <f t="shared" si="57"/>
        <v>1343705.6307979673</v>
      </c>
      <c r="L81" s="1170">
        <f t="shared" si="57"/>
        <v>1833472.7165415622</v>
      </c>
      <c r="M81" s="1171">
        <f t="shared" si="57"/>
        <v>2038767.4682260321</v>
      </c>
    </row>
    <row r="82" spans="1:14" s="1241" customFormat="1" x14ac:dyDescent="0.15">
      <c r="A82" s="1099" t="s">
        <v>119</v>
      </c>
      <c r="B82" s="1258"/>
      <c r="C82" s="1150">
        <f t="shared" ref="C82:M82" si="58">-SUM(C15,C24,C33,C42,C51,C60,C69,C78)</f>
        <v>0</v>
      </c>
      <c r="D82" s="1151">
        <f t="shared" si="58"/>
        <v>0</v>
      </c>
      <c r="E82" s="1152">
        <f t="shared" si="58"/>
        <v>-771493.37189760013</v>
      </c>
      <c r="F82" s="1153">
        <f t="shared" si="58"/>
        <v>-786923.23933555197</v>
      </c>
      <c r="G82" s="1151">
        <f t="shared" si="58"/>
        <v>-802661.70412226301</v>
      </c>
      <c r="H82" s="1152">
        <f t="shared" si="58"/>
        <v>-1332846.1336395261</v>
      </c>
      <c r="I82" s="1153">
        <f t="shared" si="58"/>
        <v>-1359503.0563123166</v>
      </c>
      <c r="J82" s="1151">
        <f t="shared" si="58"/>
        <v>-1386693.1174385627</v>
      </c>
      <c r="K82" s="1152">
        <f t="shared" si="58"/>
        <v>-1414426.9797873339</v>
      </c>
      <c r="L82" s="1152">
        <f t="shared" si="58"/>
        <v>-2103991.195279703</v>
      </c>
      <c r="M82" s="1153">
        <f t="shared" si="58"/>
        <v>-2146071.0191852972</v>
      </c>
      <c r="N82" s="1266"/>
    </row>
    <row r="83" spans="1:14" ht="14" customHeight="1" thickBot="1" x14ac:dyDescent="0.2">
      <c r="A83" s="1100" t="s">
        <v>5</v>
      </c>
      <c r="B83" s="1154"/>
      <c r="C83" s="1155">
        <f>SUM(C80:C82)</f>
        <v>0</v>
      </c>
      <c r="D83" s="1156">
        <f t="shared" ref="D83:M83" si="59">SUM(D80:D82)</f>
        <v>0</v>
      </c>
      <c r="E83" s="1157">
        <f t="shared" si="59"/>
        <v>2018740.98979872</v>
      </c>
      <c r="F83" s="1158">
        <f t="shared" si="59"/>
        <v>3075558.3270697822</v>
      </c>
      <c r="G83" s="1156">
        <f t="shared" si="59"/>
        <v>3137069.4936111784</v>
      </c>
      <c r="H83" s="1157">
        <f t="shared" si="59"/>
        <v>3820207.1341149989</v>
      </c>
      <c r="I83" s="1158">
        <f t="shared" si="59"/>
        <v>4309903.4178643506</v>
      </c>
      <c r="J83" s="1156">
        <f t="shared" si="59"/>
        <v>4396101.4862216357</v>
      </c>
      <c r="K83" s="1157">
        <f t="shared" si="59"/>
        <v>4484023.5159460688</v>
      </c>
      <c r="L83" s="1157">
        <f t="shared" si="59"/>
        <v>5371657.8035064749</v>
      </c>
      <c r="M83" s="1158">
        <f t="shared" si="59"/>
        <v>6010667.4177911999</v>
      </c>
    </row>
    <row r="84" spans="1:14" ht="14" thickBot="1" x14ac:dyDescent="0.2">
      <c r="A84" s="1023" t="s">
        <v>2</v>
      </c>
      <c r="B84" s="1142"/>
      <c r="C84" s="1143"/>
      <c r="D84" s="1144"/>
      <c r="E84" s="1142"/>
      <c r="F84" s="1145"/>
      <c r="G84" s="1144"/>
      <c r="H84" s="1142"/>
      <c r="I84" s="1145"/>
      <c r="J84" s="1144"/>
      <c r="K84" s="1142"/>
      <c r="L84" s="1142"/>
      <c r="M84" s="1145"/>
    </row>
    <row r="85" spans="1:14" ht="14" customHeight="1" x14ac:dyDescent="0.15">
      <c r="A85" s="1267" t="s">
        <v>120</v>
      </c>
      <c r="B85" s="1038"/>
      <c r="C85" s="1134">
        <f>'Summary Board'!F100</f>
        <v>224.577888</v>
      </c>
      <c r="D85" s="1135">
        <f>$C85*(1+$B$8)^D$4</f>
        <v>229.06944576000001</v>
      </c>
      <c r="E85" s="1126">
        <f t="shared" ref="E85:M87" si="60">$C85*(1+$B$8)^E$4</f>
        <v>233.6508346752</v>
      </c>
      <c r="F85" s="1127">
        <f t="shared" si="60"/>
        <v>238.323851368704</v>
      </c>
      <c r="G85" s="1135">
        <f t="shared" si="60"/>
        <v>243.09032839607806</v>
      </c>
      <c r="H85" s="1126">
        <f t="shared" si="60"/>
        <v>247.95213496399964</v>
      </c>
      <c r="I85" s="1127">
        <f t="shared" si="60"/>
        <v>252.91117766327966</v>
      </c>
      <c r="J85" s="1135">
        <f t="shared" si="60"/>
        <v>257.96940121654518</v>
      </c>
      <c r="K85" s="1126">
        <f t="shared" si="60"/>
        <v>263.12878924087613</v>
      </c>
      <c r="L85" s="1126">
        <f t="shared" si="60"/>
        <v>268.39136502569363</v>
      </c>
      <c r="M85" s="1127">
        <f t="shared" si="60"/>
        <v>273.75919232620754</v>
      </c>
    </row>
    <row r="86" spans="1:14" ht="14" customHeight="1" x14ac:dyDescent="0.15">
      <c r="A86" s="1267" t="s">
        <v>121</v>
      </c>
      <c r="B86" s="1038"/>
      <c r="C86" s="1271">
        <f>'Summary Board'!F101</f>
        <v>356.88861600000001</v>
      </c>
      <c r="D86" s="1272">
        <f>$C86*(1+$B$8)^D$4</f>
        <v>364.02638832000002</v>
      </c>
      <c r="E86" s="1273">
        <f t="shared" si="60"/>
        <v>371.30691608640001</v>
      </c>
      <c r="F86" s="1274">
        <f t="shared" si="60"/>
        <v>378.733054408128</v>
      </c>
      <c r="G86" s="1272">
        <f t="shared" si="60"/>
        <v>386.30771549629054</v>
      </c>
      <c r="H86" s="1273">
        <f t="shared" si="60"/>
        <v>394.03386980621639</v>
      </c>
      <c r="I86" s="1274">
        <f t="shared" si="60"/>
        <v>401.91454720234071</v>
      </c>
      <c r="J86" s="1272">
        <f t="shared" si="60"/>
        <v>409.95283814638748</v>
      </c>
      <c r="K86" s="1273">
        <f t="shared" si="60"/>
        <v>418.15189490931527</v>
      </c>
      <c r="L86" s="1273">
        <f t="shared" si="60"/>
        <v>426.51493280750157</v>
      </c>
      <c r="M86" s="1274">
        <f t="shared" si="60"/>
        <v>435.04523146365159</v>
      </c>
    </row>
    <row r="87" spans="1:14" ht="14" customHeight="1" x14ac:dyDescent="0.15">
      <c r="A87" s="1267" t="s">
        <v>122</v>
      </c>
      <c r="B87" s="1038"/>
      <c r="C87" s="1271">
        <f>'Summary Board'!F102</f>
        <v>203.911056</v>
      </c>
      <c r="D87" s="1272">
        <f>$C87*(1+$B$8)^D$4</f>
        <v>207.98927712</v>
      </c>
      <c r="E87" s="1273">
        <f t="shared" si="60"/>
        <v>212.14906266240001</v>
      </c>
      <c r="F87" s="1274">
        <f t="shared" si="60"/>
        <v>216.39204391564797</v>
      </c>
      <c r="G87" s="1272">
        <f t="shared" si="60"/>
        <v>220.71988479396094</v>
      </c>
      <c r="H87" s="1273">
        <f t="shared" si="60"/>
        <v>225.13428248984019</v>
      </c>
      <c r="I87" s="1274">
        <f t="shared" si="60"/>
        <v>229.63696813963699</v>
      </c>
      <c r="J87" s="1272">
        <f t="shared" si="60"/>
        <v>234.22970750242968</v>
      </c>
      <c r="K87" s="1273">
        <f t="shared" si="60"/>
        <v>238.91430165247831</v>
      </c>
      <c r="L87" s="1273">
        <f t="shared" si="60"/>
        <v>243.69258768552788</v>
      </c>
      <c r="M87" s="1274">
        <f t="shared" si="60"/>
        <v>248.56643943923845</v>
      </c>
    </row>
    <row r="88" spans="1:14" ht="14" customHeight="1" x14ac:dyDescent="0.15">
      <c r="A88" s="1011" t="s">
        <v>13</v>
      </c>
      <c r="B88" s="1038"/>
      <c r="C88" s="1160">
        <f>C89/SUM($C$89:$M$89)</f>
        <v>0</v>
      </c>
      <c r="D88" s="1108">
        <f t="shared" ref="D88:M88" si="61">D89/SUM($C$89:$M$89)</f>
        <v>0</v>
      </c>
      <c r="E88" s="1109">
        <f t="shared" si="61"/>
        <v>0.22305776224456259</v>
      </c>
      <c r="F88" s="1161">
        <f t="shared" si="61"/>
        <v>0.1727759580241828</v>
      </c>
      <c r="G88" s="1108">
        <f t="shared" si="61"/>
        <v>0</v>
      </c>
      <c r="H88" s="1109">
        <f t="shared" si="61"/>
        <v>0.13076503055623986</v>
      </c>
      <c r="I88" s="1161">
        <f t="shared" si="61"/>
        <v>0.13338033116736467</v>
      </c>
      <c r="J88" s="1108">
        <f t="shared" si="61"/>
        <v>0</v>
      </c>
      <c r="K88" s="1109">
        <f t="shared" si="61"/>
        <v>0</v>
      </c>
      <c r="L88" s="1109">
        <f t="shared" si="61"/>
        <v>0.15433572733991635</v>
      </c>
      <c r="M88" s="1161">
        <f t="shared" si="61"/>
        <v>0.18568519066773392</v>
      </c>
    </row>
    <row r="89" spans="1:14" ht="14" customHeight="1" x14ac:dyDescent="0.15">
      <c r="A89" s="1011" t="s">
        <v>2</v>
      </c>
      <c r="B89" s="1038"/>
      <c r="C89" s="1162">
        <v>0</v>
      </c>
      <c r="D89" s="1163">
        <f>'Development Schedule'!D78*'8.Market-Rate Retail'!C85</f>
        <v>0</v>
      </c>
      <c r="E89" s="1147">
        <f>'Development Schedule'!E78*'8.Market-Rate Retail'!D85</f>
        <v>11762486.97033024</v>
      </c>
      <c r="F89" s="1148">
        <f>'Development Schedule'!F78*'8.Market-Rate Retail'!E85</f>
        <v>9110980.6473247483</v>
      </c>
      <c r="G89" s="1163">
        <f>'Development Schedule'!G78*'8.Market-Rate Retail'!F85</f>
        <v>0</v>
      </c>
      <c r="H89" s="1147">
        <f>'Development Schedule'!H78*'8.Market-Rate Retail'!G85</f>
        <v>6895621.8004473485</v>
      </c>
      <c r="I89" s="1148">
        <f>'Development Schedule'!I78*'8.Market-Rate Retail'!H85</f>
        <v>7033534.2364562955</v>
      </c>
      <c r="J89" s="1163">
        <f>'Development Schedule'!J78*'8.Market-Rate Retail'!I85</f>
        <v>0</v>
      </c>
      <c r="K89" s="1147">
        <f>'Development Schedule'!K78*'8.Market-Rate Retail'!J85</f>
        <v>0</v>
      </c>
      <c r="L89" s="1147">
        <f>'Development Schedule'!L78*'8.Market-Rate Retail'!K85</f>
        <v>8138573.4512202991</v>
      </c>
      <c r="M89" s="1148">
        <f>'Development Schedule'!M78*'8.Market-Rate Retail'!L85</f>
        <v>9791722.1702323798</v>
      </c>
    </row>
    <row r="90" spans="1:14" ht="14" customHeight="1" x14ac:dyDescent="0.15">
      <c r="A90" s="1194" t="s">
        <v>14</v>
      </c>
      <c r="B90" s="1164"/>
      <c r="C90" s="1150"/>
      <c r="D90" s="1151"/>
      <c r="E90" s="1152"/>
      <c r="F90" s="1153"/>
      <c r="G90" s="1151"/>
      <c r="H90" s="1152"/>
      <c r="I90" s="1153"/>
      <c r="J90" s="1151"/>
      <c r="K90" s="1152"/>
      <c r="L90" s="1152"/>
      <c r="M90" s="1153"/>
    </row>
    <row r="91" spans="1:14" ht="14" thickBot="1" x14ac:dyDescent="0.2">
      <c r="A91" s="1100" t="s">
        <v>3</v>
      </c>
      <c r="B91" s="1154"/>
      <c r="C91" s="1155">
        <f>SUM(C89:C90)</f>
        <v>0</v>
      </c>
      <c r="D91" s="1156">
        <f t="shared" ref="D91:M91" si="62">SUM(D89:D90)</f>
        <v>0</v>
      </c>
      <c r="E91" s="1157">
        <f t="shared" si="62"/>
        <v>11762486.97033024</v>
      </c>
      <c r="F91" s="1158">
        <f t="shared" si="62"/>
        <v>9110980.6473247483</v>
      </c>
      <c r="G91" s="1156">
        <f t="shared" si="62"/>
        <v>0</v>
      </c>
      <c r="H91" s="1157">
        <f t="shared" si="62"/>
        <v>6895621.8004473485</v>
      </c>
      <c r="I91" s="1158">
        <f t="shared" si="62"/>
        <v>7033534.2364562955</v>
      </c>
      <c r="J91" s="1156">
        <f t="shared" si="62"/>
        <v>0</v>
      </c>
      <c r="K91" s="1157">
        <f t="shared" si="62"/>
        <v>0</v>
      </c>
      <c r="L91" s="1157">
        <f t="shared" si="62"/>
        <v>8138573.4512202991</v>
      </c>
      <c r="M91" s="1158">
        <f t="shared" si="62"/>
        <v>9791722.1702323798</v>
      </c>
    </row>
    <row r="92" spans="1:14" ht="14" customHeight="1" thickBot="1" x14ac:dyDescent="0.2">
      <c r="A92" s="1023" t="s">
        <v>4</v>
      </c>
      <c r="B92" s="1142"/>
      <c r="C92" s="1143"/>
      <c r="D92" s="1144"/>
      <c r="E92" s="1142"/>
      <c r="F92" s="1145"/>
      <c r="G92" s="1144"/>
      <c r="H92" s="1142"/>
      <c r="I92" s="1145"/>
      <c r="J92" s="1144"/>
      <c r="K92" s="1142"/>
      <c r="L92" s="1142"/>
      <c r="M92" s="1145"/>
    </row>
    <row r="93" spans="1:14" ht="14" customHeight="1" x14ac:dyDescent="0.15">
      <c r="A93" s="1011" t="s">
        <v>5</v>
      </c>
      <c r="B93" s="1038"/>
      <c r="C93" s="1162">
        <f>C83</f>
        <v>0</v>
      </c>
      <c r="D93" s="1163">
        <f>D83</f>
        <v>0</v>
      </c>
      <c r="E93" s="1147">
        <f t="shared" ref="E93:M93" si="63">E83</f>
        <v>2018740.98979872</v>
      </c>
      <c r="F93" s="1148">
        <f t="shared" si="63"/>
        <v>3075558.3270697822</v>
      </c>
      <c r="G93" s="1163">
        <f t="shared" si="63"/>
        <v>3137069.4936111784</v>
      </c>
      <c r="H93" s="1147">
        <f t="shared" si="63"/>
        <v>3820207.1341149989</v>
      </c>
      <c r="I93" s="1148">
        <f t="shared" si="63"/>
        <v>4309903.4178643506</v>
      </c>
      <c r="J93" s="1163">
        <f t="shared" si="63"/>
        <v>4396101.4862216357</v>
      </c>
      <c r="K93" s="1147">
        <f t="shared" si="63"/>
        <v>4484023.5159460688</v>
      </c>
      <c r="L93" s="1147">
        <f t="shared" si="63"/>
        <v>5371657.8035064749</v>
      </c>
      <c r="M93" s="1148">
        <f t="shared" si="63"/>
        <v>6010667.4177911999</v>
      </c>
    </row>
    <row r="94" spans="1:14" ht="14" customHeight="1" x14ac:dyDescent="0.15">
      <c r="A94" s="1011" t="s">
        <v>60</v>
      </c>
      <c r="B94" s="1106">
        <f>D114</f>
        <v>5.6000000000000001E-2</v>
      </c>
      <c r="C94" s="1168">
        <v>0</v>
      </c>
      <c r="D94" s="1169">
        <f>C94</f>
        <v>0</v>
      </c>
      <c r="E94" s="1170">
        <f t="shared" ref="E94:L95" si="64">D94</f>
        <v>0</v>
      </c>
      <c r="F94" s="1171">
        <f t="shared" si="64"/>
        <v>0</v>
      </c>
      <c r="G94" s="1169">
        <f t="shared" si="64"/>
        <v>0</v>
      </c>
      <c r="H94" s="1170">
        <f t="shared" si="64"/>
        <v>0</v>
      </c>
      <c r="I94" s="1171">
        <f t="shared" si="64"/>
        <v>0</v>
      </c>
      <c r="J94" s="1169">
        <f t="shared" si="64"/>
        <v>0</v>
      </c>
      <c r="K94" s="1170">
        <f t="shared" si="64"/>
        <v>0</v>
      </c>
      <c r="L94" s="1170">
        <f t="shared" si="64"/>
        <v>0</v>
      </c>
      <c r="M94" s="1171">
        <f>M93/B94</f>
        <v>107333346.74627143</v>
      </c>
    </row>
    <row r="95" spans="1:14" ht="14" customHeight="1" x14ac:dyDescent="0.15">
      <c r="A95" s="1011" t="s">
        <v>61</v>
      </c>
      <c r="B95" s="1106">
        <f>D115</f>
        <v>0.03</v>
      </c>
      <c r="C95" s="1168">
        <v>0</v>
      </c>
      <c r="D95" s="1169">
        <f>C95</f>
        <v>0</v>
      </c>
      <c r="E95" s="1170">
        <f t="shared" si="64"/>
        <v>0</v>
      </c>
      <c r="F95" s="1171">
        <f t="shared" si="64"/>
        <v>0</v>
      </c>
      <c r="G95" s="1169">
        <f t="shared" si="64"/>
        <v>0</v>
      </c>
      <c r="H95" s="1170">
        <f t="shared" si="64"/>
        <v>0</v>
      </c>
      <c r="I95" s="1171">
        <f t="shared" si="64"/>
        <v>0</v>
      </c>
      <c r="J95" s="1169">
        <f t="shared" si="64"/>
        <v>0</v>
      </c>
      <c r="K95" s="1170">
        <f t="shared" si="64"/>
        <v>0</v>
      </c>
      <c r="L95" s="1170">
        <f t="shared" si="64"/>
        <v>0</v>
      </c>
      <c r="M95" s="1171">
        <f>M94*-B95</f>
        <v>-3220000.4023881429</v>
      </c>
    </row>
    <row r="96" spans="1:14" x14ac:dyDescent="0.15">
      <c r="A96" s="1099" t="s">
        <v>105</v>
      </c>
      <c r="B96" s="1224"/>
      <c r="C96" s="1150">
        <f>-C91</f>
        <v>0</v>
      </c>
      <c r="D96" s="1151">
        <f t="shared" ref="D96:M96" si="65">-D91</f>
        <v>0</v>
      </c>
      <c r="E96" s="1152">
        <f t="shared" si="65"/>
        <v>-11762486.97033024</v>
      </c>
      <c r="F96" s="1153">
        <f t="shared" si="65"/>
        <v>-9110980.6473247483</v>
      </c>
      <c r="G96" s="1151">
        <f t="shared" si="65"/>
        <v>0</v>
      </c>
      <c r="H96" s="1152">
        <f t="shared" si="65"/>
        <v>-6895621.8004473485</v>
      </c>
      <c r="I96" s="1153">
        <f t="shared" si="65"/>
        <v>-7033534.2364562955</v>
      </c>
      <c r="J96" s="1151">
        <f t="shared" si="65"/>
        <v>0</v>
      </c>
      <c r="K96" s="1152">
        <f t="shared" si="65"/>
        <v>0</v>
      </c>
      <c r="L96" s="1152">
        <f t="shared" si="65"/>
        <v>-8138573.4512202991</v>
      </c>
      <c r="M96" s="1153">
        <f t="shared" si="65"/>
        <v>-9791722.1702323798</v>
      </c>
    </row>
    <row r="97" spans="1:13" ht="14" thickBot="1" x14ac:dyDescent="0.2">
      <c r="A97" s="1100" t="s">
        <v>6</v>
      </c>
      <c r="B97" s="1225"/>
      <c r="C97" s="1155">
        <f>SUM(C93:C96)</f>
        <v>0</v>
      </c>
      <c r="D97" s="1156">
        <f t="shared" ref="D97:M97" si="66">SUM(D93:D96)</f>
        <v>0</v>
      </c>
      <c r="E97" s="1157">
        <f t="shared" si="66"/>
        <v>-9743745.9805315211</v>
      </c>
      <c r="F97" s="1158">
        <f t="shared" si="66"/>
        <v>-6035422.3202549666</v>
      </c>
      <c r="G97" s="1156">
        <f t="shared" si="66"/>
        <v>3137069.4936111784</v>
      </c>
      <c r="H97" s="1157">
        <f t="shared" si="66"/>
        <v>-3075414.6663323496</v>
      </c>
      <c r="I97" s="1158">
        <f t="shared" si="66"/>
        <v>-2723630.8185919449</v>
      </c>
      <c r="J97" s="1156">
        <f t="shared" si="66"/>
        <v>4396101.4862216357</v>
      </c>
      <c r="K97" s="1157">
        <f t="shared" si="66"/>
        <v>4484023.5159460688</v>
      </c>
      <c r="L97" s="1157">
        <f t="shared" si="66"/>
        <v>-2766915.6477138242</v>
      </c>
      <c r="M97" s="1158">
        <f t="shared" si="66"/>
        <v>100332291.59144211</v>
      </c>
    </row>
    <row r="98" spans="1:13" ht="14" thickBot="1" x14ac:dyDescent="0.2">
      <c r="A98" s="988" t="s">
        <v>27</v>
      </c>
      <c r="B98" s="1172"/>
      <c r="C98" s="1275">
        <f>C97+NPV(D116,D97:M97)</f>
        <v>31500666.748552542</v>
      </c>
      <c r="D98" s="1199"/>
      <c r="E98" s="1197"/>
      <c r="F98" s="1200"/>
      <c r="G98" s="1199"/>
      <c r="H98" s="1197"/>
      <c r="I98" s="1200"/>
      <c r="J98" s="1038"/>
      <c r="K98" s="1038"/>
      <c r="L98" s="1038"/>
      <c r="M98" s="1113"/>
    </row>
    <row r="99" spans="1:13" ht="14" thickBot="1" x14ac:dyDescent="0.2">
      <c r="A99" s="989" t="s">
        <v>62</v>
      </c>
      <c r="B99" s="1176"/>
      <c r="C99" s="1177">
        <f>IRR(C97:M97,0)</f>
        <v>0.28837969290637622</v>
      </c>
      <c r="D99" s="1178"/>
      <c r="E99" s="1176"/>
      <c r="F99" s="1179"/>
      <c r="G99" s="1178"/>
      <c r="H99" s="1176"/>
      <c r="I99" s="1179"/>
      <c r="J99" s="1176"/>
      <c r="K99" s="1176"/>
      <c r="L99" s="1176"/>
      <c r="M99" s="1179"/>
    </row>
    <row r="100" spans="1:13" ht="14" thickBot="1" x14ac:dyDescent="0.2">
      <c r="A100" s="1268"/>
      <c r="B100" s="532"/>
      <c r="C100" s="1269"/>
      <c r="D100" s="532"/>
      <c r="E100" s="532"/>
      <c r="F100" s="532"/>
      <c r="G100" s="532"/>
      <c r="H100" s="532"/>
      <c r="I100" s="532"/>
      <c r="J100" s="532"/>
      <c r="K100" s="532"/>
      <c r="L100" s="532"/>
      <c r="M100" s="532"/>
    </row>
    <row r="101" spans="1:13" ht="14" thickBot="1" x14ac:dyDescent="0.2">
      <c r="A101" s="1478" t="s">
        <v>99</v>
      </c>
      <c r="B101" s="1474"/>
      <c r="C101" s="1474"/>
      <c r="D101" s="1479"/>
      <c r="E101" s="882"/>
      <c r="F101" s="882"/>
      <c r="G101" s="1098"/>
      <c r="H101" s="882"/>
      <c r="I101" s="882"/>
      <c r="J101" s="882"/>
      <c r="K101" s="882"/>
      <c r="L101" s="882"/>
      <c r="M101" s="882"/>
    </row>
    <row r="102" spans="1:13" ht="14" thickBot="1" x14ac:dyDescent="0.2">
      <c r="A102" s="1056"/>
      <c r="B102" s="1052"/>
      <c r="C102" s="1102" t="s">
        <v>115</v>
      </c>
      <c r="D102" s="1103" t="s">
        <v>116</v>
      </c>
      <c r="E102" s="882"/>
      <c r="F102" s="882"/>
      <c r="G102" s="882"/>
      <c r="H102" s="882"/>
      <c r="I102" s="882"/>
      <c r="J102" s="882"/>
      <c r="K102" s="882"/>
      <c r="L102" s="882"/>
      <c r="M102" s="882"/>
    </row>
    <row r="103" spans="1:13" x14ac:dyDescent="0.15">
      <c r="A103" s="941" t="s">
        <v>420</v>
      </c>
      <c r="B103" s="532"/>
      <c r="C103" s="1079">
        <f>SUM('Development Schedule'!E78:G78)</f>
        <v>90343</v>
      </c>
      <c r="D103" s="1083">
        <f>C103*$B$10</f>
        <v>81308.7</v>
      </c>
      <c r="E103" s="882"/>
      <c r="F103" s="882"/>
      <c r="G103" s="882"/>
      <c r="H103" s="882"/>
      <c r="I103" s="882"/>
      <c r="J103" s="882"/>
      <c r="K103" s="882"/>
      <c r="L103" s="882"/>
      <c r="M103" s="882"/>
    </row>
    <row r="104" spans="1:13" x14ac:dyDescent="0.15">
      <c r="A104" s="941"/>
      <c r="B104" s="532"/>
      <c r="C104" s="1079"/>
      <c r="D104" s="1083"/>
      <c r="E104" s="882"/>
      <c r="F104" s="882"/>
      <c r="G104" s="882"/>
      <c r="H104" s="882"/>
      <c r="I104" s="882"/>
      <c r="J104" s="882"/>
      <c r="K104" s="882"/>
      <c r="L104" s="882"/>
      <c r="M104" s="882"/>
    </row>
    <row r="105" spans="1:13" x14ac:dyDescent="0.15">
      <c r="A105" s="941"/>
      <c r="B105" s="532"/>
      <c r="C105" s="1079"/>
      <c r="D105" s="1083"/>
      <c r="E105" s="882"/>
      <c r="F105" s="882"/>
      <c r="G105" s="882"/>
      <c r="H105" s="882"/>
      <c r="I105" s="882"/>
      <c r="J105" s="882"/>
      <c r="K105" s="882"/>
      <c r="L105" s="882"/>
      <c r="M105" s="882"/>
    </row>
    <row r="106" spans="1:13" x14ac:dyDescent="0.15">
      <c r="A106" s="941" t="s">
        <v>79</v>
      </c>
      <c r="B106" s="532"/>
      <c r="C106" s="1079">
        <f>SUM('Development Schedule'!H78:J78)</f>
        <v>56733</v>
      </c>
      <c r="D106" s="1083">
        <f>C106*$B$37</f>
        <v>51059.700000000004</v>
      </c>
      <c r="E106" s="882"/>
      <c r="F106" s="882"/>
      <c r="G106" s="882"/>
      <c r="H106" s="882"/>
      <c r="I106" s="882"/>
      <c r="J106" s="882"/>
      <c r="K106" s="882"/>
      <c r="L106" s="882"/>
      <c r="M106" s="882"/>
    </row>
    <row r="107" spans="1:13" x14ac:dyDescent="0.15">
      <c r="A107" s="941"/>
      <c r="B107" s="532"/>
      <c r="C107" s="1079"/>
      <c r="D107" s="1083"/>
      <c r="E107" s="882"/>
      <c r="F107" s="882"/>
      <c r="G107" s="882"/>
      <c r="H107" s="882"/>
      <c r="I107" s="882"/>
      <c r="J107" s="882"/>
      <c r="K107" s="882"/>
      <c r="L107" s="882"/>
      <c r="M107" s="882"/>
    </row>
    <row r="108" spans="1:13" x14ac:dyDescent="0.15">
      <c r="A108" s="941"/>
      <c r="B108" s="532"/>
      <c r="C108" s="1079"/>
      <c r="D108" s="1083"/>
      <c r="E108" s="882"/>
      <c r="F108" s="882"/>
      <c r="G108" s="882"/>
      <c r="H108" s="882"/>
      <c r="I108" s="882"/>
      <c r="J108" s="882"/>
      <c r="K108" s="882"/>
      <c r="L108" s="882"/>
      <c r="M108" s="882"/>
    </row>
    <row r="109" spans="1:13" x14ac:dyDescent="0.15">
      <c r="A109" s="941" t="s">
        <v>421</v>
      </c>
      <c r="B109" s="532"/>
      <c r="C109" s="1079">
        <f>SUM('Development Schedule'!K78:N78)</f>
        <v>67413</v>
      </c>
      <c r="D109" s="1083">
        <f>C109*$B$64</f>
        <v>60671.700000000004</v>
      </c>
      <c r="E109" s="882"/>
      <c r="F109" s="882"/>
      <c r="G109" s="882"/>
      <c r="H109" s="882"/>
      <c r="I109" s="882"/>
      <c r="J109" s="882"/>
      <c r="K109" s="882"/>
      <c r="L109" s="882"/>
      <c r="M109" s="882"/>
    </row>
    <row r="110" spans="1:13" x14ac:dyDescent="0.15">
      <c r="A110" s="941"/>
      <c r="B110" s="532"/>
      <c r="C110" s="1079"/>
      <c r="D110" s="1083"/>
      <c r="E110" s="882"/>
      <c r="F110" s="882"/>
      <c r="G110" s="882"/>
      <c r="H110" s="882"/>
      <c r="I110" s="882"/>
      <c r="J110" s="882"/>
      <c r="K110" s="882"/>
      <c r="L110" s="882"/>
      <c r="M110" s="882"/>
    </row>
    <row r="111" spans="1:13" ht="14" thickBot="1" x14ac:dyDescent="0.2">
      <c r="A111" s="882"/>
      <c r="B111" s="883"/>
      <c r="C111" s="883"/>
      <c r="D111" s="882"/>
      <c r="E111" s="882"/>
      <c r="F111" s="882"/>
      <c r="G111" s="882"/>
      <c r="H111" s="882"/>
      <c r="I111" s="882"/>
      <c r="J111" s="882"/>
      <c r="K111" s="882"/>
      <c r="L111" s="882"/>
      <c r="M111" s="882"/>
    </row>
    <row r="112" spans="1:13" ht="14" thickBot="1" x14ac:dyDescent="0.2">
      <c r="A112" s="1478" t="s">
        <v>106</v>
      </c>
      <c r="B112" s="1480"/>
      <c r="C112" s="1480"/>
      <c r="D112" s="1481"/>
      <c r="E112" s="882"/>
      <c r="F112" s="882"/>
      <c r="G112" s="882"/>
      <c r="H112" s="882"/>
      <c r="I112" s="882"/>
      <c r="J112" s="882"/>
      <c r="K112" s="882"/>
      <c r="L112" s="882"/>
      <c r="M112" s="882"/>
    </row>
    <row r="113" spans="1:13" x14ac:dyDescent="0.15">
      <c r="A113" s="1270" t="s">
        <v>117</v>
      </c>
      <c r="B113" s="532"/>
      <c r="C113" s="532"/>
      <c r="D113" s="1242">
        <f>C12*0.3*0.8</f>
        <v>9.120000000000001</v>
      </c>
      <c r="E113" s="882"/>
      <c r="F113" s="882"/>
      <c r="G113" s="882"/>
      <c r="H113" s="882"/>
      <c r="I113" s="882"/>
      <c r="J113" s="882"/>
      <c r="K113" s="882"/>
      <c r="L113" s="882"/>
      <c r="M113" s="882"/>
    </row>
    <row r="114" spans="1:13" x14ac:dyDescent="0.15">
      <c r="A114" s="941" t="s">
        <v>107</v>
      </c>
      <c r="B114" s="532"/>
      <c r="C114" s="532"/>
      <c r="D114" s="1243">
        <f>'Summary Board'!K123</f>
        <v>5.6000000000000001E-2</v>
      </c>
      <c r="E114" s="882"/>
      <c r="F114" s="882"/>
      <c r="G114" s="882"/>
      <c r="H114" s="882"/>
      <c r="I114" s="882"/>
      <c r="J114" s="882"/>
      <c r="K114" s="882"/>
      <c r="L114" s="882"/>
      <c r="M114" s="882"/>
    </row>
    <row r="115" spans="1:13" x14ac:dyDescent="0.15">
      <c r="A115" s="941" t="s">
        <v>108</v>
      </c>
      <c r="B115" s="532"/>
      <c r="C115" s="532"/>
      <c r="D115" s="1243">
        <v>0.03</v>
      </c>
      <c r="E115" s="882"/>
      <c r="F115" s="882"/>
      <c r="G115" s="882"/>
      <c r="H115" s="882"/>
      <c r="I115" s="882"/>
      <c r="J115" s="882"/>
      <c r="K115" s="882"/>
      <c r="L115" s="882"/>
      <c r="M115" s="882"/>
    </row>
    <row r="116" spans="1:13" ht="14" thickBot="1" x14ac:dyDescent="0.2">
      <c r="A116" s="947" t="s">
        <v>95</v>
      </c>
      <c r="B116" s="1062"/>
      <c r="C116" s="1062"/>
      <c r="D116" s="1063">
        <v>0.09</v>
      </c>
      <c r="E116" s="882"/>
      <c r="F116" s="882"/>
      <c r="G116" s="882"/>
      <c r="H116" s="882"/>
      <c r="I116" s="882"/>
      <c r="J116" s="882"/>
      <c r="K116" s="882"/>
      <c r="L116" s="882"/>
      <c r="M116" s="882"/>
    </row>
    <row r="117" spans="1:13" x14ac:dyDescent="0.15">
      <c r="A117" s="882"/>
      <c r="B117" s="883"/>
      <c r="C117" s="883"/>
      <c r="D117" s="882"/>
      <c r="E117" s="882"/>
      <c r="F117" s="882"/>
      <c r="G117" s="882"/>
      <c r="H117" s="882"/>
      <c r="I117" s="882"/>
      <c r="J117" s="882"/>
      <c r="K117" s="882"/>
      <c r="L117" s="882"/>
      <c r="M117" s="882"/>
    </row>
  </sheetData>
  <phoneticPr fontId="3" type="noConversion"/>
  <printOptions horizontalCentered="1"/>
  <pageMargins left="0.5" right="0.5" top="1" bottom="0.5" header="0.5" footer="0.5"/>
  <pageSetup scale="51" fitToHeight="2" orientation="landscape" r:id="rId1"/>
  <headerFooter alignWithMargins="0">
    <oddHeader>&amp;L&amp;"Arial,Bold"6. Income Statement: Retail</oddHeader>
  </headerFooter>
  <ignoredErrors>
    <ignoredError sqref="F10 G10:M10 G19:M19 G28:M28 D37:M37 D46:M46 D55:M55 D64:M64 D73:M73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N39"/>
  <sheetViews>
    <sheetView view="pageBreakPreview" zoomScale="85" zoomScaleSheetLayoutView="85" workbookViewId="0">
      <selection activeCell="G38" sqref="G38"/>
    </sheetView>
  </sheetViews>
  <sheetFormatPr baseColWidth="10" defaultColWidth="9.1640625" defaultRowHeight="13" x14ac:dyDescent="0.15"/>
  <cols>
    <col min="1" max="1" width="23.1640625" style="1064" customWidth="1"/>
    <col min="2" max="2" width="12.6640625" style="1104" customWidth="1"/>
    <col min="3" max="3" width="13.6640625" style="1104" customWidth="1"/>
    <col min="4" max="13" width="13.6640625" style="1064" customWidth="1"/>
    <col min="14" max="14" width="14.33203125" style="1064" bestFit="1" customWidth="1"/>
    <col min="15" max="16384" width="9.1640625" style="1064"/>
  </cols>
  <sheetData>
    <row r="1" spans="1:14" ht="14" customHeight="1" thickBot="1" x14ac:dyDescent="0.2">
      <c r="A1" s="882"/>
      <c r="B1" s="883"/>
      <c r="C1" s="883"/>
      <c r="D1" s="882"/>
      <c r="E1" s="882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14" ht="14" customHeight="1" thickBot="1" x14ac:dyDescent="0.2">
      <c r="A2" s="882"/>
      <c r="B2" s="883"/>
      <c r="C2" s="883"/>
      <c r="D2" s="882"/>
      <c r="E2" s="882"/>
      <c r="F2" s="882"/>
      <c r="G2" s="882"/>
      <c r="H2" s="882"/>
      <c r="I2" s="882"/>
      <c r="J2" s="882"/>
      <c r="K2" s="882"/>
      <c r="L2" s="1234"/>
      <c r="M2" s="1235"/>
    </row>
    <row r="3" spans="1:14" ht="14" customHeight="1" thickBot="1" x14ac:dyDescent="0.2">
      <c r="A3" s="933"/>
      <c r="B3" s="1065"/>
      <c r="C3" s="1004" t="s">
        <v>58</v>
      </c>
      <c r="D3" s="935" t="s">
        <v>37</v>
      </c>
      <c r="E3" s="936"/>
      <c r="F3" s="937"/>
      <c r="G3" s="935" t="s">
        <v>79</v>
      </c>
      <c r="H3" s="938"/>
      <c r="I3" s="937"/>
      <c r="J3" s="939" t="s">
        <v>80</v>
      </c>
      <c r="K3" s="939"/>
      <c r="L3" s="936"/>
      <c r="M3" s="937"/>
    </row>
    <row r="4" spans="1:14" ht="14" customHeight="1" thickBot="1" x14ac:dyDescent="0.2">
      <c r="A4" s="941"/>
      <c r="B4" s="532"/>
      <c r="C4" s="1004">
        <v>0</v>
      </c>
      <c r="D4" s="934">
        <f>C4+1</f>
        <v>1</v>
      </c>
      <c r="E4" s="1276">
        <f t="shared" ref="E4:M5" si="0">D4+1</f>
        <v>2</v>
      </c>
      <c r="F4" s="1277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3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</row>
    <row r="5" spans="1:14" ht="14" customHeight="1" thickBot="1" x14ac:dyDescent="0.2">
      <c r="A5" s="947"/>
      <c r="B5" s="945"/>
      <c r="C5" s="1004" t="s">
        <v>362</v>
      </c>
      <c r="D5" s="942">
        <v>2020</v>
      </c>
      <c r="E5" s="943">
        <f>D5+1</f>
        <v>2021</v>
      </c>
      <c r="F5" s="944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3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</row>
    <row r="6" spans="1:14" ht="18" customHeight="1" thickBot="1" x14ac:dyDescent="0.2">
      <c r="A6" s="1023" t="s">
        <v>10</v>
      </c>
      <c r="B6" s="1066"/>
      <c r="C6" s="1067"/>
      <c r="D6" s="1068"/>
      <c r="E6" s="1069"/>
      <c r="F6" s="1070"/>
      <c r="G6" s="1068"/>
      <c r="H6" s="1069"/>
      <c r="I6" s="1070"/>
      <c r="J6" s="1069"/>
      <c r="K6" s="1069"/>
      <c r="L6" s="1069"/>
      <c r="M6" s="1070"/>
    </row>
    <row r="7" spans="1:14" ht="14" customHeight="1" x14ac:dyDescent="0.15">
      <c r="A7" s="1011" t="s">
        <v>11</v>
      </c>
      <c r="B7" s="1201">
        <v>0.02</v>
      </c>
      <c r="C7" s="1114"/>
      <c r="D7" s="1115"/>
      <c r="E7" s="1116"/>
      <c r="F7" s="1117"/>
      <c r="G7" s="1115"/>
      <c r="H7" s="1116"/>
      <c r="I7" s="1117"/>
      <c r="J7" s="1116"/>
      <c r="K7" s="1116"/>
      <c r="L7" s="1116"/>
      <c r="M7" s="1117"/>
    </row>
    <row r="8" spans="1:14" ht="14" customHeight="1" x14ac:dyDescent="0.15">
      <c r="A8" s="1011" t="s">
        <v>46</v>
      </c>
      <c r="B8" s="1038"/>
      <c r="C8" s="1112">
        <f>'Development Schedule'!D9/500</f>
        <v>0</v>
      </c>
      <c r="D8" s="1119">
        <f>'Development Schedule'!D38/500</f>
        <v>0</v>
      </c>
      <c r="E8" s="1119">
        <f>'Development Schedule'!E38/500</f>
        <v>0</v>
      </c>
      <c r="F8" s="1119">
        <f>'Development Schedule'!F38/500</f>
        <v>0</v>
      </c>
      <c r="G8" s="1119">
        <f>'Development Schedule'!G38/500</f>
        <v>0</v>
      </c>
      <c r="H8" s="1119">
        <f>'Development Schedule'!H38/500</f>
        <v>330</v>
      </c>
      <c r="I8" s="1119">
        <f>'Development Schedule'!I38/500</f>
        <v>0</v>
      </c>
      <c r="J8" s="1119">
        <f>'Development Schedule'!J38/500</f>
        <v>0</v>
      </c>
      <c r="K8" s="1119">
        <f>'Development Schedule'!K38/500</f>
        <v>0</v>
      </c>
      <c r="L8" s="1119">
        <f>'Development Schedule'!L38/500</f>
        <v>0</v>
      </c>
      <c r="M8" s="1119">
        <f>'Development Schedule'!M38/500</f>
        <v>0</v>
      </c>
    </row>
    <row r="9" spans="1:14" ht="14" customHeight="1" x14ac:dyDescent="0.15">
      <c r="A9" s="1011" t="s">
        <v>45</v>
      </c>
      <c r="B9" s="1172"/>
      <c r="C9" s="1107">
        <v>1</v>
      </c>
      <c r="D9" s="1111">
        <f>C9</f>
        <v>1</v>
      </c>
      <c r="E9" s="1106">
        <v>0.6</v>
      </c>
      <c r="F9" s="1110">
        <v>0.33</v>
      </c>
      <c r="G9" s="1111">
        <f>F9</f>
        <v>0.33</v>
      </c>
      <c r="H9" s="1106">
        <f t="shared" ref="H9:M9" si="1">G9</f>
        <v>0.33</v>
      </c>
      <c r="I9" s="1110">
        <f t="shared" si="1"/>
        <v>0.33</v>
      </c>
      <c r="J9" s="1106">
        <f t="shared" si="1"/>
        <v>0.33</v>
      </c>
      <c r="K9" s="1106">
        <f t="shared" si="1"/>
        <v>0.33</v>
      </c>
      <c r="L9" s="1106">
        <f t="shared" si="1"/>
        <v>0.33</v>
      </c>
      <c r="M9" s="1110">
        <f t="shared" si="1"/>
        <v>0.33</v>
      </c>
    </row>
    <row r="10" spans="1:14" ht="14" customHeight="1" x14ac:dyDescent="0.15">
      <c r="A10" s="1011" t="s">
        <v>41</v>
      </c>
      <c r="B10" s="1172"/>
      <c r="C10" s="1107">
        <f>1-C9</f>
        <v>0</v>
      </c>
      <c r="D10" s="1111">
        <f t="shared" ref="D10:M10" si="2">1-D9</f>
        <v>0</v>
      </c>
      <c r="E10" s="1106">
        <f t="shared" si="2"/>
        <v>0.4</v>
      </c>
      <c r="F10" s="1110">
        <f t="shared" si="2"/>
        <v>0.66999999999999993</v>
      </c>
      <c r="G10" s="1111">
        <f t="shared" si="2"/>
        <v>0.66999999999999993</v>
      </c>
      <c r="H10" s="1106">
        <f t="shared" si="2"/>
        <v>0.66999999999999993</v>
      </c>
      <c r="I10" s="1110">
        <f t="shared" si="2"/>
        <v>0.66999999999999993</v>
      </c>
      <c r="J10" s="1106">
        <f t="shared" si="2"/>
        <v>0.66999999999999993</v>
      </c>
      <c r="K10" s="1106">
        <f t="shared" si="2"/>
        <v>0.66999999999999993</v>
      </c>
      <c r="L10" s="1106">
        <f t="shared" si="2"/>
        <v>0.66999999999999993</v>
      </c>
      <c r="M10" s="1110">
        <f t="shared" si="2"/>
        <v>0.66999999999999993</v>
      </c>
    </row>
    <row r="11" spans="1:14" ht="14" customHeight="1" thickBot="1" x14ac:dyDescent="0.2">
      <c r="A11" s="1011" t="s">
        <v>47</v>
      </c>
      <c r="B11" s="1038"/>
      <c r="C11" s="1134">
        <f>'Summary Board'!K114</f>
        <v>237</v>
      </c>
      <c r="D11" s="1135">
        <f>$C$11*(1+$B$7)^D4</f>
        <v>241.74</v>
      </c>
      <c r="E11" s="1126">
        <f t="shared" ref="E11:M11" si="3">$C$11*(1+$B$7)^E4</f>
        <v>246.57480000000001</v>
      </c>
      <c r="F11" s="1127">
        <f t="shared" si="3"/>
        <v>251.50629599999999</v>
      </c>
      <c r="G11" s="1135">
        <f t="shared" si="3"/>
        <v>256.53642192000001</v>
      </c>
      <c r="H11" s="1126">
        <f t="shared" si="3"/>
        <v>261.66715035840002</v>
      </c>
      <c r="I11" s="1127">
        <f t="shared" si="3"/>
        <v>266.90049336556802</v>
      </c>
      <c r="J11" s="1126">
        <f t="shared" si="3"/>
        <v>272.23850323287934</v>
      </c>
      <c r="K11" s="1126">
        <f t="shared" si="3"/>
        <v>277.68327329753691</v>
      </c>
      <c r="L11" s="1126">
        <f t="shared" si="3"/>
        <v>283.23693876348767</v>
      </c>
      <c r="M11" s="1127">
        <f t="shared" si="3"/>
        <v>288.90167753875744</v>
      </c>
    </row>
    <row r="12" spans="1:14" ht="14" thickBot="1" x14ac:dyDescent="0.2">
      <c r="A12" s="1023" t="s">
        <v>0</v>
      </c>
      <c r="B12" s="1142"/>
      <c r="C12" s="1143"/>
      <c r="D12" s="1144"/>
      <c r="E12" s="1142"/>
      <c r="F12" s="1145"/>
      <c r="G12" s="1144"/>
      <c r="H12" s="1142"/>
      <c r="I12" s="1145"/>
      <c r="J12" s="1142"/>
      <c r="K12" s="1142"/>
      <c r="L12" s="1142"/>
      <c r="M12" s="1145"/>
    </row>
    <row r="13" spans="1:14" ht="14" customHeight="1" x14ac:dyDescent="0.15">
      <c r="A13" s="1011" t="s">
        <v>18</v>
      </c>
      <c r="B13" s="1038"/>
      <c r="C13" s="1146">
        <f>SUM($C$8:C8)*C10*C11*365</f>
        <v>0</v>
      </c>
      <c r="D13" s="1165">
        <f>SUM($C$8:D8)*D10*D11*365</f>
        <v>0</v>
      </c>
      <c r="E13" s="1166">
        <f>SUM($C$8:E8)*E10*E11*365</f>
        <v>0</v>
      </c>
      <c r="F13" s="1167">
        <f>SUM($C$8:F8)*F10*F11*365</f>
        <v>0</v>
      </c>
      <c r="G13" s="1165">
        <f>SUM($C$8:G8)*G10*G11*365</f>
        <v>0</v>
      </c>
      <c r="H13" s="1166">
        <f>SUM($C$8:H8)*H10*H11*365</f>
        <v>21116931.534648418</v>
      </c>
      <c r="I13" s="1167">
        <f>SUM($C$8:I8)*I10*I11*365</f>
        <v>21539270.165341385</v>
      </c>
      <c r="J13" s="1147">
        <f>SUM($C$8:J8)*J10*J11*365</f>
        <v>21970055.568648208</v>
      </c>
      <c r="K13" s="1147">
        <f>SUM($C$8:K8)*K10*K11*365</f>
        <v>22409456.680021174</v>
      </c>
      <c r="L13" s="1147">
        <f>SUM($C$8:L8)*L10*L11*365</f>
        <v>22857645.813621596</v>
      </c>
      <c r="M13" s="1148">
        <f>SUM($C$8:M8)*M10*M11*365</f>
        <v>23314798.729894031</v>
      </c>
      <c r="N13" s="1265"/>
    </row>
    <row r="14" spans="1:14" s="1241" customFormat="1" ht="14" customHeight="1" x14ac:dyDescent="0.15">
      <c r="A14" s="1099" t="s">
        <v>103</v>
      </c>
      <c r="B14" s="1149">
        <f>75%*0.8</f>
        <v>0.60000000000000009</v>
      </c>
      <c r="C14" s="1150">
        <f>C13*-$B$14</f>
        <v>0</v>
      </c>
      <c r="D14" s="1151">
        <f t="shared" ref="D14:M14" si="4">D13*-$B$14</f>
        <v>0</v>
      </c>
      <c r="E14" s="1152">
        <f t="shared" si="4"/>
        <v>0</v>
      </c>
      <c r="F14" s="1153">
        <f t="shared" si="4"/>
        <v>0</v>
      </c>
      <c r="G14" s="1151">
        <f t="shared" si="4"/>
        <v>0</v>
      </c>
      <c r="H14" s="1152">
        <f t="shared" si="4"/>
        <v>-12670158.920789054</v>
      </c>
      <c r="I14" s="1153">
        <f t="shared" si="4"/>
        <v>-12923562.099204833</v>
      </c>
      <c r="J14" s="1152">
        <f t="shared" si="4"/>
        <v>-13182033.341188926</v>
      </c>
      <c r="K14" s="1152">
        <f t="shared" si="4"/>
        <v>-13445674.008012706</v>
      </c>
      <c r="L14" s="1152">
        <f t="shared" si="4"/>
        <v>-13714587.48817296</v>
      </c>
      <c r="M14" s="1153">
        <f t="shared" si="4"/>
        <v>-13988879.23793642</v>
      </c>
    </row>
    <row r="15" spans="1:14" s="1241" customFormat="1" ht="14" customHeight="1" thickBot="1" x14ac:dyDescent="0.2">
      <c r="A15" s="1100" t="s">
        <v>5</v>
      </c>
      <c r="B15" s="1154"/>
      <c r="C15" s="1155">
        <f>SUM(C13:C14)</f>
        <v>0</v>
      </c>
      <c r="D15" s="1156">
        <f t="shared" ref="D15:M15" si="5">SUM(D13:D14)</f>
        <v>0</v>
      </c>
      <c r="E15" s="1157">
        <f t="shared" si="5"/>
        <v>0</v>
      </c>
      <c r="F15" s="1158">
        <f t="shared" si="5"/>
        <v>0</v>
      </c>
      <c r="G15" s="1156">
        <f t="shared" si="5"/>
        <v>0</v>
      </c>
      <c r="H15" s="1157">
        <f t="shared" si="5"/>
        <v>8446772.6138593648</v>
      </c>
      <c r="I15" s="1158">
        <f t="shared" si="5"/>
        <v>8615708.066136552</v>
      </c>
      <c r="J15" s="1157">
        <f t="shared" si="5"/>
        <v>8788022.2274592817</v>
      </c>
      <c r="K15" s="1157">
        <f t="shared" si="5"/>
        <v>8963782.6720084678</v>
      </c>
      <c r="L15" s="1157">
        <f t="shared" si="5"/>
        <v>9143058.325448636</v>
      </c>
      <c r="M15" s="1158">
        <f t="shared" si="5"/>
        <v>9325919.4919576105</v>
      </c>
    </row>
    <row r="16" spans="1:14" ht="14" thickBot="1" x14ac:dyDescent="0.2">
      <c r="A16" s="1023" t="s">
        <v>2</v>
      </c>
      <c r="B16" s="1142"/>
      <c r="C16" s="1143"/>
      <c r="D16" s="1144"/>
      <c r="E16" s="1142"/>
      <c r="F16" s="1145"/>
      <c r="G16" s="1144"/>
      <c r="H16" s="1142"/>
      <c r="I16" s="1145"/>
      <c r="J16" s="1144"/>
      <c r="K16" s="1142"/>
      <c r="L16" s="1142"/>
      <c r="M16" s="1145"/>
    </row>
    <row r="17" spans="1:14" ht="14" customHeight="1" x14ac:dyDescent="0.15">
      <c r="A17" s="1011" t="s">
        <v>104</v>
      </c>
      <c r="B17" s="1038"/>
      <c r="C17" s="1134">
        <f>'Summary Board'!F103</f>
        <v>274.39835999999997</v>
      </c>
      <c r="D17" s="1135">
        <f>$C$17*(1+$B$7)^D4</f>
        <v>279.88632719999998</v>
      </c>
      <c r="E17" s="1126">
        <f t="shared" ref="E17:M17" si="6">$C$17*(1+$B$7)^E4</f>
        <v>285.48405374399994</v>
      </c>
      <c r="F17" s="1127">
        <f t="shared" si="6"/>
        <v>291.19373481887993</v>
      </c>
      <c r="G17" s="1135">
        <f t="shared" si="6"/>
        <v>297.01760951525756</v>
      </c>
      <c r="H17" s="1126">
        <f t="shared" si="6"/>
        <v>302.9579617055627</v>
      </c>
      <c r="I17" s="1127">
        <f t="shared" si="6"/>
        <v>309.01712093967399</v>
      </c>
      <c r="J17" s="1135">
        <f t="shared" si="6"/>
        <v>315.19746335846742</v>
      </c>
      <c r="K17" s="1126">
        <f t="shared" si="6"/>
        <v>321.50141262563676</v>
      </c>
      <c r="L17" s="1126">
        <f t="shared" si="6"/>
        <v>327.93144087814949</v>
      </c>
      <c r="M17" s="1127">
        <f t="shared" si="6"/>
        <v>334.49006969571252</v>
      </c>
    </row>
    <row r="18" spans="1:14" ht="14" customHeight="1" x14ac:dyDescent="0.15">
      <c r="A18" s="1011" t="s">
        <v>13</v>
      </c>
      <c r="B18" s="1038"/>
      <c r="C18" s="1160">
        <f>C19/SUM($C$19:$M$19)</f>
        <v>0</v>
      </c>
      <c r="D18" s="1108">
        <f t="shared" ref="D18:M18" si="7">D19/SUM($C$19:$M$19)</f>
        <v>0</v>
      </c>
      <c r="E18" s="1109">
        <f t="shared" si="7"/>
        <v>0</v>
      </c>
      <c r="F18" s="1161">
        <f t="shared" si="7"/>
        <v>0</v>
      </c>
      <c r="G18" s="1108">
        <f t="shared" si="7"/>
        <v>1</v>
      </c>
      <c r="H18" s="1109">
        <f t="shared" si="7"/>
        <v>0</v>
      </c>
      <c r="I18" s="1161">
        <f t="shared" si="7"/>
        <v>0</v>
      </c>
      <c r="J18" s="1108">
        <f t="shared" si="7"/>
        <v>0</v>
      </c>
      <c r="K18" s="1109">
        <f t="shared" si="7"/>
        <v>0</v>
      </c>
      <c r="L18" s="1109">
        <f t="shared" si="7"/>
        <v>0</v>
      </c>
      <c r="M18" s="1161">
        <f t="shared" si="7"/>
        <v>0</v>
      </c>
    </row>
    <row r="19" spans="1:14" ht="14" customHeight="1" x14ac:dyDescent="0.15">
      <c r="A19" s="1011" t="s">
        <v>2</v>
      </c>
      <c r="B19" s="1038"/>
      <c r="C19" s="1162">
        <f>'Development Schedule'!D77*C17</f>
        <v>0</v>
      </c>
      <c r="D19" s="1163">
        <f>'Development Schedule'!E77*D17</f>
        <v>0</v>
      </c>
      <c r="E19" s="1147">
        <f>'Development Schedule'!F77*E17</f>
        <v>0</v>
      </c>
      <c r="F19" s="1148">
        <f>'Development Schedule'!G77*F17</f>
        <v>0</v>
      </c>
      <c r="G19" s="1163">
        <f>'Development Schedule'!H77*G17</f>
        <v>49007905.570017494</v>
      </c>
      <c r="H19" s="1147">
        <f>'Development Schedule'!I77*H17</f>
        <v>0</v>
      </c>
      <c r="I19" s="1148">
        <f>'Development Schedule'!J77*I17</f>
        <v>0</v>
      </c>
      <c r="J19" s="1163">
        <f>'Development Schedule'!K77*J17</f>
        <v>0</v>
      </c>
      <c r="K19" s="1147">
        <f>'Development Schedule'!L77*K17</f>
        <v>0</v>
      </c>
      <c r="L19" s="1147">
        <f>'Development Schedule'!M77*L17</f>
        <v>0</v>
      </c>
      <c r="M19" s="1148">
        <f>'Development Schedule'!N77*M17</f>
        <v>0</v>
      </c>
    </row>
    <row r="20" spans="1:14" ht="14" customHeight="1" x14ac:dyDescent="0.15">
      <c r="A20" s="1099" t="s">
        <v>14</v>
      </c>
      <c r="B20" s="1164"/>
      <c r="C20" s="1150"/>
      <c r="D20" s="1151"/>
      <c r="E20" s="1152"/>
      <c r="F20" s="1153"/>
      <c r="G20" s="1151"/>
      <c r="H20" s="1152"/>
      <c r="I20" s="1153"/>
      <c r="J20" s="1151"/>
      <c r="K20" s="1152"/>
      <c r="L20" s="1152"/>
      <c r="M20" s="1153"/>
    </row>
    <row r="21" spans="1:14" ht="14" thickBot="1" x14ac:dyDescent="0.2">
      <c r="A21" s="1100" t="s">
        <v>3</v>
      </c>
      <c r="B21" s="1154"/>
      <c r="C21" s="1156">
        <f>SUM(C19:C20)</f>
        <v>0</v>
      </c>
      <c r="D21" s="1156">
        <f t="shared" ref="D21:M21" si="8">SUM(D19:D20)</f>
        <v>0</v>
      </c>
      <c r="E21" s="1157">
        <f t="shared" si="8"/>
        <v>0</v>
      </c>
      <c r="F21" s="1158">
        <f t="shared" si="8"/>
        <v>0</v>
      </c>
      <c r="G21" s="1156">
        <f t="shared" si="8"/>
        <v>49007905.570017494</v>
      </c>
      <c r="H21" s="1157">
        <f t="shared" si="8"/>
        <v>0</v>
      </c>
      <c r="I21" s="1158">
        <f t="shared" si="8"/>
        <v>0</v>
      </c>
      <c r="J21" s="1156">
        <f t="shared" si="8"/>
        <v>0</v>
      </c>
      <c r="K21" s="1157">
        <f t="shared" si="8"/>
        <v>0</v>
      </c>
      <c r="L21" s="1157">
        <f t="shared" si="8"/>
        <v>0</v>
      </c>
      <c r="M21" s="1158">
        <f t="shared" si="8"/>
        <v>0</v>
      </c>
    </row>
    <row r="22" spans="1:14" ht="14" thickBot="1" x14ac:dyDescent="0.2">
      <c r="A22" s="1023" t="s">
        <v>4</v>
      </c>
      <c r="B22" s="1142"/>
      <c r="C22" s="1143"/>
      <c r="D22" s="1144"/>
      <c r="E22" s="1142"/>
      <c r="F22" s="1145"/>
      <c r="G22" s="1144"/>
      <c r="H22" s="1142"/>
      <c r="I22" s="1145"/>
      <c r="J22" s="1144"/>
      <c r="K22" s="1142"/>
      <c r="L22" s="1142"/>
      <c r="M22" s="1145"/>
    </row>
    <row r="23" spans="1:14" ht="14" customHeight="1" x14ac:dyDescent="0.15">
      <c r="A23" s="1011" t="s">
        <v>5</v>
      </c>
      <c r="B23" s="1038"/>
      <c r="C23" s="1162">
        <f>C15</f>
        <v>0</v>
      </c>
      <c r="D23" s="1163">
        <f t="shared" ref="D23:M23" si="9">D15</f>
        <v>0</v>
      </c>
      <c r="E23" s="1147">
        <f t="shared" si="9"/>
        <v>0</v>
      </c>
      <c r="F23" s="1148">
        <f t="shared" si="9"/>
        <v>0</v>
      </c>
      <c r="G23" s="1163">
        <f t="shared" si="9"/>
        <v>0</v>
      </c>
      <c r="H23" s="1147">
        <f t="shared" si="9"/>
        <v>8446772.6138593648</v>
      </c>
      <c r="I23" s="1148">
        <f t="shared" si="9"/>
        <v>8615708.066136552</v>
      </c>
      <c r="J23" s="1163">
        <f t="shared" si="9"/>
        <v>8788022.2274592817</v>
      </c>
      <c r="K23" s="1147">
        <f t="shared" si="9"/>
        <v>8963782.6720084678</v>
      </c>
      <c r="L23" s="1147">
        <f t="shared" si="9"/>
        <v>9143058.325448636</v>
      </c>
      <c r="M23" s="1148">
        <f t="shared" si="9"/>
        <v>9325919.4919576105</v>
      </c>
      <c r="N23" s="998"/>
    </row>
    <row r="24" spans="1:14" ht="14" customHeight="1" x14ac:dyDescent="0.15">
      <c r="A24" s="1011" t="s">
        <v>60</v>
      </c>
      <c r="B24" s="1106">
        <f>D36</f>
        <v>5.7500000000000002E-2</v>
      </c>
      <c r="C24" s="1168">
        <v>0</v>
      </c>
      <c r="D24" s="1169">
        <f>C24</f>
        <v>0</v>
      </c>
      <c r="E24" s="1170">
        <f t="shared" ref="E24:L25" si="10">D24</f>
        <v>0</v>
      </c>
      <c r="F24" s="1171">
        <f t="shared" si="10"/>
        <v>0</v>
      </c>
      <c r="G24" s="1169">
        <f t="shared" si="10"/>
        <v>0</v>
      </c>
      <c r="H24" s="1170">
        <f t="shared" si="10"/>
        <v>0</v>
      </c>
      <c r="I24" s="1171">
        <f t="shared" si="10"/>
        <v>0</v>
      </c>
      <c r="J24" s="1169">
        <f t="shared" si="10"/>
        <v>0</v>
      </c>
      <c r="K24" s="1170">
        <f t="shared" si="10"/>
        <v>0</v>
      </c>
      <c r="L24" s="1170">
        <f t="shared" si="10"/>
        <v>0</v>
      </c>
      <c r="M24" s="1171">
        <f>M23/B24</f>
        <v>162189904.20795843</v>
      </c>
      <c r="N24" s="998"/>
    </row>
    <row r="25" spans="1:14" ht="14" customHeight="1" x14ac:dyDescent="0.15">
      <c r="A25" s="1011" t="s">
        <v>61</v>
      </c>
      <c r="B25" s="1106">
        <f>D37</f>
        <v>0.03</v>
      </c>
      <c r="C25" s="1168">
        <v>0</v>
      </c>
      <c r="D25" s="1169">
        <f>C25</f>
        <v>0</v>
      </c>
      <c r="E25" s="1170">
        <f t="shared" si="10"/>
        <v>0</v>
      </c>
      <c r="F25" s="1171">
        <f t="shared" si="10"/>
        <v>0</v>
      </c>
      <c r="G25" s="1169">
        <f t="shared" si="10"/>
        <v>0</v>
      </c>
      <c r="H25" s="1170">
        <f t="shared" si="10"/>
        <v>0</v>
      </c>
      <c r="I25" s="1171">
        <f t="shared" si="10"/>
        <v>0</v>
      </c>
      <c r="J25" s="1169">
        <f t="shared" si="10"/>
        <v>0</v>
      </c>
      <c r="K25" s="1170">
        <f t="shared" si="10"/>
        <v>0</v>
      </c>
      <c r="L25" s="1170">
        <f t="shared" si="10"/>
        <v>0</v>
      </c>
      <c r="M25" s="1171">
        <f>M24*-B25</f>
        <v>-4865697.1262387531</v>
      </c>
      <c r="N25" s="998"/>
    </row>
    <row r="26" spans="1:14" ht="14" customHeight="1" x14ac:dyDescent="0.15">
      <c r="A26" s="1099" t="s">
        <v>105</v>
      </c>
      <c r="B26" s="1224"/>
      <c r="C26" s="1150">
        <f>-C21</f>
        <v>0</v>
      </c>
      <c r="D26" s="1151">
        <f t="shared" ref="D26:M26" si="11">-D21</f>
        <v>0</v>
      </c>
      <c r="E26" s="1152">
        <f t="shared" si="11"/>
        <v>0</v>
      </c>
      <c r="F26" s="1153">
        <f t="shared" si="11"/>
        <v>0</v>
      </c>
      <c r="G26" s="1151">
        <f t="shared" si="11"/>
        <v>-49007905.570017494</v>
      </c>
      <c r="H26" s="1152">
        <f t="shared" si="11"/>
        <v>0</v>
      </c>
      <c r="I26" s="1153">
        <f t="shared" si="11"/>
        <v>0</v>
      </c>
      <c r="J26" s="1151">
        <f t="shared" si="11"/>
        <v>0</v>
      </c>
      <c r="K26" s="1152">
        <f t="shared" si="11"/>
        <v>0</v>
      </c>
      <c r="L26" s="1152">
        <f t="shared" si="11"/>
        <v>0</v>
      </c>
      <c r="M26" s="1153">
        <f t="shared" si="11"/>
        <v>0</v>
      </c>
      <c r="N26" s="998"/>
    </row>
    <row r="27" spans="1:14" ht="14" thickBot="1" x14ac:dyDescent="0.2">
      <c r="A27" s="1100" t="s">
        <v>6</v>
      </c>
      <c r="B27" s="1225"/>
      <c r="C27" s="1155">
        <f>SUM(C23:C26)</f>
        <v>0</v>
      </c>
      <c r="D27" s="1156">
        <f t="shared" ref="D27:M27" si="12">SUM(D23:D26)</f>
        <v>0</v>
      </c>
      <c r="E27" s="1157">
        <f t="shared" si="12"/>
        <v>0</v>
      </c>
      <c r="F27" s="1158">
        <f t="shared" si="12"/>
        <v>0</v>
      </c>
      <c r="G27" s="1156">
        <f t="shared" si="12"/>
        <v>-49007905.570017494</v>
      </c>
      <c r="H27" s="1157">
        <f t="shared" si="12"/>
        <v>8446772.6138593648</v>
      </c>
      <c r="I27" s="1158">
        <f t="shared" si="12"/>
        <v>8615708.066136552</v>
      </c>
      <c r="J27" s="1156">
        <f t="shared" si="12"/>
        <v>8788022.2274592817</v>
      </c>
      <c r="K27" s="1157">
        <f t="shared" si="12"/>
        <v>8963782.6720084678</v>
      </c>
      <c r="L27" s="1157">
        <f t="shared" si="12"/>
        <v>9143058.325448636</v>
      </c>
      <c r="M27" s="1158">
        <f t="shared" si="12"/>
        <v>166650126.57367727</v>
      </c>
      <c r="N27" s="998"/>
    </row>
    <row r="28" spans="1:14" ht="14" thickBot="1" x14ac:dyDescent="0.2">
      <c r="A28" s="988" t="s">
        <v>27</v>
      </c>
      <c r="B28" s="1172"/>
      <c r="C28" s="1275">
        <f>C27+NPV(D38,D27:M27)</f>
        <v>59819153.847427242</v>
      </c>
      <c r="D28" s="1199"/>
      <c r="E28" s="1197"/>
      <c r="F28" s="1200"/>
      <c r="G28" s="1199"/>
      <c r="H28" s="1197"/>
      <c r="I28" s="1200"/>
      <c r="J28" s="1038"/>
      <c r="K28" s="1038"/>
      <c r="L28" s="1038"/>
      <c r="M28" s="1113"/>
      <c r="N28" s="998"/>
    </row>
    <row r="29" spans="1:14" ht="14" thickBot="1" x14ac:dyDescent="0.2">
      <c r="A29" s="989" t="s">
        <v>62</v>
      </c>
      <c r="B29" s="1176"/>
      <c r="C29" s="1177">
        <f>IRR(C27:M27,0)</f>
        <v>0.33656679624543329</v>
      </c>
      <c r="D29" s="1178"/>
      <c r="E29" s="1176"/>
      <c r="F29" s="1179"/>
      <c r="G29" s="1178"/>
      <c r="H29" s="1176"/>
      <c r="I29" s="1179"/>
      <c r="J29" s="1176"/>
      <c r="K29" s="1176"/>
      <c r="L29" s="1176"/>
      <c r="M29" s="1179"/>
    </row>
    <row r="30" spans="1:14" ht="14" thickBot="1" x14ac:dyDescent="0.2">
      <c r="A30" s="989"/>
      <c r="B30" s="1052"/>
      <c r="C30" s="1278"/>
      <c r="D30" s="1052"/>
      <c r="E30" s="532"/>
      <c r="F30" s="532"/>
      <c r="G30" s="532"/>
      <c r="H30" s="532"/>
      <c r="I30" s="532"/>
      <c r="J30" s="532"/>
      <c r="K30" s="532"/>
      <c r="L30" s="532"/>
      <c r="M30" s="532"/>
    </row>
    <row r="31" spans="1:14" ht="14" thickBot="1" x14ac:dyDescent="0.2">
      <c r="A31" s="1478" t="s">
        <v>99</v>
      </c>
      <c r="B31" s="1474"/>
      <c r="C31" s="1474"/>
      <c r="D31" s="1479"/>
      <c r="E31" s="882"/>
      <c r="F31" s="882"/>
      <c r="G31" s="882"/>
      <c r="H31" s="882"/>
      <c r="I31" s="882"/>
      <c r="J31" s="882"/>
      <c r="K31" s="882"/>
      <c r="L31" s="882"/>
      <c r="M31" s="882"/>
    </row>
    <row r="32" spans="1:14" ht="14" thickBot="1" x14ac:dyDescent="0.2">
      <c r="A32" s="1056"/>
      <c r="B32" s="1052"/>
      <c r="C32" s="1102" t="s">
        <v>97</v>
      </c>
      <c r="D32" s="1103" t="s">
        <v>98</v>
      </c>
      <c r="E32" s="882"/>
      <c r="F32" s="882"/>
      <c r="G32" s="882"/>
      <c r="H32" s="882"/>
      <c r="I32" s="882"/>
      <c r="J32" s="882"/>
      <c r="K32" s="882"/>
      <c r="L32" s="882"/>
      <c r="M32" s="882"/>
    </row>
    <row r="33" spans="1:13" ht="14" thickBot="1" x14ac:dyDescent="0.2">
      <c r="A33" s="1279" t="s">
        <v>49</v>
      </c>
      <c r="B33" s="1062"/>
      <c r="C33" s="1062">
        <f>ROUND(D33/500,0)</f>
        <v>330</v>
      </c>
      <c r="D33" s="1186">
        <f>'Development Schedule'!C38</f>
        <v>165000</v>
      </c>
      <c r="E33" s="882"/>
      <c r="F33" s="882"/>
      <c r="G33" s="882"/>
      <c r="H33" s="882"/>
      <c r="I33" s="882"/>
      <c r="J33" s="882"/>
      <c r="K33" s="882"/>
      <c r="L33" s="882"/>
      <c r="M33" s="882"/>
    </row>
    <row r="34" spans="1:13" ht="14" thickBot="1" x14ac:dyDescent="0.2">
      <c r="A34" s="882"/>
      <c r="B34" s="883"/>
      <c r="C34" s="883"/>
      <c r="D34" s="882"/>
      <c r="E34" s="882"/>
      <c r="F34" s="882"/>
      <c r="G34" s="882"/>
      <c r="H34" s="882"/>
      <c r="I34" s="882"/>
      <c r="J34" s="882"/>
      <c r="K34" s="882"/>
      <c r="L34" s="882"/>
      <c r="M34" s="882"/>
    </row>
    <row r="35" spans="1:13" ht="14" thickBot="1" x14ac:dyDescent="0.2">
      <c r="A35" s="1478" t="s">
        <v>106</v>
      </c>
      <c r="B35" s="1480"/>
      <c r="C35" s="1480"/>
      <c r="D35" s="1481"/>
      <c r="E35" s="882"/>
      <c r="F35" s="882"/>
      <c r="G35" s="882"/>
      <c r="H35" s="882"/>
      <c r="I35" s="882"/>
      <c r="J35" s="882"/>
      <c r="K35" s="882"/>
      <c r="L35" s="882"/>
      <c r="M35" s="882"/>
    </row>
    <row r="36" spans="1:13" x14ac:dyDescent="0.15">
      <c r="A36" s="941" t="s">
        <v>107</v>
      </c>
      <c r="B36" s="532"/>
      <c r="C36" s="532"/>
      <c r="D36" s="1095">
        <f>'Summary Board'!K124</f>
        <v>5.7500000000000002E-2</v>
      </c>
      <c r="E36" s="882"/>
      <c r="F36" s="882"/>
      <c r="G36" s="882"/>
      <c r="H36" s="882"/>
      <c r="I36" s="882"/>
      <c r="J36" s="882"/>
      <c r="K36" s="882"/>
      <c r="L36" s="882"/>
      <c r="M36" s="882"/>
    </row>
    <row r="37" spans="1:13" x14ac:dyDescent="0.15">
      <c r="A37" s="941" t="s">
        <v>108</v>
      </c>
      <c r="B37" s="532"/>
      <c r="C37" s="532"/>
      <c r="D37" s="1095">
        <v>0.03</v>
      </c>
      <c r="E37" s="882"/>
      <c r="F37" s="882"/>
      <c r="G37" s="882"/>
      <c r="H37" s="882"/>
      <c r="I37" s="882"/>
      <c r="J37" s="882"/>
      <c r="K37" s="882"/>
      <c r="L37" s="882"/>
      <c r="M37" s="882"/>
    </row>
    <row r="38" spans="1:13" ht="14" thickBot="1" x14ac:dyDescent="0.2">
      <c r="A38" s="947" t="s">
        <v>95</v>
      </c>
      <c r="B38" s="1062"/>
      <c r="C38" s="1062"/>
      <c r="D38" s="1093">
        <v>0.09</v>
      </c>
      <c r="E38" s="882"/>
      <c r="F38" s="882"/>
      <c r="G38" s="882"/>
      <c r="H38" s="882"/>
      <c r="I38" s="882"/>
      <c r="J38" s="882"/>
      <c r="K38" s="882"/>
      <c r="L38" s="882"/>
      <c r="M38" s="882"/>
    </row>
    <row r="39" spans="1:13" x14ac:dyDescent="0.15">
      <c r="A39" s="882"/>
      <c r="B39" s="883"/>
      <c r="C39" s="883"/>
      <c r="D39" s="882"/>
      <c r="E39" s="882"/>
      <c r="F39" s="882"/>
      <c r="G39" s="882"/>
      <c r="H39" s="882"/>
      <c r="I39" s="882"/>
      <c r="J39" s="882"/>
      <c r="K39" s="882"/>
      <c r="L39" s="882"/>
      <c r="M39" s="882"/>
    </row>
  </sheetData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&amp;L&amp;"Arial,Bold"7. Income Statement: Hotel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O117"/>
  <sheetViews>
    <sheetView view="pageBreakPreview" topLeftCell="A68" zoomScale="85" zoomScaleSheetLayoutView="85" workbookViewId="0">
      <selection activeCell="H113" sqref="H113"/>
    </sheetView>
  </sheetViews>
  <sheetFormatPr baseColWidth="10" defaultColWidth="9.1640625" defaultRowHeight="13" outlineLevelRow="1" x14ac:dyDescent="0.15"/>
  <cols>
    <col min="1" max="1" width="23.1640625" style="1192" customWidth="1"/>
    <col min="2" max="2" width="12.6640625" style="1196" customWidth="1"/>
    <col min="3" max="3" width="13.6640625" style="1196" customWidth="1"/>
    <col min="4" max="4" width="13.6640625" style="1192" customWidth="1"/>
    <col min="5" max="5" width="16.5" style="1192" bestFit="1" customWidth="1"/>
    <col min="6" max="7" width="15.5" style="1192" bestFit="1" customWidth="1"/>
    <col min="8" max="13" width="13.6640625" style="1192" customWidth="1"/>
    <col min="14" max="16384" width="9.1640625" style="1192"/>
  </cols>
  <sheetData>
    <row r="1" spans="1:15" ht="14" customHeight="1" thickBot="1" x14ac:dyDescent="0.2">
      <c r="A1" s="1280"/>
      <c r="B1" s="1281"/>
      <c r="C1" s="1281"/>
      <c r="D1" s="1280"/>
      <c r="E1" s="1280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15" ht="14" customHeight="1" thickBot="1" x14ac:dyDescent="0.2">
      <c r="A2" s="1280"/>
      <c r="B2" s="1281"/>
      <c r="C2" s="1281"/>
      <c r="D2" s="1280"/>
      <c r="E2" s="1280"/>
      <c r="F2" s="882"/>
      <c r="G2" s="882"/>
      <c r="H2" s="882"/>
      <c r="I2" s="882"/>
      <c r="J2" s="882"/>
      <c r="K2" s="882"/>
      <c r="L2" s="1234"/>
      <c r="M2" s="1235"/>
    </row>
    <row r="3" spans="1:15" ht="14" customHeight="1" thickBot="1" x14ac:dyDescent="0.2">
      <c r="A3" s="941"/>
      <c r="B3" s="532"/>
      <c r="C3" s="948" t="s">
        <v>58</v>
      </c>
      <c r="D3" s="1282" t="s">
        <v>37</v>
      </c>
      <c r="E3" s="1283"/>
      <c r="F3" s="937"/>
      <c r="G3" s="935" t="s">
        <v>79</v>
      </c>
      <c r="H3" s="938"/>
      <c r="I3" s="937"/>
      <c r="J3" s="935" t="s">
        <v>80</v>
      </c>
      <c r="K3" s="939"/>
      <c r="L3" s="936"/>
      <c r="M3" s="937"/>
      <c r="N3" s="1284"/>
      <c r="O3" s="1284"/>
    </row>
    <row r="4" spans="1:15" ht="14" customHeight="1" thickBot="1" x14ac:dyDescent="0.2">
      <c r="A4" s="941"/>
      <c r="B4" s="532"/>
      <c r="C4" s="1004">
        <v>0</v>
      </c>
      <c r="D4" s="934">
        <f>C4+1</f>
        <v>1</v>
      </c>
      <c r="E4" s="1276">
        <f t="shared" ref="E4:M5" si="0">D4+1</f>
        <v>2</v>
      </c>
      <c r="F4" s="1277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2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  <c r="N4" s="1284"/>
      <c r="O4" s="1284"/>
    </row>
    <row r="5" spans="1:15" ht="14" customHeight="1" thickBot="1" x14ac:dyDescent="0.2">
      <c r="A5" s="947"/>
      <c r="B5" s="945"/>
      <c r="C5" s="1004" t="s">
        <v>362</v>
      </c>
      <c r="D5" s="942">
        <v>2020</v>
      </c>
      <c r="E5" s="943">
        <f>D5+1</f>
        <v>2021</v>
      </c>
      <c r="F5" s="944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2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  <c r="N5" s="1284"/>
      <c r="O5" s="1284"/>
    </row>
    <row r="6" spans="1:15" ht="14" thickBot="1" x14ac:dyDescent="0.2">
      <c r="A6" s="1023" t="s">
        <v>10</v>
      </c>
      <c r="B6" s="1066"/>
      <c r="C6" s="1067"/>
      <c r="D6" s="1068"/>
      <c r="E6" s="1069"/>
      <c r="F6" s="1069"/>
      <c r="G6" s="1068"/>
      <c r="H6" s="1069"/>
      <c r="I6" s="1070"/>
      <c r="J6" s="1068"/>
      <c r="K6" s="1069"/>
      <c r="L6" s="1069"/>
      <c r="M6" s="1070"/>
    </row>
    <row r="7" spans="1:15" s="1190" customFormat="1" x14ac:dyDescent="0.15">
      <c r="A7" s="1071" t="s">
        <v>420</v>
      </c>
      <c r="B7" s="1038"/>
      <c r="C7" s="1037"/>
      <c r="D7" s="1199"/>
      <c r="E7" s="1197"/>
      <c r="F7" s="1197"/>
      <c r="G7" s="1037"/>
      <c r="H7" s="1038"/>
      <c r="I7" s="1113"/>
      <c r="J7" s="1037"/>
      <c r="K7" s="1038"/>
      <c r="L7" s="1038"/>
      <c r="M7" s="1113"/>
    </row>
    <row r="8" spans="1:15" x14ac:dyDescent="0.15">
      <c r="A8" s="941" t="s">
        <v>11</v>
      </c>
      <c r="B8" s="1201">
        <v>0.02</v>
      </c>
      <c r="C8" s="1244"/>
      <c r="D8" s="1037"/>
      <c r="E8" s="1038"/>
      <c r="F8" s="1038"/>
      <c r="G8" s="1037"/>
      <c r="H8" s="1038"/>
      <c r="I8" s="1113"/>
      <c r="J8" s="1037"/>
      <c r="K8" s="1038"/>
      <c r="L8" s="1038"/>
      <c r="M8" s="1113"/>
    </row>
    <row r="9" spans="1:15" x14ac:dyDescent="0.15">
      <c r="A9" s="941" t="s">
        <v>28</v>
      </c>
      <c r="B9" s="1038"/>
      <c r="C9" s="1123">
        <v>0</v>
      </c>
      <c r="D9" s="1123">
        <f>C9</f>
        <v>0</v>
      </c>
      <c r="E9" s="1121">
        <f>C106</f>
        <v>301.14333333333332</v>
      </c>
      <c r="F9" s="1121">
        <f>E9</f>
        <v>301.14333333333332</v>
      </c>
      <c r="G9" s="1123">
        <f t="shared" ref="G9:M9" si="1">F9</f>
        <v>301.14333333333332</v>
      </c>
      <c r="H9" s="1121">
        <f t="shared" si="1"/>
        <v>301.14333333333332</v>
      </c>
      <c r="I9" s="1124">
        <f t="shared" si="1"/>
        <v>301.14333333333332</v>
      </c>
      <c r="J9" s="1123">
        <f t="shared" si="1"/>
        <v>301.14333333333332</v>
      </c>
      <c r="K9" s="1121">
        <f t="shared" si="1"/>
        <v>301.14333333333332</v>
      </c>
      <c r="L9" s="1121">
        <f t="shared" si="1"/>
        <v>301.14333333333332</v>
      </c>
      <c r="M9" s="1124">
        <f t="shared" si="1"/>
        <v>301.14333333333332</v>
      </c>
    </row>
    <row r="10" spans="1:15" x14ac:dyDescent="0.15">
      <c r="A10" s="941" t="s">
        <v>83</v>
      </c>
      <c r="B10" s="1038"/>
      <c r="C10" s="1123">
        <v>0</v>
      </c>
      <c r="D10" s="1123">
        <f>C10</f>
        <v>0</v>
      </c>
      <c r="E10" s="1121">
        <f>D106</f>
        <v>90343</v>
      </c>
      <c r="F10" s="1121">
        <f>E10</f>
        <v>90343</v>
      </c>
      <c r="G10" s="1123">
        <f t="shared" ref="G10:M10" si="2">F10</f>
        <v>90343</v>
      </c>
      <c r="H10" s="1121">
        <f t="shared" si="2"/>
        <v>90343</v>
      </c>
      <c r="I10" s="1124">
        <f t="shared" si="2"/>
        <v>90343</v>
      </c>
      <c r="J10" s="1123">
        <f t="shared" si="2"/>
        <v>90343</v>
      </c>
      <c r="K10" s="1121">
        <f t="shared" si="2"/>
        <v>90343</v>
      </c>
      <c r="L10" s="1121">
        <f t="shared" si="2"/>
        <v>90343</v>
      </c>
      <c r="M10" s="1124">
        <f t="shared" si="2"/>
        <v>90343</v>
      </c>
    </row>
    <row r="11" spans="1:15" x14ac:dyDescent="0.15">
      <c r="A11" s="1011" t="s">
        <v>19</v>
      </c>
      <c r="B11" s="1038"/>
      <c r="C11" s="1295">
        <f>'Summary Board'!K119</f>
        <v>200</v>
      </c>
      <c r="D11" s="1135">
        <f>$C$11*(1+$B8)^D$4</f>
        <v>204</v>
      </c>
      <c r="E11" s="1126">
        <f t="shared" ref="E11:M11" si="3">$C$11*(1+$B8)^E$4</f>
        <v>208.07999999999998</v>
      </c>
      <c r="F11" s="1126">
        <f t="shared" si="3"/>
        <v>212.24159999999998</v>
      </c>
      <c r="G11" s="1135">
        <f t="shared" si="3"/>
        <v>216.48643200000001</v>
      </c>
      <c r="H11" s="1126">
        <f t="shared" si="3"/>
        <v>220.81616063999999</v>
      </c>
      <c r="I11" s="1127">
        <f t="shared" si="3"/>
        <v>225.23248385280002</v>
      </c>
      <c r="J11" s="1135">
        <f t="shared" si="3"/>
        <v>229.73713352985595</v>
      </c>
      <c r="K11" s="1126">
        <f t="shared" si="3"/>
        <v>234.33187620045311</v>
      </c>
      <c r="L11" s="1126">
        <f t="shared" si="3"/>
        <v>239.01851372446217</v>
      </c>
      <c r="M11" s="1127">
        <f t="shared" si="3"/>
        <v>243.79888399895142</v>
      </c>
    </row>
    <row r="12" spans="1:15" x14ac:dyDescent="0.15">
      <c r="A12" s="1011" t="s">
        <v>20</v>
      </c>
      <c r="B12" s="1038"/>
      <c r="C12" s="1111">
        <v>0.6</v>
      </c>
      <c r="D12" s="1111"/>
      <c r="E12" s="1106"/>
      <c r="F12" s="1106"/>
      <c r="G12" s="1111"/>
      <c r="H12" s="1106"/>
      <c r="I12" s="1110"/>
      <c r="J12" s="1111"/>
      <c r="K12" s="1106"/>
      <c r="L12" s="1106"/>
      <c r="M12" s="1110"/>
    </row>
    <row r="13" spans="1:15" x14ac:dyDescent="0.15">
      <c r="A13" s="1011" t="s">
        <v>21</v>
      </c>
      <c r="B13" s="1038"/>
      <c r="C13" s="1111">
        <v>0.6</v>
      </c>
      <c r="D13" s="1111"/>
      <c r="E13" s="1106"/>
      <c r="F13" s="1106"/>
      <c r="G13" s="1111"/>
      <c r="H13" s="1106"/>
      <c r="I13" s="1110"/>
      <c r="J13" s="1111"/>
      <c r="K13" s="1106"/>
      <c r="L13" s="1106"/>
      <c r="M13" s="1110"/>
    </row>
    <row r="14" spans="1:15" x14ac:dyDescent="0.15">
      <c r="A14" s="1011" t="s">
        <v>22</v>
      </c>
      <c r="B14" s="1038"/>
      <c r="C14" s="1037">
        <v>113</v>
      </c>
      <c r="D14" s="1037"/>
      <c r="E14" s="1038"/>
      <c r="F14" s="1038"/>
      <c r="G14" s="1037"/>
      <c r="H14" s="1038"/>
      <c r="I14" s="1113"/>
      <c r="J14" s="1037"/>
      <c r="K14" s="1038"/>
      <c r="L14" s="1038"/>
      <c r="M14" s="1113"/>
    </row>
    <row r="15" spans="1:15" x14ac:dyDescent="0.15">
      <c r="A15" s="1011" t="s">
        <v>23</v>
      </c>
      <c r="B15" s="1038"/>
      <c r="C15" s="1296">
        <v>24</v>
      </c>
      <c r="D15" s="1037"/>
      <c r="E15" s="1038"/>
      <c r="F15" s="1038"/>
      <c r="G15" s="1037"/>
      <c r="H15" s="1038"/>
      <c r="I15" s="1113"/>
      <c r="J15" s="1037"/>
      <c r="K15" s="1038"/>
      <c r="L15" s="1038"/>
      <c r="M15" s="1113"/>
    </row>
    <row r="16" spans="1:15" x14ac:dyDescent="0.15">
      <c r="A16" s="1011" t="s">
        <v>24</v>
      </c>
      <c r="B16" s="1038"/>
      <c r="C16" s="1111">
        <v>0.3</v>
      </c>
      <c r="D16" s="1111"/>
      <c r="E16" s="1106"/>
      <c r="F16" s="1106"/>
      <c r="G16" s="1111"/>
      <c r="H16" s="1106"/>
      <c r="I16" s="1110"/>
      <c r="J16" s="1111"/>
      <c r="K16" s="1106"/>
      <c r="L16" s="1106"/>
      <c r="M16" s="1110"/>
    </row>
    <row r="17" spans="1:13" x14ac:dyDescent="0.15">
      <c r="A17" s="1011" t="s">
        <v>25</v>
      </c>
      <c r="B17" s="1038"/>
      <c r="C17" s="1037">
        <v>252</v>
      </c>
      <c r="D17" s="1037"/>
      <c r="E17" s="1038"/>
      <c r="F17" s="1038"/>
      <c r="G17" s="1037"/>
      <c r="H17" s="1038"/>
      <c r="I17" s="1113"/>
      <c r="J17" s="1037"/>
      <c r="K17" s="1038"/>
      <c r="L17" s="1038"/>
      <c r="M17" s="1113"/>
    </row>
    <row r="18" spans="1:13" x14ac:dyDescent="0.15">
      <c r="A18" s="1011" t="s">
        <v>23</v>
      </c>
      <c r="B18" s="1038"/>
      <c r="C18" s="1296">
        <v>24</v>
      </c>
      <c r="D18" s="1037"/>
      <c r="E18" s="1038"/>
      <c r="F18" s="1038"/>
      <c r="G18" s="1037"/>
      <c r="H18" s="1038"/>
      <c r="I18" s="1113"/>
      <c r="J18" s="1037"/>
      <c r="K18" s="1038"/>
      <c r="L18" s="1038"/>
      <c r="M18" s="1113"/>
    </row>
    <row r="19" spans="1:13" x14ac:dyDescent="0.15">
      <c r="A19" s="1011" t="s">
        <v>24</v>
      </c>
      <c r="B19" s="1038"/>
      <c r="C19" s="1111">
        <v>0.3</v>
      </c>
      <c r="D19" s="1111"/>
      <c r="E19" s="1106"/>
      <c r="F19" s="1106"/>
      <c r="G19" s="1111"/>
      <c r="H19" s="1106"/>
      <c r="I19" s="1110"/>
      <c r="J19" s="1111"/>
      <c r="K19" s="1106"/>
      <c r="L19" s="1106"/>
      <c r="M19" s="1110"/>
    </row>
    <row r="20" spans="1:13" s="1286" customFormat="1" x14ac:dyDescent="0.15">
      <c r="A20" s="1011" t="s">
        <v>26</v>
      </c>
      <c r="B20" s="1038"/>
      <c r="C20" s="1297">
        <f>'Summary Board'!K120</f>
        <v>5</v>
      </c>
      <c r="D20" s="1135">
        <f t="shared" ref="D20:M20" si="4">$C$20*(1+$B8)^D$4</f>
        <v>5.0999999999999996</v>
      </c>
      <c r="E20" s="1126">
        <f t="shared" si="4"/>
        <v>5.202</v>
      </c>
      <c r="F20" s="1126">
        <f t="shared" si="4"/>
        <v>5.3060399999999994</v>
      </c>
      <c r="G20" s="1135">
        <f t="shared" si="4"/>
        <v>5.4121607999999997</v>
      </c>
      <c r="H20" s="1126">
        <f t="shared" si="4"/>
        <v>5.5204040160000005</v>
      </c>
      <c r="I20" s="1127">
        <f t="shared" si="4"/>
        <v>5.6308120963200006</v>
      </c>
      <c r="J20" s="1135">
        <f t="shared" si="4"/>
        <v>5.7434283382463995</v>
      </c>
      <c r="K20" s="1126">
        <f t="shared" si="4"/>
        <v>5.8582969050113274</v>
      </c>
      <c r="L20" s="1126">
        <f t="shared" si="4"/>
        <v>5.9754628431115542</v>
      </c>
      <c r="M20" s="1127">
        <f t="shared" si="4"/>
        <v>6.094972099973786</v>
      </c>
    </row>
    <row r="21" spans="1:13" ht="14" thickBot="1" x14ac:dyDescent="0.2">
      <c r="A21" s="1088" t="s">
        <v>173</v>
      </c>
      <c r="B21" s="1154"/>
      <c r="C21" s="1298">
        <f>0.5*1.24</f>
        <v>0.62</v>
      </c>
      <c r="D21" s="1298">
        <f t="shared" ref="D21:M21" si="5">$C$21*(1+$B8)^D$4</f>
        <v>0.63239999999999996</v>
      </c>
      <c r="E21" s="1299">
        <f t="shared" si="5"/>
        <v>0.64504799999999995</v>
      </c>
      <c r="F21" s="1299">
        <f t="shared" si="5"/>
        <v>0.65794895999999992</v>
      </c>
      <c r="G21" s="1298">
        <f t="shared" si="5"/>
        <v>0.6711079392</v>
      </c>
      <c r="H21" s="1299">
        <f t="shared" si="5"/>
        <v>0.684530097984</v>
      </c>
      <c r="I21" s="1300">
        <f t="shared" si="5"/>
        <v>0.69822069994368008</v>
      </c>
      <c r="J21" s="1298">
        <f t="shared" si="5"/>
        <v>0.71218511394255346</v>
      </c>
      <c r="K21" s="1299">
        <f t="shared" si="5"/>
        <v>0.72642881622140465</v>
      </c>
      <c r="L21" s="1299">
        <f t="shared" si="5"/>
        <v>0.7409573925458327</v>
      </c>
      <c r="M21" s="1300">
        <f t="shared" si="5"/>
        <v>0.75577654039674935</v>
      </c>
    </row>
    <row r="22" spans="1:13" outlineLevel="1" x14ac:dyDescent="0.15">
      <c r="A22" s="1097" t="s">
        <v>174</v>
      </c>
      <c r="B22" s="1197"/>
      <c r="C22" s="1146">
        <f>C9*C11*$C13*12</f>
        <v>0</v>
      </c>
      <c r="D22" s="1165">
        <f t="shared" ref="D22:M22" si="6">D9*D11*$C13*12</f>
        <v>0</v>
      </c>
      <c r="E22" s="1166">
        <f t="shared" si="6"/>
        <v>451165.71455999988</v>
      </c>
      <c r="F22" s="1166">
        <f t="shared" si="6"/>
        <v>460189.0288511999</v>
      </c>
      <c r="G22" s="1165">
        <f t="shared" si="6"/>
        <v>469392.80942822399</v>
      </c>
      <c r="H22" s="1166">
        <f t="shared" si="6"/>
        <v>478780.66561678844</v>
      </c>
      <c r="I22" s="1167">
        <f t="shared" si="6"/>
        <v>488356.27892912424</v>
      </c>
      <c r="J22" s="1165">
        <f t="shared" si="6"/>
        <v>498123.40450770658</v>
      </c>
      <c r="K22" s="1166">
        <f t="shared" si="6"/>
        <v>508085.87259786075</v>
      </c>
      <c r="L22" s="1166">
        <f t="shared" si="6"/>
        <v>518247.59004981798</v>
      </c>
      <c r="M22" s="1167">
        <f t="shared" si="6"/>
        <v>528612.54185081436</v>
      </c>
    </row>
    <row r="23" spans="1:13" outlineLevel="1" x14ac:dyDescent="0.15">
      <c r="A23" s="1011" t="s">
        <v>175</v>
      </c>
      <c r="B23" s="1038"/>
      <c r="C23" s="1168">
        <f>(C9*$C14*$C15*$C16*C20)+(C9*$C17*$C18*$C19*C20)</f>
        <v>0</v>
      </c>
      <c r="D23" s="1169">
        <f t="shared" ref="D23:M23" si="7">(D9*$C$14*$C$15*$C$16*D20)+(D9*$C$17*$C$18*$C$19*D20)</f>
        <v>0</v>
      </c>
      <c r="E23" s="1170">
        <f t="shared" si="7"/>
        <v>4116887.1453599995</v>
      </c>
      <c r="F23" s="1170">
        <f t="shared" si="7"/>
        <v>4199224.8882671986</v>
      </c>
      <c r="G23" s="1169">
        <f t="shared" si="7"/>
        <v>4283209.3860325431</v>
      </c>
      <c r="H23" s="1170">
        <f t="shared" si="7"/>
        <v>4368873.5737531949</v>
      </c>
      <c r="I23" s="1171">
        <f t="shared" si="7"/>
        <v>4456251.0452282587</v>
      </c>
      <c r="J23" s="1169">
        <f t="shared" si="7"/>
        <v>4545376.066132823</v>
      </c>
      <c r="K23" s="1170">
        <f t="shared" si="7"/>
        <v>4636283.5874554794</v>
      </c>
      <c r="L23" s="1170">
        <f t="shared" si="7"/>
        <v>4729009.2592045888</v>
      </c>
      <c r="M23" s="1171">
        <f t="shared" si="7"/>
        <v>4823589.4443886811</v>
      </c>
    </row>
    <row r="24" spans="1:13" hidden="1" outlineLevel="1" x14ac:dyDescent="0.15">
      <c r="A24" s="1287" t="s">
        <v>176</v>
      </c>
      <c r="B24" s="1038"/>
      <c r="C24" s="1168">
        <v>0</v>
      </c>
      <c r="D24" s="1169">
        <f>C24</f>
        <v>0</v>
      </c>
      <c r="E24" s="1170">
        <f>D24</f>
        <v>0</v>
      </c>
      <c r="F24" s="1170">
        <f>E24</f>
        <v>0</v>
      </c>
      <c r="G24" s="1169">
        <f t="shared" ref="G24:M24" si="8">F24</f>
        <v>0</v>
      </c>
      <c r="H24" s="1170">
        <f t="shared" si="8"/>
        <v>0</v>
      </c>
      <c r="I24" s="1171">
        <f t="shared" si="8"/>
        <v>0</v>
      </c>
      <c r="J24" s="1169">
        <f t="shared" si="8"/>
        <v>0</v>
      </c>
      <c r="K24" s="1170">
        <f t="shared" si="8"/>
        <v>0</v>
      </c>
      <c r="L24" s="1170">
        <f t="shared" si="8"/>
        <v>0</v>
      </c>
      <c r="M24" s="1171">
        <f t="shared" si="8"/>
        <v>0</v>
      </c>
    </row>
    <row r="25" spans="1:13" ht="14" outlineLevel="1" thickBot="1" x14ac:dyDescent="0.2">
      <c r="A25" s="1088" t="s">
        <v>170</v>
      </c>
      <c r="B25" s="1154"/>
      <c r="C25" s="1254">
        <f>C10*C21</f>
        <v>0</v>
      </c>
      <c r="D25" s="1245">
        <f t="shared" ref="D25:M25" si="9">D10*D21</f>
        <v>0</v>
      </c>
      <c r="E25" s="1246">
        <f t="shared" si="9"/>
        <v>58275.571463999993</v>
      </c>
      <c r="F25" s="1246">
        <f>F10*F21</f>
        <v>59441.082893279992</v>
      </c>
      <c r="G25" s="1245">
        <f t="shared" si="9"/>
        <v>60629.904551145599</v>
      </c>
      <c r="H25" s="1246">
        <f t="shared" si="9"/>
        <v>61842.502642168511</v>
      </c>
      <c r="I25" s="1247">
        <f t="shared" si="9"/>
        <v>63079.35269501189</v>
      </c>
      <c r="J25" s="1245">
        <f t="shared" si="9"/>
        <v>64340.939748912104</v>
      </c>
      <c r="K25" s="1246">
        <f t="shared" si="9"/>
        <v>65627.758543890362</v>
      </c>
      <c r="L25" s="1246">
        <f t="shared" si="9"/>
        <v>66940.31371476817</v>
      </c>
      <c r="M25" s="1247">
        <f t="shared" si="9"/>
        <v>68279.119989063533</v>
      </c>
    </row>
    <row r="26" spans="1:13" s="1190" customFormat="1" x14ac:dyDescent="0.15">
      <c r="A26" s="1071" t="s">
        <v>418</v>
      </c>
      <c r="B26" s="1038"/>
      <c r="C26" s="1037"/>
      <c r="D26" s="1199"/>
      <c r="E26" s="1197"/>
      <c r="F26" s="1197"/>
      <c r="G26" s="1037"/>
      <c r="H26" s="1038"/>
      <c r="I26" s="1113"/>
      <c r="J26" s="1037"/>
      <c r="K26" s="1038"/>
      <c r="L26" s="1038"/>
      <c r="M26" s="1113"/>
    </row>
    <row r="27" spans="1:13" x14ac:dyDescent="0.15">
      <c r="A27" s="941" t="s">
        <v>11</v>
      </c>
      <c r="B27" s="1201">
        <v>0.02</v>
      </c>
      <c r="C27" s="1244"/>
      <c r="D27" s="1037"/>
      <c r="E27" s="1038"/>
      <c r="F27" s="1038"/>
      <c r="G27" s="1037"/>
      <c r="H27" s="1038"/>
      <c r="I27" s="1113"/>
      <c r="J27" s="1037"/>
      <c r="K27" s="1038"/>
      <c r="L27" s="1038"/>
      <c r="M27" s="1113"/>
    </row>
    <row r="28" spans="1:13" x14ac:dyDescent="0.15">
      <c r="A28" s="941" t="s">
        <v>28</v>
      </c>
      <c r="B28" s="1038"/>
      <c r="C28" s="1123">
        <v>0</v>
      </c>
      <c r="D28" s="1123">
        <f t="shared" ref="D28:F29" si="10">C28</f>
        <v>0</v>
      </c>
      <c r="E28" s="1121">
        <f t="shared" si="10"/>
        <v>0</v>
      </c>
      <c r="F28" s="1121">
        <f t="shared" si="10"/>
        <v>0</v>
      </c>
      <c r="G28" s="1123">
        <f t="shared" ref="G28:M28" si="11">F28</f>
        <v>0</v>
      </c>
      <c r="H28" s="1121">
        <f>C107</f>
        <v>189.11</v>
      </c>
      <c r="I28" s="1124">
        <f t="shared" si="11"/>
        <v>189.11</v>
      </c>
      <c r="J28" s="1123">
        <f t="shared" si="11"/>
        <v>189.11</v>
      </c>
      <c r="K28" s="1121">
        <f t="shared" si="11"/>
        <v>189.11</v>
      </c>
      <c r="L28" s="1121">
        <f t="shared" si="11"/>
        <v>189.11</v>
      </c>
      <c r="M28" s="1124">
        <f t="shared" si="11"/>
        <v>189.11</v>
      </c>
    </row>
    <row r="29" spans="1:13" x14ac:dyDescent="0.15">
      <c r="A29" s="941" t="s">
        <v>83</v>
      </c>
      <c r="B29" s="1038"/>
      <c r="C29" s="1123">
        <v>0</v>
      </c>
      <c r="D29" s="1123">
        <f t="shared" si="10"/>
        <v>0</v>
      </c>
      <c r="E29" s="1121">
        <f t="shared" si="10"/>
        <v>0</v>
      </c>
      <c r="F29" s="1121">
        <f t="shared" si="10"/>
        <v>0</v>
      </c>
      <c r="G29" s="1123">
        <f t="shared" ref="G29:M29" si="12">F29</f>
        <v>0</v>
      </c>
      <c r="H29" s="1121">
        <f>D107</f>
        <v>56733</v>
      </c>
      <c r="I29" s="1124">
        <f t="shared" si="12"/>
        <v>56733</v>
      </c>
      <c r="J29" s="1123">
        <f t="shared" si="12"/>
        <v>56733</v>
      </c>
      <c r="K29" s="1121">
        <f t="shared" si="12"/>
        <v>56733</v>
      </c>
      <c r="L29" s="1121">
        <f t="shared" si="12"/>
        <v>56733</v>
      </c>
      <c r="M29" s="1124">
        <f t="shared" si="12"/>
        <v>56733</v>
      </c>
    </row>
    <row r="30" spans="1:13" x14ac:dyDescent="0.15">
      <c r="A30" s="1011" t="s">
        <v>19</v>
      </c>
      <c r="B30" s="1038"/>
      <c r="C30" s="1135">
        <f>C11</f>
        <v>200</v>
      </c>
      <c r="D30" s="1135">
        <f t="shared" ref="D30:M30" si="13">D11</f>
        <v>204</v>
      </c>
      <c r="E30" s="1126">
        <f t="shared" si="13"/>
        <v>208.07999999999998</v>
      </c>
      <c r="F30" s="1126">
        <f t="shared" si="13"/>
        <v>212.24159999999998</v>
      </c>
      <c r="G30" s="1135">
        <f t="shared" si="13"/>
        <v>216.48643200000001</v>
      </c>
      <c r="H30" s="1126">
        <f t="shared" si="13"/>
        <v>220.81616063999999</v>
      </c>
      <c r="I30" s="1127">
        <f t="shared" si="13"/>
        <v>225.23248385280002</v>
      </c>
      <c r="J30" s="1135">
        <f t="shared" si="13"/>
        <v>229.73713352985595</v>
      </c>
      <c r="K30" s="1126">
        <f t="shared" si="13"/>
        <v>234.33187620045311</v>
      </c>
      <c r="L30" s="1126">
        <f t="shared" si="13"/>
        <v>239.01851372446217</v>
      </c>
      <c r="M30" s="1127">
        <f t="shared" si="13"/>
        <v>243.79888399895142</v>
      </c>
    </row>
    <row r="31" spans="1:13" x14ac:dyDescent="0.15">
      <c r="A31" s="1011" t="s">
        <v>20</v>
      </c>
      <c r="B31" s="1038"/>
      <c r="C31" s="1111">
        <v>0.6</v>
      </c>
      <c r="D31" s="1111"/>
      <c r="E31" s="1106"/>
      <c r="F31" s="1106"/>
      <c r="G31" s="1111"/>
      <c r="H31" s="1106"/>
      <c r="I31" s="1110"/>
      <c r="J31" s="1111"/>
      <c r="K31" s="1106"/>
      <c r="L31" s="1106"/>
      <c r="M31" s="1110"/>
    </row>
    <row r="32" spans="1:13" x14ac:dyDescent="0.15">
      <c r="A32" s="1011" t="s">
        <v>21</v>
      </c>
      <c r="B32" s="1038"/>
      <c r="C32" s="1111">
        <v>0.6</v>
      </c>
      <c r="D32" s="1111"/>
      <c r="E32" s="1106"/>
      <c r="F32" s="1106"/>
      <c r="G32" s="1111"/>
      <c r="H32" s="1106"/>
      <c r="I32" s="1110"/>
      <c r="J32" s="1111"/>
      <c r="K32" s="1106"/>
      <c r="L32" s="1106"/>
      <c r="M32" s="1110"/>
    </row>
    <row r="33" spans="1:13" x14ac:dyDescent="0.15">
      <c r="A33" s="1011" t="s">
        <v>22</v>
      </c>
      <c r="B33" s="1038"/>
      <c r="C33" s="1037">
        <v>113</v>
      </c>
      <c r="D33" s="1037"/>
      <c r="E33" s="1038"/>
      <c r="F33" s="1038"/>
      <c r="G33" s="1037"/>
      <c r="H33" s="1038"/>
      <c r="I33" s="1113"/>
      <c r="J33" s="1037"/>
      <c r="K33" s="1038"/>
      <c r="L33" s="1038"/>
      <c r="M33" s="1113"/>
    </row>
    <row r="34" spans="1:13" x14ac:dyDescent="0.15">
      <c r="A34" s="1011" t="s">
        <v>23</v>
      </c>
      <c r="B34" s="1038"/>
      <c r="C34" s="1037">
        <v>24</v>
      </c>
      <c r="D34" s="1037"/>
      <c r="E34" s="1038"/>
      <c r="F34" s="1038"/>
      <c r="G34" s="1037"/>
      <c r="H34" s="1038"/>
      <c r="I34" s="1113"/>
      <c r="J34" s="1037"/>
      <c r="K34" s="1038"/>
      <c r="L34" s="1038"/>
      <c r="M34" s="1113"/>
    </row>
    <row r="35" spans="1:13" x14ac:dyDescent="0.15">
      <c r="A35" s="1011" t="s">
        <v>24</v>
      </c>
      <c r="B35" s="1038"/>
      <c r="C35" s="1111">
        <v>0.3</v>
      </c>
      <c r="D35" s="1111"/>
      <c r="E35" s="1106"/>
      <c r="F35" s="1106"/>
      <c r="G35" s="1111"/>
      <c r="H35" s="1106"/>
      <c r="I35" s="1110"/>
      <c r="J35" s="1111"/>
      <c r="K35" s="1106"/>
      <c r="L35" s="1106"/>
      <c r="M35" s="1110"/>
    </row>
    <row r="36" spans="1:13" x14ac:dyDescent="0.15">
      <c r="A36" s="1011" t="s">
        <v>25</v>
      </c>
      <c r="B36" s="1038"/>
      <c r="C36" s="1037">
        <v>252</v>
      </c>
      <c r="D36" s="1037"/>
      <c r="E36" s="1038"/>
      <c r="F36" s="1038"/>
      <c r="G36" s="1037"/>
      <c r="H36" s="1038"/>
      <c r="I36" s="1113"/>
      <c r="J36" s="1037"/>
      <c r="K36" s="1038"/>
      <c r="L36" s="1038"/>
      <c r="M36" s="1113"/>
    </row>
    <row r="37" spans="1:13" x14ac:dyDescent="0.15">
      <c r="A37" s="1011" t="s">
        <v>23</v>
      </c>
      <c r="B37" s="1038"/>
      <c r="C37" s="1037">
        <v>24</v>
      </c>
      <c r="D37" s="1037"/>
      <c r="E37" s="1038"/>
      <c r="F37" s="1038"/>
      <c r="G37" s="1037"/>
      <c r="H37" s="1038"/>
      <c r="I37" s="1113"/>
      <c r="J37" s="1037"/>
      <c r="K37" s="1038"/>
      <c r="L37" s="1038"/>
      <c r="M37" s="1113"/>
    </row>
    <row r="38" spans="1:13" x14ac:dyDescent="0.15">
      <c r="A38" s="1011" t="s">
        <v>24</v>
      </c>
      <c r="B38" s="1038"/>
      <c r="C38" s="1111">
        <v>0.3</v>
      </c>
      <c r="D38" s="1111"/>
      <c r="E38" s="1106"/>
      <c r="F38" s="1106"/>
      <c r="G38" s="1111"/>
      <c r="H38" s="1106"/>
      <c r="I38" s="1110"/>
      <c r="J38" s="1111"/>
      <c r="K38" s="1106"/>
      <c r="L38" s="1106"/>
      <c r="M38" s="1110"/>
    </row>
    <row r="39" spans="1:13" s="1286" customFormat="1" x14ac:dyDescent="0.15">
      <c r="A39" s="1011" t="s">
        <v>26</v>
      </c>
      <c r="B39" s="1038"/>
      <c r="C39" s="1135">
        <f>C20</f>
        <v>5</v>
      </c>
      <c r="D39" s="1135">
        <f t="shared" ref="D39:M39" si="14">$C$20*(1+$B27)^D$4</f>
        <v>5.0999999999999996</v>
      </c>
      <c r="E39" s="1126">
        <f t="shared" si="14"/>
        <v>5.202</v>
      </c>
      <c r="F39" s="1126">
        <f t="shared" si="14"/>
        <v>5.3060399999999994</v>
      </c>
      <c r="G39" s="1135">
        <f t="shared" si="14"/>
        <v>5.4121607999999997</v>
      </c>
      <c r="H39" s="1126">
        <f t="shared" si="14"/>
        <v>5.5204040160000005</v>
      </c>
      <c r="I39" s="1127">
        <f t="shared" si="14"/>
        <v>5.6308120963200006</v>
      </c>
      <c r="J39" s="1135">
        <f t="shared" si="14"/>
        <v>5.7434283382463995</v>
      </c>
      <c r="K39" s="1126">
        <f t="shared" si="14"/>
        <v>5.8582969050113274</v>
      </c>
      <c r="L39" s="1126">
        <f t="shared" si="14"/>
        <v>5.9754628431115542</v>
      </c>
      <c r="M39" s="1127">
        <f t="shared" si="14"/>
        <v>6.094972099973786</v>
      </c>
    </row>
    <row r="40" spans="1:13" ht="14" thickBot="1" x14ac:dyDescent="0.2">
      <c r="A40" s="1088" t="s">
        <v>173</v>
      </c>
      <c r="B40" s="1154"/>
      <c r="C40" s="1298">
        <f>C21</f>
        <v>0.62</v>
      </c>
      <c r="D40" s="1298">
        <f t="shared" ref="D40:M40" si="15">$C$21*(1+$B27)^D$4</f>
        <v>0.63239999999999996</v>
      </c>
      <c r="E40" s="1299">
        <f t="shared" si="15"/>
        <v>0.64504799999999995</v>
      </c>
      <c r="F40" s="1299">
        <f t="shared" si="15"/>
        <v>0.65794895999999992</v>
      </c>
      <c r="G40" s="1298">
        <f t="shared" si="15"/>
        <v>0.6711079392</v>
      </c>
      <c r="H40" s="1299">
        <f t="shared" si="15"/>
        <v>0.684530097984</v>
      </c>
      <c r="I40" s="1300">
        <f t="shared" si="15"/>
        <v>0.69822069994368008</v>
      </c>
      <c r="J40" s="1298">
        <f t="shared" si="15"/>
        <v>0.71218511394255346</v>
      </c>
      <c r="K40" s="1299">
        <f t="shared" si="15"/>
        <v>0.72642881622140465</v>
      </c>
      <c r="L40" s="1299">
        <f t="shared" si="15"/>
        <v>0.7409573925458327</v>
      </c>
      <c r="M40" s="1300">
        <f t="shared" si="15"/>
        <v>0.75577654039674935</v>
      </c>
    </row>
    <row r="41" spans="1:13" outlineLevel="1" x14ac:dyDescent="0.15">
      <c r="A41" s="1097" t="s">
        <v>174</v>
      </c>
      <c r="B41" s="1197"/>
      <c r="C41" s="1146">
        <f>C28*C30*$C32*12</f>
        <v>0</v>
      </c>
      <c r="D41" s="1165">
        <f t="shared" ref="D41:M41" si="16">D28*D30*$C32*12</f>
        <v>0</v>
      </c>
      <c r="E41" s="1166">
        <f t="shared" si="16"/>
        <v>0</v>
      </c>
      <c r="F41" s="1166">
        <f t="shared" si="16"/>
        <v>0</v>
      </c>
      <c r="G41" s="1165">
        <f t="shared" si="16"/>
        <v>0</v>
      </c>
      <c r="H41" s="1166">
        <f t="shared" si="16"/>
        <v>300661.5177981389</v>
      </c>
      <c r="I41" s="1167">
        <f t="shared" si="16"/>
        <v>306674.74815410166</v>
      </c>
      <c r="J41" s="1165">
        <f t="shared" si="16"/>
        <v>312808.24311718362</v>
      </c>
      <c r="K41" s="1166">
        <f t="shared" si="16"/>
        <v>319064.40797952737</v>
      </c>
      <c r="L41" s="1166">
        <f t="shared" si="16"/>
        <v>325445.69613911788</v>
      </c>
      <c r="M41" s="1167">
        <f t="shared" si="16"/>
        <v>331954.61006190028</v>
      </c>
    </row>
    <row r="42" spans="1:13" outlineLevel="1" x14ac:dyDescent="0.15">
      <c r="A42" s="1011" t="s">
        <v>175</v>
      </c>
      <c r="B42" s="1038"/>
      <c r="C42" s="1168">
        <f>(C28*$C33*$C34*$C35*C39)+(C28*$C36*$C37*$C38*C39)</f>
        <v>0</v>
      </c>
      <c r="D42" s="1169">
        <f t="shared" ref="D42:M42" si="17">(D28*$C33*$C34*$C35*D39)+(D28*$C36*$C37*$C38*D39)</f>
        <v>0</v>
      </c>
      <c r="E42" s="1170">
        <f t="shared" si="17"/>
        <v>0</v>
      </c>
      <c r="F42" s="1170">
        <f t="shared" si="17"/>
        <v>0</v>
      </c>
      <c r="G42" s="1169">
        <f t="shared" si="17"/>
        <v>0</v>
      </c>
      <c r="H42" s="1170">
        <f t="shared" si="17"/>
        <v>2743536.3499080176</v>
      </c>
      <c r="I42" s="1171">
        <f t="shared" si="17"/>
        <v>2798407.0769061781</v>
      </c>
      <c r="J42" s="1169">
        <f t="shared" si="17"/>
        <v>2854375.2184443008</v>
      </c>
      <c r="K42" s="1170">
        <f t="shared" si="17"/>
        <v>2911462.7228131872</v>
      </c>
      <c r="L42" s="1170">
        <f t="shared" si="17"/>
        <v>2969691.9772694511</v>
      </c>
      <c r="M42" s="1171">
        <f t="shared" si="17"/>
        <v>3029085.8168148403</v>
      </c>
    </row>
    <row r="43" spans="1:13" outlineLevel="1" x14ac:dyDescent="0.15">
      <c r="A43" s="1011" t="s">
        <v>176</v>
      </c>
      <c r="B43" s="1038"/>
      <c r="C43" s="1168">
        <v>0</v>
      </c>
      <c r="D43" s="1169">
        <f>C43</f>
        <v>0</v>
      </c>
      <c r="E43" s="1170">
        <f>D43</f>
        <v>0</v>
      </c>
      <c r="F43" s="1170">
        <f>E43</f>
        <v>0</v>
      </c>
      <c r="G43" s="1169">
        <f t="shared" ref="G43:M43" si="18">F43</f>
        <v>0</v>
      </c>
      <c r="H43" s="1170">
        <f t="shared" si="18"/>
        <v>0</v>
      </c>
      <c r="I43" s="1171">
        <f t="shared" si="18"/>
        <v>0</v>
      </c>
      <c r="J43" s="1169">
        <f t="shared" si="18"/>
        <v>0</v>
      </c>
      <c r="K43" s="1170">
        <f t="shared" si="18"/>
        <v>0</v>
      </c>
      <c r="L43" s="1170">
        <f t="shared" si="18"/>
        <v>0</v>
      </c>
      <c r="M43" s="1171">
        <f t="shared" si="18"/>
        <v>0</v>
      </c>
    </row>
    <row r="44" spans="1:13" ht="14" outlineLevel="1" thickBot="1" x14ac:dyDescent="0.2">
      <c r="A44" s="1088" t="s">
        <v>170</v>
      </c>
      <c r="B44" s="1154"/>
      <c r="C44" s="1254">
        <f>C29*C40</f>
        <v>0</v>
      </c>
      <c r="D44" s="1245">
        <f t="shared" ref="D44:M44" si="19">D29*D40</f>
        <v>0</v>
      </c>
      <c r="E44" s="1246">
        <f t="shared" si="19"/>
        <v>0</v>
      </c>
      <c r="F44" s="1246">
        <f>F29*F40</f>
        <v>0</v>
      </c>
      <c r="G44" s="1245">
        <f t="shared" si="19"/>
        <v>0</v>
      </c>
      <c r="H44" s="1246">
        <f t="shared" si="19"/>
        <v>38835.446048926271</v>
      </c>
      <c r="I44" s="1247">
        <f t="shared" si="19"/>
        <v>39612.154969904805</v>
      </c>
      <c r="J44" s="1245">
        <f t="shared" si="19"/>
        <v>40404.398069302886</v>
      </c>
      <c r="K44" s="1246">
        <f t="shared" si="19"/>
        <v>41212.486030688953</v>
      </c>
      <c r="L44" s="1246">
        <f t="shared" si="19"/>
        <v>42036.735751302724</v>
      </c>
      <c r="M44" s="1247">
        <f t="shared" si="19"/>
        <v>42877.470466328778</v>
      </c>
    </row>
    <row r="45" spans="1:13" s="1190" customFormat="1" x14ac:dyDescent="0.15">
      <c r="A45" s="1071" t="s">
        <v>418</v>
      </c>
      <c r="B45" s="1038"/>
      <c r="C45" s="1037"/>
      <c r="D45" s="1199"/>
      <c r="E45" s="1197"/>
      <c r="F45" s="1197"/>
      <c r="G45" s="1037"/>
      <c r="H45" s="1038"/>
      <c r="I45" s="1113"/>
      <c r="J45" s="1037"/>
      <c r="K45" s="1038"/>
      <c r="L45" s="1038"/>
      <c r="M45" s="1113"/>
    </row>
    <row r="46" spans="1:13" x14ac:dyDescent="0.15">
      <c r="A46" s="941" t="s">
        <v>11</v>
      </c>
      <c r="B46" s="1201">
        <v>0.02</v>
      </c>
      <c r="C46" s="1244"/>
      <c r="D46" s="1037"/>
      <c r="E46" s="1038"/>
      <c r="F46" s="1038"/>
      <c r="G46" s="1037"/>
      <c r="H46" s="1038"/>
      <c r="I46" s="1113"/>
      <c r="J46" s="1037"/>
      <c r="K46" s="1038"/>
      <c r="L46" s="1038"/>
      <c r="M46" s="1113"/>
    </row>
    <row r="47" spans="1:13" x14ac:dyDescent="0.15">
      <c r="A47" s="941" t="s">
        <v>28</v>
      </c>
      <c r="B47" s="1038"/>
      <c r="C47" s="1123">
        <v>0</v>
      </c>
      <c r="D47" s="1123">
        <f t="shared" ref="D47:F48" si="20">C47</f>
        <v>0</v>
      </c>
      <c r="E47" s="1121">
        <f t="shared" si="20"/>
        <v>0</v>
      </c>
      <c r="F47" s="1121">
        <f t="shared" si="20"/>
        <v>0</v>
      </c>
      <c r="G47" s="1123">
        <f t="shared" ref="G47:M47" si="21">F47</f>
        <v>0</v>
      </c>
      <c r="H47" s="1121">
        <f t="shared" si="21"/>
        <v>0</v>
      </c>
      <c r="I47" s="1124">
        <f>C108</f>
        <v>0</v>
      </c>
      <c r="J47" s="1123">
        <f t="shared" si="21"/>
        <v>0</v>
      </c>
      <c r="K47" s="1121">
        <f t="shared" si="21"/>
        <v>0</v>
      </c>
      <c r="L47" s="1121">
        <f t="shared" si="21"/>
        <v>0</v>
      </c>
      <c r="M47" s="1124">
        <f t="shared" si="21"/>
        <v>0</v>
      </c>
    </row>
    <row r="48" spans="1:13" x14ac:dyDescent="0.15">
      <c r="A48" s="941" t="s">
        <v>83</v>
      </c>
      <c r="B48" s="1038"/>
      <c r="C48" s="1123">
        <v>0</v>
      </c>
      <c r="D48" s="1123">
        <f t="shared" si="20"/>
        <v>0</v>
      </c>
      <c r="E48" s="1121">
        <f t="shared" si="20"/>
        <v>0</v>
      </c>
      <c r="F48" s="1121">
        <f t="shared" si="20"/>
        <v>0</v>
      </c>
      <c r="G48" s="1123">
        <f t="shared" ref="G48:M48" si="22">F48</f>
        <v>0</v>
      </c>
      <c r="H48" s="1121">
        <f t="shared" si="22"/>
        <v>0</v>
      </c>
      <c r="I48" s="1124">
        <f>D108</f>
        <v>0</v>
      </c>
      <c r="J48" s="1123">
        <f t="shared" si="22"/>
        <v>0</v>
      </c>
      <c r="K48" s="1121">
        <f t="shared" si="22"/>
        <v>0</v>
      </c>
      <c r="L48" s="1121">
        <f t="shared" si="22"/>
        <v>0</v>
      </c>
      <c r="M48" s="1124">
        <f t="shared" si="22"/>
        <v>0</v>
      </c>
    </row>
    <row r="49" spans="1:13" x14ac:dyDescent="0.15">
      <c r="A49" s="1011" t="s">
        <v>19</v>
      </c>
      <c r="B49" s="1038"/>
      <c r="C49" s="1135">
        <f>C30</f>
        <v>200</v>
      </c>
      <c r="D49" s="1135">
        <f t="shared" ref="D49:M49" si="23">D30</f>
        <v>204</v>
      </c>
      <c r="E49" s="1126">
        <f t="shared" si="23"/>
        <v>208.07999999999998</v>
      </c>
      <c r="F49" s="1126">
        <f t="shared" si="23"/>
        <v>212.24159999999998</v>
      </c>
      <c r="G49" s="1135">
        <f t="shared" si="23"/>
        <v>216.48643200000001</v>
      </c>
      <c r="H49" s="1126">
        <f t="shared" si="23"/>
        <v>220.81616063999999</v>
      </c>
      <c r="I49" s="1127">
        <f t="shared" si="23"/>
        <v>225.23248385280002</v>
      </c>
      <c r="J49" s="1135">
        <f t="shared" si="23"/>
        <v>229.73713352985595</v>
      </c>
      <c r="K49" s="1126">
        <f t="shared" si="23"/>
        <v>234.33187620045311</v>
      </c>
      <c r="L49" s="1126">
        <f t="shared" si="23"/>
        <v>239.01851372446217</v>
      </c>
      <c r="M49" s="1127">
        <f t="shared" si="23"/>
        <v>243.79888399895142</v>
      </c>
    </row>
    <row r="50" spans="1:13" x14ac:dyDescent="0.15">
      <c r="A50" s="1011" t="s">
        <v>20</v>
      </c>
      <c r="B50" s="1038"/>
      <c r="C50" s="1111">
        <v>0.6</v>
      </c>
      <c r="D50" s="1111"/>
      <c r="E50" s="1106"/>
      <c r="F50" s="1106"/>
      <c r="G50" s="1111"/>
      <c r="H50" s="1106"/>
      <c r="I50" s="1110"/>
      <c r="J50" s="1111"/>
      <c r="K50" s="1106"/>
      <c r="L50" s="1106"/>
      <c r="M50" s="1110"/>
    </row>
    <row r="51" spans="1:13" x14ac:dyDescent="0.15">
      <c r="A51" s="1011" t="s">
        <v>21</v>
      </c>
      <c r="B51" s="1038"/>
      <c r="C51" s="1111">
        <v>0.6</v>
      </c>
      <c r="D51" s="1111"/>
      <c r="E51" s="1106"/>
      <c r="F51" s="1106"/>
      <c r="G51" s="1111"/>
      <c r="H51" s="1106"/>
      <c r="I51" s="1110"/>
      <c r="J51" s="1111"/>
      <c r="K51" s="1106"/>
      <c r="L51" s="1106"/>
      <c r="M51" s="1110"/>
    </row>
    <row r="52" spans="1:13" x14ac:dyDescent="0.15">
      <c r="A52" s="1011" t="s">
        <v>22</v>
      </c>
      <c r="B52" s="1038"/>
      <c r="C52" s="1037">
        <v>113</v>
      </c>
      <c r="D52" s="1037"/>
      <c r="E52" s="1038"/>
      <c r="F52" s="1038"/>
      <c r="G52" s="1037"/>
      <c r="H52" s="1038"/>
      <c r="I52" s="1113"/>
      <c r="J52" s="1037"/>
      <c r="K52" s="1038"/>
      <c r="L52" s="1038"/>
      <c r="M52" s="1113"/>
    </row>
    <row r="53" spans="1:13" x14ac:dyDescent="0.15">
      <c r="A53" s="1011" t="s">
        <v>23</v>
      </c>
      <c r="B53" s="1038"/>
      <c r="C53" s="1037">
        <v>24</v>
      </c>
      <c r="D53" s="1037"/>
      <c r="E53" s="1038"/>
      <c r="F53" s="1038"/>
      <c r="G53" s="1037"/>
      <c r="H53" s="1038"/>
      <c r="I53" s="1113"/>
      <c r="J53" s="1037"/>
      <c r="K53" s="1038"/>
      <c r="L53" s="1038"/>
      <c r="M53" s="1113"/>
    </row>
    <row r="54" spans="1:13" x14ac:dyDescent="0.15">
      <c r="A54" s="1011" t="s">
        <v>24</v>
      </c>
      <c r="B54" s="1038"/>
      <c r="C54" s="1111">
        <v>0.1</v>
      </c>
      <c r="D54" s="1111"/>
      <c r="E54" s="1106"/>
      <c r="F54" s="1106"/>
      <c r="G54" s="1111"/>
      <c r="H54" s="1106"/>
      <c r="I54" s="1110"/>
      <c r="J54" s="1111"/>
      <c r="K54" s="1106"/>
      <c r="L54" s="1106"/>
      <c r="M54" s="1110"/>
    </row>
    <row r="55" spans="1:13" x14ac:dyDescent="0.15">
      <c r="A55" s="1011" t="s">
        <v>25</v>
      </c>
      <c r="B55" s="1038"/>
      <c r="C55" s="1037">
        <v>252</v>
      </c>
      <c r="D55" s="1037"/>
      <c r="E55" s="1038"/>
      <c r="F55" s="1038"/>
      <c r="G55" s="1037"/>
      <c r="H55" s="1038"/>
      <c r="I55" s="1113"/>
      <c r="J55" s="1037"/>
      <c r="K55" s="1038"/>
      <c r="L55" s="1038"/>
      <c r="M55" s="1113"/>
    </row>
    <row r="56" spans="1:13" x14ac:dyDescent="0.15">
      <c r="A56" s="1011" t="s">
        <v>23</v>
      </c>
      <c r="B56" s="1038"/>
      <c r="C56" s="1037">
        <v>24</v>
      </c>
      <c r="D56" s="1037"/>
      <c r="E56" s="1038"/>
      <c r="F56" s="1038"/>
      <c r="G56" s="1037"/>
      <c r="H56" s="1038"/>
      <c r="I56" s="1113"/>
      <c r="J56" s="1037"/>
      <c r="K56" s="1038"/>
      <c r="L56" s="1038"/>
      <c r="M56" s="1113"/>
    </row>
    <row r="57" spans="1:13" x14ac:dyDescent="0.15">
      <c r="A57" s="1011" t="s">
        <v>24</v>
      </c>
      <c r="B57" s="1038"/>
      <c r="C57" s="1111">
        <v>0.1</v>
      </c>
      <c r="D57" s="1111"/>
      <c r="E57" s="1106"/>
      <c r="F57" s="1106"/>
      <c r="G57" s="1111"/>
      <c r="H57" s="1106"/>
      <c r="I57" s="1110"/>
      <c r="J57" s="1111"/>
      <c r="K57" s="1106"/>
      <c r="L57" s="1106"/>
      <c r="M57" s="1110"/>
    </row>
    <row r="58" spans="1:13" s="1286" customFormat="1" x14ac:dyDescent="0.15">
      <c r="A58" s="1011" t="s">
        <v>26</v>
      </c>
      <c r="B58" s="1038"/>
      <c r="C58" s="1135">
        <f>C39</f>
        <v>5</v>
      </c>
      <c r="D58" s="1135">
        <f t="shared" ref="D58:M58" si="24">$C$20*(1+$B46)^D$4</f>
        <v>5.0999999999999996</v>
      </c>
      <c r="E58" s="1126">
        <f t="shared" si="24"/>
        <v>5.202</v>
      </c>
      <c r="F58" s="1126">
        <f t="shared" si="24"/>
        <v>5.3060399999999994</v>
      </c>
      <c r="G58" s="1135">
        <f t="shared" si="24"/>
        <v>5.4121607999999997</v>
      </c>
      <c r="H58" s="1126">
        <f t="shared" si="24"/>
        <v>5.5204040160000005</v>
      </c>
      <c r="I58" s="1127">
        <f t="shared" si="24"/>
        <v>5.6308120963200006</v>
      </c>
      <c r="J58" s="1135">
        <f t="shared" si="24"/>
        <v>5.7434283382463995</v>
      </c>
      <c r="K58" s="1126">
        <f t="shared" si="24"/>
        <v>5.8582969050113274</v>
      </c>
      <c r="L58" s="1126">
        <f t="shared" si="24"/>
        <v>5.9754628431115542</v>
      </c>
      <c r="M58" s="1127">
        <f t="shared" si="24"/>
        <v>6.094972099973786</v>
      </c>
    </row>
    <row r="59" spans="1:13" ht="14" thickBot="1" x14ac:dyDescent="0.2">
      <c r="A59" s="1088" t="s">
        <v>173</v>
      </c>
      <c r="B59" s="1154"/>
      <c r="C59" s="1298">
        <v>0.62</v>
      </c>
      <c r="D59" s="1298">
        <f t="shared" ref="D59:M59" si="25">$C$21*(1+$B46)^D$4</f>
        <v>0.63239999999999996</v>
      </c>
      <c r="E59" s="1299">
        <f t="shared" si="25"/>
        <v>0.64504799999999995</v>
      </c>
      <c r="F59" s="1299">
        <f t="shared" si="25"/>
        <v>0.65794895999999992</v>
      </c>
      <c r="G59" s="1298">
        <f t="shared" si="25"/>
        <v>0.6711079392</v>
      </c>
      <c r="H59" s="1299">
        <f t="shared" si="25"/>
        <v>0.684530097984</v>
      </c>
      <c r="I59" s="1300">
        <f t="shared" si="25"/>
        <v>0.69822069994368008</v>
      </c>
      <c r="J59" s="1298">
        <f t="shared" si="25"/>
        <v>0.71218511394255346</v>
      </c>
      <c r="K59" s="1299">
        <f t="shared" si="25"/>
        <v>0.72642881622140465</v>
      </c>
      <c r="L59" s="1299">
        <f t="shared" si="25"/>
        <v>0.7409573925458327</v>
      </c>
      <c r="M59" s="1300">
        <f t="shared" si="25"/>
        <v>0.75577654039674935</v>
      </c>
    </row>
    <row r="60" spans="1:13" outlineLevel="1" x14ac:dyDescent="0.15">
      <c r="A60" s="1097" t="s">
        <v>174</v>
      </c>
      <c r="B60" s="1197"/>
      <c r="C60" s="1146">
        <f>C47*C49*$C51*12</f>
        <v>0</v>
      </c>
      <c r="D60" s="1165">
        <f t="shared" ref="D60:M60" si="26">D47*D49*$C51*12</f>
        <v>0</v>
      </c>
      <c r="E60" s="1166">
        <f t="shared" si="26"/>
        <v>0</v>
      </c>
      <c r="F60" s="1166">
        <f t="shared" si="26"/>
        <v>0</v>
      </c>
      <c r="G60" s="1165">
        <f t="shared" si="26"/>
        <v>0</v>
      </c>
      <c r="H60" s="1166">
        <f t="shared" si="26"/>
        <v>0</v>
      </c>
      <c r="I60" s="1167">
        <f>I47*I49*$C51*12</f>
        <v>0</v>
      </c>
      <c r="J60" s="1165">
        <f t="shared" si="26"/>
        <v>0</v>
      </c>
      <c r="K60" s="1166">
        <f t="shared" si="26"/>
        <v>0</v>
      </c>
      <c r="L60" s="1166">
        <f t="shared" si="26"/>
        <v>0</v>
      </c>
      <c r="M60" s="1167">
        <f t="shared" si="26"/>
        <v>0</v>
      </c>
    </row>
    <row r="61" spans="1:13" outlineLevel="1" x14ac:dyDescent="0.15">
      <c r="A61" s="1267" t="s">
        <v>175</v>
      </c>
      <c r="B61" s="1038"/>
      <c r="C61" s="1168">
        <f>(C47*$C52*$C53*$C54*C58)+(C47*$C55*$C56*$C57*C58)</f>
        <v>0</v>
      </c>
      <c r="D61" s="1169">
        <f t="shared" ref="D61:M61" si="27">(D47*$C52*$C53*$C54*D58)+(D47*$C55*$C56*$C57*D58)</f>
        <v>0</v>
      </c>
      <c r="E61" s="1170">
        <f t="shared" si="27"/>
        <v>0</v>
      </c>
      <c r="F61" s="1170">
        <f t="shared" si="27"/>
        <v>0</v>
      </c>
      <c r="G61" s="1169">
        <f t="shared" si="27"/>
        <v>0</v>
      </c>
      <c r="H61" s="1170">
        <f t="shared" si="27"/>
        <v>0</v>
      </c>
      <c r="I61" s="1171">
        <f>(I47*$C52*$C53*$C54*I58)+(I47*$C55*$C56*$C57*I58)</f>
        <v>0</v>
      </c>
      <c r="J61" s="1169">
        <f t="shared" si="27"/>
        <v>0</v>
      </c>
      <c r="K61" s="1170">
        <f t="shared" si="27"/>
        <v>0</v>
      </c>
      <c r="L61" s="1170">
        <f t="shared" si="27"/>
        <v>0</v>
      </c>
      <c r="M61" s="1171">
        <f t="shared" si="27"/>
        <v>0</v>
      </c>
    </row>
    <row r="62" spans="1:13" outlineLevel="1" x14ac:dyDescent="0.15">
      <c r="A62" s="1011" t="s">
        <v>176</v>
      </c>
      <c r="B62" s="1038"/>
      <c r="C62" s="1168">
        <v>0</v>
      </c>
      <c r="D62" s="1169">
        <f>C62</f>
        <v>0</v>
      </c>
      <c r="E62" s="1170">
        <f>D62</f>
        <v>0</v>
      </c>
      <c r="F62" s="1170">
        <f>E62</f>
        <v>0</v>
      </c>
      <c r="G62" s="1169">
        <f t="shared" ref="G62:M62" si="28">F62</f>
        <v>0</v>
      </c>
      <c r="H62" s="1170">
        <f t="shared" si="28"/>
        <v>0</v>
      </c>
      <c r="I62" s="1171">
        <f t="shared" si="28"/>
        <v>0</v>
      </c>
      <c r="J62" s="1169">
        <f t="shared" si="28"/>
        <v>0</v>
      </c>
      <c r="K62" s="1170">
        <f t="shared" si="28"/>
        <v>0</v>
      </c>
      <c r="L62" s="1170">
        <f t="shared" si="28"/>
        <v>0</v>
      </c>
      <c r="M62" s="1171">
        <f t="shared" si="28"/>
        <v>0</v>
      </c>
    </row>
    <row r="63" spans="1:13" ht="14" outlineLevel="1" thickBot="1" x14ac:dyDescent="0.2">
      <c r="A63" s="1088" t="s">
        <v>170</v>
      </c>
      <c r="B63" s="1154"/>
      <c r="C63" s="1254">
        <f>C48*C59</f>
        <v>0</v>
      </c>
      <c r="D63" s="1245">
        <f t="shared" ref="D63:M63" si="29">D48*D59</f>
        <v>0</v>
      </c>
      <c r="E63" s="1246">
        <f t="shared" si="29"/>
        <v>0</v>
      </c>
      <c r="F63" s="1246">
        <f t="shared" si="29"/>
        <v>0</v>
      </c>
      <c r="G63" s="1245">
        <f t="shared" si="29"/>
        <v>0</v>
      </c>
      <c r="H63" s="1246">
        <f t="shared" si="29"/>
        <v>0</v>
      </c>
      <c r="I63" s="1247">
        <f t="shared" si="29"/>
        <v>0</v>
      </c>
      <c r="J63" s="1245">
        <f t="shared" si="29"/>
        <v>0</v>
      </c>
      <c r="K63" s="1246">
        <f t="shared" si="29"/>
        <v>0</v>
      </c>
      <c r="L63" s="1246">
        <f t="shared" si="29"/>
        <v>0</v>
      </c>
      <c r="M63" s="1247">
        <f t="shared" si="29"/>
        <v>0</v>
      </c>
    </row>
    <row r="64" spans="1:13" s="1190" customFormat="1" x14ac:dyDescent="0.15">
      <c r="A64" s="1071" t="s">
        <v>421</v>
      </c>
      <c r="B64" s="1038"/>
      <c r="C64" s="1037"/>
      <c r="D64" s="1199"/>
      <c r="E64" s="1197"/>
      <c r="F64" s="1197"/>
      <c r="G64" s="1037"/>
      <c r="H64" s="1038"/>
      <c r="I64" s="1113"/>
      <c r="J64" s="1037"/>
      <c r="K64" s="1038"/>
      <c r="L64" s="1038"/>
      <c r="M64" s="1113"/>
    </row>
    <row r="65" spans="1:13" s="1190" customFormat="1" x14ac:dyDescent="0.15">
      <c r="A65" s="941" t="s">
        <v>11</v>
      </c>
      <c r="B65" s="1201">
        <v>0.02</v>
      </c>
      <c r="C65" s="1244"/>
      <c r="D65" s="1037"/>
      <c r="E65" s="1038"/>
      <c r="F65" s="1038"/>
      <c r="G65" s="1037"/>
      <c r="H65" s="1038"/>
      <c r="I65" s="1113"/>
      <c r="J65" s="1037"/>
      <c r="K65" s="1038"/>
      <c r="L65" s="1038"/>
      <c r="M65" s="1113"/>
    </row>
    <row r="66" spans="1:13" s="1190" customFormat="1" x14ac:dyDescent="0.15">
      <c r="A66" s="941" t="s">
        <v>28</v>
      </c>
      <c r="B66" s="1038"/>
      <c r="C66" s="1123">
        <v>0</v>
      </c>
      <c r="D66" s="1123">
        <f>C66</f>
        <v>0</v>
      </c>
      <c r="E66" s="1121">
        <f>D66</f>
        <v>0</v>
      </c>
      <c r="F66" s="1121">
        <f>C145</f>
        <v>0</v>
      </c>
      <c r="G66" s="1123">
        <f t="shared" ref="G66:L66" si="30">F66</f>
        <v>0</v>
      </c>
      <c r="H66" s="1121">
        <f>G66</f>
        <v>0</v>
      </c>
      <c r="I66" s="1124">
        <f t="shared" si="30"/>
        <v>0</v>
      </c>
      <c r="J66" s="1123">
        <f t="shared" si="30"/>
        <v>0</v>
      </c>
      <c r="K66" s="1121">
        <f t="shared" si="30"/>
        <v>0</v>
      </c>
      <c r="L66" s="1121">
        <f t="shared" si="30"/>
        <v>0</v>
      </c>
      <c r="M66" s="1124">
        <f>C109</f>
        <v>356.07</v>
      </c>
    </row>
    <row r="67" spans="1:13" s="1190" customFormat="1" x14ac:dyDescent="0.15">
      <c r="A67" s="941" t="s">
        <v>83</v>
      </c>
      <c r="B67" s="1038"/>
      <c r="C67" s="1123">
        <v>0</v>
      </c>
      <c r="D67" s="1123">
        <f>C67</f>
        <v>0</v>
      </c>
      <c r="E67" s="1121">
        <f>D67</f>
        <v>0</v>
      </c>
      <c r="F67" s="1121">
        <f>D145</f>
        <v>0</v>
      </c>
      <c r="G67" s="1123">
        <f t="shared" ref="G67:L67" si="31">F67</f>
        <v>0</v>
      </c>
      <c r="H67" s="1121">
        <f>G67</f>
        <v>0</v>
      </c>
      <c r="I67" s="1124">
        <f t="shared" si="31"/>
        <v>0</v>
      </c>
      <c r="J67" s="1123">
        <f t="shared" si="31"/>
        <v>0</v>
      </c>
      <c r="K67" s="1121">
        <f t="shared" si="31"/>
        <v>0</v>
      </c>
      <c r="L67" s="1121">
        <f t="shared" si="31"/>
        <v>0</v>
      </c>
      <c r="M67" s="1124">
        <f>D109</f>
        <v>106821</v>
      </c>
    </row>
    <row r="68" spans="1:13" s="1190" customFormat="1" x14ac:dyDescent="0.15">
      <c r="A68" s="1011" t="s">
        <v>19</v>
      </c>
      <c r="B68" s="1038"/>
      <c r="C68" s="1135">
        <f>C49</f>
        <v>200</v>
      </c>
      <c r="D68" s="1135">
        <f t="shared" ref="D68:M68" si="32">D49</f>
        <v>204</v>
      </c>
      <c r="E68" s="1126">
        <f t="shared" si="32"/>
        <v>208.07999999999998</v>
      </c>
      <c r="F68" s="1126">
        <f t="shared" si="32"/>
        <v>212.24159999999998</v>
      </c>
      <c r="G68" s="1135">
        <f t="shared" si="32"/>
        <v>216.48643200000001</v>
      </c>
      <c r="H68" s="1126">
        <f t="shared" si="32"/>
        <v>220.81616063999999</v>
      </c>
      <c r="I68" s="1127">
        <f t="shared" si="32"/>
        <v>225.23248385280002</v>
      </c>
      <c r="J68" s="1135">
        <f t="shared" si="32"/>
        <v>229.73713352985595</v>
      </c>
      <c r="K68" s="1126">
        <f t="shared" si="32"/>
        <v>234.33187620045311</v>
      </c>
      <c r="L68" s="1126">
        <f t="shared" si="32"/>
        <v>239.01851372446217</v>
      </c>
      <c r="M68" s="1127">
        <f t="shared" si="32"/>
        <v>243.79888399895142</v>
      </c>
    </row>
    <row r="69" spans="1:13" s="1190" customFormat="1" x14ac:dyDescent="0.15">
      <c r="A69" s="1011" t="s">
        <v>20</v>
      </c>
      <c r="B69" s="1038"/>
      <c r="C69" s="1111">
        <v>0.6</v>
      </c>
      <c r="D69" s="1111"/>
      <c r="E69" s="1106"/>
      <c r="F69" s="1106"/>
      <c r="G69" s="1111"/>
      <c r="H69" s="1106"/>
      <c r="I69" s="1110"/>
      <c r="J69" s="1111"/>
      <c r="K69" s="1106"/>
      <c r="L69" s="1106"/>
      <c r="M69" s="1110"/>
    </row>
    <row r="70" spans="1:13" s="1190" customFormat="1" x14ac:dyDescent="0.15">
      <c r="A70" s="1011" t="s">
        <v>21</v>
      </c>
      <c r="B70" s="1038"/>
      <c r="C70" s="1111">
        <v>0.6</v>
      </c>
      <c r="D70" s="1111"/>
      <c r="E70" s="1106"/>
      <c r="F70" s="1106"/>
      <c r="G70" s="1111"/>
      <c r="H70" s="1106"/>
      <c r="I70" s="1110"/>
      <c r="J70" s="1111"/>
      <c r="K70" s="1106"/>
      <c r="L70" s="1106"/>
      <c r="M70" s="1110"/>
    </row>
    <row r="71" spans="1:13" s="1190" customFormat="1" x14ac:dyDescent="0.15">
      <c r="A71" s="1011" t="s">
        <v>22</v>
      </c>
      <c r="B71" s="1038"/>
      <c r="C71" s="1037">
        <v>113</v>
      </c>
      <c r="D71" s="1037"/>
      <c r="E71" s="1038"/>
      <c r="F71" s="1038"/>
      <c r="G71" s="1037"/>
      <c r="H71" s="1038"/>
      <c r="I71" s="1113"/>
      <c r="J71" s="1037"/>
      <c r="K71" s="1038"/>
      <c r="L71" s="1038"/>
      <c r="M71" s="1113"/>
    </row>
    <row r="72" spans="1:13" s="1190" customFormat="1" x14ac:dyDescent="0.15">
      <c r="A72" s="1011" t="s">
        <v>23</v>
      </c>
      <c r="B72" s="1038"/>
      <c r="C72" s="1037">
        <v>24</v>
      </c>
      <c r="D72" s="1037"/>
      <c r="E72" s="1038"/>
      <c r="F72" s="1038"/>
      <c r="G72" s="1037"/>
      <c r="H72" s="1038"/>
      <c r="I72" s="1113"/>
      <c r="J72" s="1037"/>
      <c r="K72" s="1038"/>
      <c r="L72" s="1038"/>
      <c r="M72" s="1113"/>
    </row>
    <row r="73" spans="1:13" s="1190" customFormat="1" x14ac:dyDescent="0.15">
      <c r="A73" s="1011" t="s">
        <v>24</v>
      </c>
      <c r="B73" s="1038"/>
      <c r="C73" s="1111">
        <v>0.3</v>
      </c>
      <c r="D73" s="1111"/>
      <c r="E73" s="1106"/>
      <c r="F73" s="1106"/>
      <c r="G73" s="1111"/>
      <c r="H73" s="1106"/>
      <c r="I73" s="1110"/>
      <c r="J73" s="1111"/>
      <c r="K73" s="1106"/>
      <c r="L73" s="1106"/>
      <c r="M73" s="1110"/>
    </row>
    <row r="74" spans="1:13" s="1190" customFormat="1" x14ac:dyDescent="0.15">
      <c r="A74" s="1011" t="s">
        <v>25</v>
      </c>
      <c r="B74" s="1038"/>
      <c r="C74" s="1037">
        <f>365-C71</f>
        <v>252</v>
      </c>
      <c r="D74" s="1037"/>
      <c r="E74" s="1038"/>
      <c r="F74" s="1038"/>
      <c r="G74" s="1037"/>
      <c r="H74" s="1038"/>
      <c r="I74" s="1113"/>
      <c r="J74" s="1037"/>
      <c r="K74" s="1038"/>
      <c r="L74" s="1038"/>
      <c r="M74" s="1113"/>
    </row>
    <row r="75" spans="1:13" s="1190" customFormat="1" x14ac:dyDescent="0.15">
      <c r="A75" s="1011" t="s">
        <v>23</v>
      </c>
      <c r="B75" s="1038"/>
      <c r="C75" s="1037">
        <v>24</v>
      </c>
      <c r="D75" s="1037"/>
      <c r="E75" s="1038"/>
      <c r="F75" s="1038"/>
      <c r="G75" s="1037"/>
      <c r="H75" s="1038"/>
      <c r="I75" s="1113"/>
      <c r="J75" s="1037"/>
      <c r="K75" s="1038"/>
      <c r="L75" s="1038"/>
      <c r="M75" s="1113"/>
    </row>
    <row r="76" spans="1:13" s="1190" customFormat="1" x14ac:dyDescent="0.15">
      <c r="A76" s="1011" t="s">
        <v>24</v>
      </c>
      <c r="B76" s="1038"/>
      <c r="C76" s="1111">
        <v>0.3</v>
      </c>
      <c r="D76" s="1111"/>
      <c r="E76" s="1106"/>
      <c r="F76" s="1106"/>
      <c r="G76" s="1111"/>
      <c r="H76" s="1106"/>
      <c r="I76" s="1110"/>
      <c r="J76" s="1111"/>
      <c r="K76" s="1106"/>
      <c r="L76" s="1106"/>
      <c r="M76" s="1110"/>
    </row>
    <row r="77" spans="1:13" s="1288" customFormat="1" x14ac:dyDescent="0.15">
      <c r="A77" s="1011" t="s">
        <v>26</v>
      </c>
      <c r="B77" s="1038"/>
      <c r="C77" s="1135">
        <f>C58</f>
        <v>5</v>
      </c>
      <c r="D77" s="1135">
        <f t="shared" ref="D77:M77" si="33">$C$20*(1+$B65)^D$4</f>
        <v>5.0999999999999996</v>
      </c>
      <c r="E77" s="1126">
        <f t="shared" si="33"/>
        <v>5.202</v>
      </c>
      <c r="F77" s="1126">
        <f t="shared" si="33"/>
        <v>5.3060399999999994</v>
      </c>
      <c r="G77" s="1135">
        <f t="shared" si="33"/>
        <v>5.4121607999999997</v>
      </c>
      <c r="H77" s="1126">
        <f t="shared" si="33"/>
        <v>5.5204040160000005</v>
      </c>
      <c r="I77" s="1127">
        <f t="shared" si="33"/>
        <v>5.6308120963200006</v>
      </c>
      <c r="J77" s="1135">
        <f t="shared" si="33"/>
        <v>5.7434283382463995</v>
      </c>
      <c r="K77" s="1126">
        <f t="shared" si="33"/>
        <v>5.8582969050113274</v>
      </c>
      <c r="L77" s="1126">
        <f t="shared" si="33"/>
        <v>5.9754628431115542</v>
      </c>
      <c r="M77" s="1127">
        <f t="shared" si="33"/>
        <v>6.094972099973786</v>
      </c>
    </row>
    <row r="78" spans="1:13" s="1190" customFormat="1" ht="14" thickBot="1" x14ac:dyDescent="0.2">
      <c r="A78" s="1088" t="s">
        <v>173</v>
      </c>
      <c r="B78" s="1154"/>
      <c r="C78" s="1298">
        <v>0.62</v>
      </c>
      <c r="D78" s="1298">
        <f t="shared" ref="D78:M78" si="34">$C$21*(1+$B65)^D$4</f>
        <v>0.63239999999999996</v>
      </c>
      <c r="E78" s="1299">
        <f t="shared" si="34"/>
        <v>0.64504799999999995</v>
      </c>
      <c r="F78" s="1299">
        <f t="shared" si="34"/>
        <v>0.65794895999999992</v>
      </c>
      <c r="G78" s="1298">
        <f t="shared" si="34"/>
        <v>0.6711079392</v>
      </c>
      <c r="H78" s="1299">
        <f t="shared" si="34"/>
        <v>0.684530097984</v>
      </c>
      <c r="I78" s="1300">
        <f t="shared" si="34"/>
        <v>0.69822069994368008</v>
      </c>
      <c r="J78" s="1298">
        <f t="shared" si="34"/>
        <v>0.71218511394255346</v>
      </c>
      <c r="K78" s="1299">
        <f t="shared" si="34"/>
        <v>0.72642881622140465</v>
      </c>
      <c r="L78" s="1299">
        <f t="shared" si="34"/>
        <v>0.7409573925458327</v>
      </c>
      <c r="M78" s="1300">
        <f t="shared" si="34"/>
        <v>0.75577654039674935</v>
      </c>
    </row>
    <row r="79" spans="1:13" s="1190" customFormat="1" outlineLevel="1" x14ac:dyDescent="0.15">
      <c r="A79" s="1097" t="s">
        <v>174</v>
      </c>
      <c r="B79" s="1197"/>
      <c r="C79" s="1146">
        <f>C66*C68*$C70*12</f>
        <v>0</v>
      </c>
      <c r="D79" s="1165">
        <f t="shared" ref="D79:M79" si="35">D66*D68*$C70*12</f>
        <v>0</v>
      </c>
      <c r="E79" s="1166">
        <f t="shared" si="35"/>
        <v>0</v>
      </c>
      <c r="F79" s="1166">
        <f t="shared" si="35"/>
        <v>0</v>
      </c>
      <c r="G79" s="1165">
        <f t="shared" si="35"/>
        <v>0</v>
      </c>
      <c r="H79" s="1166">
        <f t="shared" si="35"/>
        <v>0</v>
      </c>
      <c r="I79" s="1167">
        <f t="shared" si="35"/>
        <v>0</v>
      </c>
      <c r="J79" s="1165">
        <f t="shared" si="35"/>
        <v>0</v>
      </c>
      <c r="K79" s="1166">
        <f t="shared" si="35"/>
        <v>0</v>
      </c>
      <c r="L79" s="1166">
        <f t="shared" si="35"/>
        <v>0</v>
      </c>
      <c r="M79" s="1167">
        <f t="shared" si="35"/>
        <v>625028.1741036477</v>
      </c>
    </row>
    <row r="80" spans="1:13" s="1190" customFormat="1" outlineLevel="1" x14ac:dyDescent="0.15">
      <c r="A80" s="1011" t="s">
        <v>175</v>
      </c>
      <c r="B80" s="1038"/>
      <c r="C80" s="1168">
        <f>(C66*$C71*$C72*$C73*C77)+(C66*$C74*$C75*$C76*C77)</f>
        <v>0</v>
      </c>
      <c r="D80" s="1169">
        <f t="shared" ref="D80:M80" si="36">(D66*$C71*$C72*$C73*D77)+(D66*$C74*$C75*$C76*D77)</f>
        <v>0</v>
      </c>
      <c r="E80" s="1170">
        <f t="shared" si="36"/>
        <v>0</v>
      </c>
      <c r="F80" s="1170">
        <f t="shared" si="36"/>
        <v>0</v>
      </c>
      <c r="G80" s="1169">
        <f t="shared" si="36"/>
        <v>0</v>
      </c>
      <c r="H80" s="1170">
        <f t="shared" si="36"/>
        <v>0</v>
      </c>
      <c r="I80" s="1171">
        <f t="shared" si="36"/>
        <v>0</v>
      </c>
      <c r="J80" s="1169">
        <f t="shared" si="36"/>
        <v>0</v>
      </c>
      <c r="K80" s="1170">
        <f t="shared" si="36"/>
        <v>0</v>
      </c>
      <c r="L80" s="1170">
        <f t="shared" si="36"/>
        <v>0</v>
      </c>
      <c r="M80" s="1171">
        <f t="shared" si="36"/>
        <v>5703382.088695786</v>
      </c>
    </row>
    <row r="81" spans="1:13" s="1190" customFormat="1" outlineLevel="1" x14ac:dyDescent="0.15">
      <c r="A81" s="1011" t="s">
        <v>176</v>
      </c>
      <c r="B81" s="1038"/>
      <c r="C81" s="1168">
        <v>0</v>
      </c>
      <c r="D81" s="1169">
        <f>C81</f>
        <v>0</v>
      </c>
      <c r="E81" s="1170">
        <f>D81</f>
        <v>0</v>
      </c>
      <c r="F81" s="1170">
        <f>E81</f>
        <v>0</v>
      </c>
      <c r="G81" s="1169">
        <f t="shared" ref="G81:M81" si="37">F81</f>
        <v>0</v>
      </c>
      <c r="H81" s="1170">
        <f t="shared" si="37"/>
        <v>0</v>
      </c>
      <c r="I81" s="1171">
        <f t="shared" si="37"/>
        <v>0</v>
      </c>
      <c r="J81" s="1169">
        <f t="shared" si="37"/>
        <v>0</v>
      </c>
      <c r="K81" s="1170">
        <f t="shared" si="37"/>
        <v>0</v>
      </c>
      <c r="L81" s="1170">
        <f t="shared" si="37"/>
        <v>0</v>
      </c>
      <c r="M81" s="1171">
        <f t="shared" si="37"/>
        <v>0</v>
      </c>
    </row>
    <row r="82" spans="1:13" s="1190" customFormat="1" ht="14" outlineLevel="1" thickBot="1" x14ac:dyDescent="0.2">
      <c r="A82" s="1088" t="s">
        <v>170</v>
      </c>
      <c r="B82" s="1154"/>
      <c r="C82" s="1254">
        <f>C67*C78</f>
        <v>0</v>
      </c>
      <c r="D82" s="1245">
        <f t="shared" ref="D82:M82" si="38">D67*D78</f>
        <v>0</v>
      </c>
      <c r="E82" s="1246">
        <f t="shared" si="38"/>
        <v>0</v>
      </c>
      <c r="F82" s="1246">
        <f t="shared" si="38"/>
        <v>0</v>
      </c>
      <c r="G82" s="1245">
        <f t="shared" si="38"/>
        <v>0</v>
      </c>
      <c r="H82" s="1246">
        <f t="shared" si="38"/>
        <v>0</v>
      </c>
      <c r="I82" s="1247">
        <f t="shared" si="38"/>
        <v>0</v>
      </c>
      <c r="J82" s="1245">
        <f t="shared" si="38"/>
        <v>0</v>
      </c>
      <c r="K82" s="1246">
        <f t="shared" si="38"/>
        <v>0</v>
      </c>
      <c r="L82" s="1246">
        <f t="shared" si="38"/>
        <v>0</v>
      </c>
      <c r="M82" s="1247">
        <f t="shared" si="38"/>
        <v>80732.805821721166</v>
      </c>
    </row>
    <row r="83" spans="1:13" s="1190" customFormat="1" ht="14" thickBot="1" x14ac:dyDescent="0.2">
      <c r="A83" s="1023" t="s">
        <v>0</v>
      </c>
      <c r="B83" s="1142"/>
      <c r="C83" s="1143"/>
      <c r="D83" s="1144"/>
      <c r="E83" s="1142"/>
      <c r="F83" s="1145"/>
      <c r="G83" s="1144"/>
      <c r="H83" s="1142"/>
      <c r="I83" s="1145"/>
      <c r="J83" s="1144"/>
      <c r="K83" s="1142"/>
      <c r="L83" s="1142"/>
      <c r="M83" s="1145"/>
    </row>
    <row r="84" spans="1:13" s="1190" customFormat="1" x14ac:dyDescent="0.15">
      <c r="A84" s="1097" t="s">
        <v>174</v>
      </c>
      <c r="B84" s="1038"/>
      <c r="C84" s="1162">
        <f>SUM(C22,C41,C60,C79)</f>
        <v>0</v>
      </c>
      <c r="D84" s="1165">
        <f t="shared" ref="D84:M84" si="39">SUM(D22,D41,D60,D79)</f>
        <v>0</v>
      </c>
      <c r="E84" s="1166">
        <f t="shared" si="39"/>
        <v>451165.71455999988</v>
      </c>
      <c r="F84" s="1167">
        <f t="shared" si="39"/>
        <v>460189.0288511999</v>
      </c>
      <c r="G84" s="1165">
        <f t="shared" si="39"/>
        <v>469392.80942822399</v>
      </c>
      <c r="H84" s="1166">
        <f t="shared" si="39"/>
        <v>779442.18341492733</v>
      </c>
      <c r="I84" s="1167">
        <f t="shared" si="39"/>
        <v>795031.0270832259</v>
      </c>
      <c r="J84" s="1165">
        <f t="shared" si="39"/>
        <v>810931.6476248902</v>
      </c>
      <c r="K84" s="1166">
        <f t="shared" si="39"/>
        <v>827150.28057738813</v>
      </c>
      <c r="L84" s="1166">
        <f t="shared" si="39"/>
        <v>843693.28618893586</v>
      </c>
      <c r="M84" s="1167">
        <f t="shared" si="39"/>
        <v>1485595.3260163623</v>
      </c>
    </row>
    <row r="85" spans="1:13" s="1190" customFormat="1" x14ac:dyDescent="0.15">
      <c r="A85" s="1011" t="s">
        <v>175</v>
      </c>
      <c r="B85" s="1038"/>
      <c r="C85" s="1168">
        <f>SUM(C23,C42,C61,C80)</f>
        <v>0</v>
      </c>
      <c r="D85" s="1169">
        <f t="shared" ref="D85:M85" si="40">SUM(D23,D42,D61,D80)</f>
        <v>0</v>
      </c>
      <c r="E85" s="1170">
        <f t="shared" si="40"/>
        <v>4116887.1453599995</v>
      </c>
      <c r="F85" s="1171">
        <f t="shared" si="40"/>
        <v>4199224.8882671986</v>
      </c>
      <c r="G85" s="1169">
        <f t="shared" si="40"/>
        <v>4283209.3860325431</v>
      </c>
      <c r="H85" s="1170">
        <f t="shared" si="40"/>
        <v>7112409.9236612124</v>
      </c>
      <c r="I85" s="1171">
        <f t="shared" si="40"/>
        <v>7254658.1221344369</v>
      </c>
      <c r="J85" s="1169">
        <f t="shared" si="40"/>
        <v>7399751.2845771238</v>
      </c>
      <c r="K85" s="1170">
        <f t="shared" si="40"/>
        <v>7547746.3102686666</v>
      </c>
      <c r="L85" s="1170">
        <f t="shared" si="40"/>
        <v>7698701.23647404</v>
      </c>
      <c r="M85" s="1171">
        <f t="shared" si="40"/>
        <v>13556057.349899307</v>
      </c>
    </row>
    <row r="86" spans="1:13" s="1190" customFormat="1" x14ac:dyDescent="0.15">
      <c r="A86" s="1011" t="s">
        <v>313</v>
      </c>
      <c r="B86" s="1038"/>
      <c r="C86" s="1168">
        <f>-SUM(C24,C43,C62,C81)</f>
        <v>0</v>
      </c>
      <c r="D86" s="1169">
        <f t="shared" ref="D86:M86" si="41">-SUM(D24,D43,D62,D81)</f>
        <v>0</v>
      </c>
      <c r="E86" s="1170">
        <f t="shared" si="41"/>
        <v>0</v>
      </c>
      <c r="F86" s="1171">
        <f t="shared" si="41"/>
        <v>0</v>
      </c>
      <c r="G86" s="1169">
        <f t="shared" si="41"/>
        <v>0</v>
      </c>
      <c r="H86" s="1170">
        <f t="shared" si="41"/>
        <v>0</v>
      </c>
      <c r="I86" s="1171">
        <f t="shared" si="41"/>
        <v>0</v>
      </c>
      <c r="J86" s="1169">
        <f t="shared" si="41"/>
        <v>0</v>
      </c>
      <c r="K86" s="1170">
        <f t="shared" si="41"/>
        <v>0</v>
      </c>
      <c r="L86" s="1170">
        <f t="shared" si="41"/>
        <v>0</v>
      </c>
      <c r="M86" s="1171">
        <f t="shared" si="41"/>
        <v>0</v>
      </c>
    </row>
    <row r="87" spans="1:13" s="1190" customFormat="1" x14ac:dyDescent="0.15">
      <c r="A87" s="1289" t="s">
        <v>119</v>
      </c>
      <c r="B87" s="1164"/>
      <c r="C87" s="1150">
        <f>-SUM(C25,C44,C63,C82)</f>
        <v>0</v>
      </c>
      <c r="D87" s="1151">
        <f t="shared" ref="D87:M87" si="42">-SUM(D25,D44,D63,D82)</f>
        <v>0</v>
      </c>
      <c r="E87" s="1152">
        <f t="shared" si="42"/>
        <v>-58275.571463999993</v>
      </c>
      <c r="F87" s="1153">
        <f t="shared" si="42"/>
        <v>-59441.082893279992</v>
      </c>
      <c r="G87" s="1151">
        <f t="shared" si="42"/>
        <v>-60629.904551145599</v>
      </c>
      <c r="H87" s="1152">
        <f t="shared" si="42"/>
        <v>-100677.94869109479</v>
      </c>
      <c r="I87" s="1153">
        <f t="shared" si="42"/>
        <v>-102691.50766491669</v>
      </c>
      <c r="J87" s="1151">
        <f t="shared" si="42"/>
        <v>-104745.33781821499</v>
      </c>
      <c r="K87" s="1152">
        <f t="shared" si="42"/>
        <v>-106840.24457457932</v>
      </c>
      <c r="L87" s="1152">
        <f t="shared" si="42"/>
        <v>-108977.04946607089</v>
      </c>
      <c r="M87" s="1153">
        <f t="shared" si="42"/>
        <v>-191889.39627711347</v>
      </c>
    </row>
    <row r="88" spans="1:13" s="1190" customFormat="1" ht="14" thickBot="1" x14ac:dyDescent="0.2">
      <c r="A88" s="1053" t="s">
        <v>5</v>
      </c>
      <c r="B88" s="1154"/>
      <c r="C88" s="1155">
        <f>SUM(C84:C87)</f>
        <v>0</v>
      </c>
      <c r="D88" s="1156">
        <f t="shared" ref="D88:M88" si="43">SUM(D84:D87)</f>
        <v>0</v>
      </c>
      <c r="E88" s="1157">
        <f t="shared" si="43"/>
        <v>4509777.2884559995</v>
      </c>
      <c r="F88" s="1158">
        <f t="shared" si="43"/>
        <v>4599972.8342251182</v>
      </c>
      <c r="G88" s="1156">
        <f t="shared" si="43"/>
        <v>4691972.2909096219</v>
      </c>
      <c r="H88" s="1157">
        <f t="shared" si="43"/>
        <v>7791174.1583850449</v>
      </c>
      <c r="I88" s="1158">
        <f t="shared" si="43"/>
        <v>7946997.6415527454</v>
      </c>
      <c r="J88" s="1156">
        <f t="shared" si="43"/>
        <v>8105937.5943837995</v>
      </c>
      <c r="K88" s="1157">
        <f t="shared" si="43"/>
        <v>8268056.3462714748</v>
      </c>
      <c r="L88" s="1157">
        <f t="shared" si="43"/>
        <v>8433417.4731969032</v>
      </c>
      <c r="M88" s="1158">
        <f t="shared" si="43"/>
        <v>14849763.279638557</v>
      </c>
    </row>
    <row r="89" spans="1:13" s="1190" customFormat="1" ht="14" thickBot="1" x14ac:dyDescent="0.2">
      <c r="A89" s="1023" t="s">
        <v>2</v>
      </c>
      <c r="B89" s="1142"/>
      <c r="C89" s="1143"/>
      <c r="D89" s="1144"/>
      <c r="E89" s="1142"/>
      <c r="F89" s="1145"/>
      <c r="G89" s="1144"/>
      <c r="H89" s="1142"/>
      <c r="I89" s="1145"/>
      <c r="J89" s="1144"/>
      <c r="K89" s="1142"/>
      <c r="L89" s="1142"/>
      <c r="M89" s="1145"/>
    </row>
    <row r="90" spans="1:13" s="1190" customFormat="1" x14ac:dyDescent="0.15">
      <c r="A90" s="1011" t="s">
        <v>104</v>
      </c>
      <c r="B90" s="1038"/>
      <c r="C90" s="1134">
        <f>'Summary Board'!F104</f>
        <v>101.05752</v>
      </c>
      <c r="D90" s="1135">
        <f>$C$90*(1+$B$8)^D4</f>
        <v>103.07867039999999</v>
      </c>
      <c r="E90" s="1126">
        <f t="shared" ref="E90:M90" si="44">$C$90*(1+$B$8)^E4</f>
        <v>105.14024380799999</v>
      </c>
      <c r="F90" s="1127">
        <f t="shared" si="44"/>
        <v>107.24304868415999</v>
      </c>
      <c r="G90" s="1135">
        <f t="shared" si="44"/>
        <v>109.3879096578432</v>
      </c>
      <c r="H90" s="1126">
        <f t="shared" si="44"/>
        <v>111.57566785100006</v>
      </c>
      <c r="I90" s="1127">
        <f t="shared" si="44"/>
        <v>113.80718120802007</v>
      </c>
      <c r="J90" s="1135">
        <f t="shared" si="44"/>
        <v>116.08332483218044</v>
      </c>
      <c r="K90" s="1126">
        <f t="shared" si="44"/>
        <v>118.40499132882407</v>
      </c>
      <c r="L90" s="1126">
        <f t="shared" si="44"/>
        <v>120.77309115540055</v>
      </c>
      <c r="M90" s="1127">
        <f t="shared" si="44"/>
        <v>123.18855297850857</v>
      </c>
    </row>
    <row r="91" spans="1:13" s="1190" customFormat="1" x14ac:dyDescent="0.15">
      <c r="A91" s="1011" t="s">
        <v>13</v>
      </c>
      <c r="B91" s="1038"/>
      <c r="C91" s="1160">
        <f>C92/SUM($C$92:$M$92)</f>
        <v>0</v>
      </c>
      <c r="D91" s="1108">
        <f t="shared" ref="D91:M91" si="45">D92/SUM($C$92:$M$92)</f>
        <v>0.18700601264478439</v>
      </c>
      <c r="E91" s="1109">
        <f t="shared" si="45"/>
        <v>0.14485101377265647</v>
      </c>
      <c r="F91" s="1161">
        <f t="shared" si="45"/>
        <v>0</v>
      </c>
      <c r="G91" s="1108">
        <f t="shared" si="45"/>
        <v>0.10963010976001987</v>
      </c>
      <c r="H91" s="1109">
        <f t="shared" si="45"/>
        <v>0.11182271195522026</v>
      </c>
      <c r="I91" s="1161">
        <f t="shared" si="45"/>
        <v>0</v>
      </c>
      <c r="J91" s="1108">
        <f t="shared" si="45"/>
        <v>0.16162517384286623</v>
      </c>
      <c r="K91" s="1109">
        <f t="shared" si="45"/>
        <v>0.12939118857843712</v>
      </c>
      <c r="L91" s="1109">
        <f t="shared" si="45"/>
        <v>0.15567378944601568</v>
      </c>
      <c r="M91" s="1161">
        <f t="shared" si="45"/>
        <v>0</v>
      </c>
    </row>
    <row r="92" spans="1:13" s="1190" customFormat="1" x14ac:dyDescent="0.15">
      <c r="A92" s="1011" t="s">
        <v>2</v>
      </c>
      <c r="B92" s="1038"/>
      <c r="C92" s="1162">
        <f>'Development Schedule'!D85*C90</f>
        <v>0</v>
      </c>
      <c r="D92" s="1163">
        <f>'Development Schedule'!E85*D90</f>
        <v>5292986.6463695997</v>
      </c>
      <c r="E92" s="1147">
        <f>'Development Schedule'!F85*E90</f>
        <v>4099838.6670491518</v>
      </c>
      <c r="F92" s="1148">
        <f>'Development Schedule'!G85*F90</f>
        <v>0</v>
      </c>
      <c r="G92" s="1163">
        <f>'Development Schedule'!H85*G90</f>
        <v>3102952.1393092088</v>
      </c>
      <c r="H92" s="1147">
        <f>'Development Schedule'!I85*H90</f>
        <v>3165011.1820953931</v>
      </c>
      <c r="I92" s="1148">
        <f>'Development Schedule'!J85*I90</f>
        <v>0</v>
      </c>
      <c r="J92" s="1163">
        <f>'Development Schedule'!K85*J90</f>
        <v>4574611.6649865666</v>
      </c>
      <c r="K92" s="1147">
        <f>'Development Schedule'!L85*K90</f>
        <v>3662266.3818005286</v>
      </c>
      <c r="L92" s="1147">
        <f>'Development Schedule'!M85*L90</f>
        <v>4406164.6846224787</v>
      </c>
      <c r="M92" s="1148">
        <f>'Development Schedule'!N85*M90</f>
        <v>0</v>
      </c>
    </row>
    <row r="93" spans="1:13" s="1190" customFormat="1" x14ac:dyDescent="0.15">
      <c r="A93" s="1099" t="s">
        <v>14</v>
      </c>
      <c r="B93" s="1164"/>
      <c r="C93" s="1150"/>
      <c r="D93" s="1151"/>
      <c r="E93" s="1152"/>
      <c r="F93" s="1153"/>
      <c r="G93" s="1151"/>
      <c r="H93" s="1152"/>
      <c r="I93" s="1153"/>
      <c r="J93" s="1151"/>
      <c r="K93" s="1152"/>
      <c r="L93" s="1152"/>
      <c r="M93" s="1153"/>
    </row>
    <row r="94" spans="1:13" s="1190" customFormat="1" ht="14" thickBot="1" x14ac:dyDescent="0.2">
      <c r="A94" s="1100" t="s">
        <v>3</v>
      </c>
      <c r="B94" s="1154"/>
      <c r="C94" s="1156">
        <f>SUM(C92:C93)</f>
        <v>0</v>
      </c>
      <c r="D94" s="1156">
        <f t="shared" ref="D94:M94" si="46">SUM(D92:D93)</f>
        <v>5292986.6463695997</v>
      </c>
      <c r="E94" s="1157">
        <f t="shared" si="46"/>
        <v>4099838.6670491518</v>
      </c>
      <c r="F94" s="1158">
        <f t="shared" si="46"/>
        <v>0</v>
      </c>
      <c r="G94" s="1156">
        <f t="shared" si="46"/>
        <v>3102952.1393092088</v>
      </c>
      <c r="H94" s="1157">
        <f t="shared" si="46"/>
        <v>3165011.1820953931</v>
      </c>
      <c r="I94" s="1158">
        <f t="shared" si="46"/>
        <v>0</v>
      </c>
      <c r="J94" s="1156">
        <f t="shared" si="46"/>
        <v>4574611.6649865666</v>
      </c>
      <c r="K94" s="1157">
        <f t="shared" si="46"/>
        <v>3662266.3818005286</v>
      </c>
      <c r="L94" s="1157">
        <f t="shared" si="46"/>
        <v>4406164.6846224787</v>
      </c>
      <c r="M94" s="1158">
        <f t="shared" si="46"/>
        <v>0</v>
      </c>
    </row>
    <row r="95" spans="1:13" s="1190" customFormat="1" ht="14" thickBot="1" x14ac:dyDescent="0.2">
      <c r="A95" s="1023" t="s">
        <v>4</v>
      </c>
      <c r="B95" s="1142"/>
      <c r="C95" s="1143"/>
      <c r="D95" s="1144"/>
      <c r="E95" s="1142"/>
      <c r="F95" s="1145"/>
      <c r="G95" s="1144"/>
      <c r="H95" s="1142"/>
      <c r="I95" s="1145"/>
      <c r="J95" s="1144"/>
      <c r="K95" s="1142"/>
      <c r="L95" s="1142"/>
      <c r="M95" s="1145"/>
    </row>
    <row r="96" spans="1:13" s="1190" customFormat="1" x14ac:dyDescent="0.15">
      <c r="A96" s="1011" t="s">
        <v>5</v>
      </c>
      <c r="B96" s="1038"/>
      <c r="C96" s="1162">
        <f>C88</f>
        <v>0</v>
      </c>
      <c r="D96" s="1163">
        <f t="shared" ref="D96:M96" si="47">D88</f>
        <v>0</v>
      </c>
      <c r="E96" s="1147">
        <f t="shared" si="47"/>
        <v>4509777.2884559995</v>
      </c>
      <c r="F96" s="1148">
        <f t="shared" si="47"/>
        <v>4599972.8342251182</v>
      </c>
      <c r="G96" s="1163">
        <f t="shared" si="47"/>
        <v>4691972.2909096219</v>
      </c>
      <c r="H96" s="1147">
        <f t="shared" si="47"/>
        <v>7791174.1583850449</v>
      </c>
      <c r="I96" s="1148">
        <f t="shared" si="47"/>
        <v>7946997.6415527454</v>
      </c>
      <c r="J96" s="1163">
        <f t="shared" si="47"/>
        <v>8105937.5943837995</v>
      </c>
      <c r="K96" s="1147">
        <f t="shared" si="47"/>
        <v>8268056.3462714748</v>
      </c>
      <c r="L96" s="1147">
        <f t="shared" si="47"/>
        <v>8433417.4731969032</v>
      </c>
      <c r="M96" s="1148">
        <f t="shared" si="47"/>
        <v>14849763.279638557</v>
      </c>
    </row>
    <row r="97" spans="1:13" s="1190" customFormat="1" x14ac:dyDescent="0.15">
      <c r="A97" s="1011" t="s">
        <v>60</v>
      </c>
      <c r="B97" s="1106">
        <f>D113</f>
        <v>0.1</v>
      </c>
      <c r="C97" s="1168">
        <v>0</v>
      </c>
      <c r="D97" s="1169">
        <f>C97</f>
        <v>0</v>
      </c>
      <c r="E97" s="1170">
        <f t="shared" ref="E97:L98" si="48">D97</f>
        <v>0</v>
      </c>
      <c r="F97" s="1171">
        <f t="shared" si="48"/>
        <v>0</v>
      </c>
      <c r="G97" s="1169">
        <f t="shared" si="48"/>
        <v>0</v>
      </c>
      <c r="H97" s="1170">
        <f t="shared" si="48"/>
        <v>0</v>
      </c>
      <c r="I97" s="1171">
        <f t="shared" si="48"/>
        <v>0</v>
      </c>
      <c r="J97" s="1169">
        <f t="shared" si="48"/>
        <v>0</v>
      </c>
      <c r="K97" s="1170">
        <f t="shared" si="48"/>
        <v>0</v>
      </c>
      <c r="L97" s="1170">
        <f t="shared" si="48"/>
        <v>0</v>
      </c>
      <c r="M97" s="1301">
        <f>M96/B97</f>
        <v>148497632.79638556</v>
      </c>
    </row>
    <row r="98" spans="1:13" s="1190" customFormat="1" x14ac:dyDescent="0.15">
      <c r="A98" s="1011" t="s">
        <v>61</v>
      </c>
      <c r="B98" s="1106">
        <f>D114</f>
        <v>0.03</v>
      </c>
      <c r="C98" s="1168">
        <v>0</v>
      </c>
      <c r="D98" s="1169">
        <f>C98</f>
        <v>0</v>
      </c>
      <c r="E98" s="1170">
        <f t="shared" si="48"/>
        <v>0</v>
      </c>
      <c r="F98" s="1171">
        <f t="shared" si="48"/>
        <v>0</v>
      </c>
      <c r="G98" s="1169">
        <f t="shared" si="48"/>
        <v>0</v>
      </c>
      <c r="H98" s="1170">
        <f t="shared" si="48"/>
        <v>0</v>
      </c>
      <c r="I98" s="1171">
        <f t="shared" si="48"/>
        <v>0</v>
      </c>
      <c r="J98" s="1169">
        <f t="shared" si="48"/>
        <v>0</v>
      </c>
      <c r="K98" s="1170">
        <f t="shared" si="48"/>
        <v>0</v>
      </c>
      <c r="L98" s="1170">
        <f t="shared" si="48"/>
        <v>0</v>
      </c>
      <c r="M98" s="1171">
        <f>M97*-B98</f>
        <v>-4454928.9838915663</v>
      </c>
    </row>
    <row r="99" spans="1:13" s="1190" customFormat="1" x14ac:dyDescent="0.15">
      <c r="A99" s="1099" t="s">
        <v>105</v>
      </c>
      <c r="B99" s="1224"/>
      <c r="C99" s="1150">
        <f>-C94</f>
        <v>0</v>
      </c>
      <c r="D99" s="1151">
        <f t="shared" ref="D99:M99" si="49">-D94</f>
        <v>-5292986.6463695997</v>
      </c>
      <c r="E99" s="1152">
        <f t="shared" si="49"/>
        <v>-4099838.6670491518</v>
      </c>
      <c r="F99" s="1153">
        <f t="shared" si="49"/>
        <v>0</v>
      </c>
      <c r="G99" s="1151">
        <f t="shared" si="49"/>
        <v>-3102952.1393092088</v>
      </c>
      <c r="H99" s="1152">
        <f t="shared" si="49"/>
        <v>-3165011.1820953931</v>
      </c>
      <c r="I99" s="1153">
        <f t="shared" si="49"/>
        <v>0</v>
      </c>
      <c r="J99" s="1151">
        <f t="shared" si="49"/>
        <v>-4574611.6649865666</v>
      </c>
      <c r="K99" s="1152">
        <f t="shared" si="49"/>
        <v>-3662266.3818005286</v>
      </c>
      <c r="L99" s="1152">
        <f t="shared" si="49"/>
        <v>-4406164.6846224787</v>
      </c>
      <c r="M99" s="1153">
        <f t="shared" si="49"/>
        <v>0</v>
      </c>
    </row>
    <row r="100" spans="1:13" s="1190" customFormat="1" ht="14" thickBot="1" x14ac:dyDescent="0.2">
      <c r="A100" s="1100" t="s">
        <v>6</v>
      </c>
      <c r="B100" s="1225"/>
      <c r="C100" s="1155">
        <f>SUM(C96:C99)</f>
        <v>0</v>
      </c>
      <c r="D100" s="1156">
        <f t="shared" ref="D100:M100" si="50">SUM(D96:D99)</f>
        <v>-5292986.6463695997</v>
      </c>
      <c r="E100" s="1157">
        <f t="shared" si="50"/>
        <v>409938.62140684761</v>
      </c>
      <c r="F100" s="1158">
        <f t="shared" si="50"/>
        <v>4599972.8342251182</v>
      </c>
      <c r="G100" s="1156">
        <f t="shared" si="50"/>
        <v>1589020.151600413</v>
      </c>
      <c r="H100" s="1157">
        <f t="shared" si="50"/>
        <v>4626162.9762896523</v>
      </c>
      <c r="I100" s="1158">
        <f t="shared" si="50"/>
        <v>7946997.6415527454</v>
      </c>
      <c r="J100" s="1156">
        <f t="shared" si="50"/>
        <v>3531325.9293972328</v>
      </c>
      <c r="K100" s="1157">
        <f t="shared" si="50"/>
        <v>4605789.9644709462</v>
      </c>
      <c r="L100" s="1157">
        <f t="shared" si="50"/>
        <v>4027252.7885744246</v>
      </c>
      <c r="M100" s="1158">
        <f t="shared" si="50"/>
        <v>158892467.09213254</v>
      </c>
    </row>
    <row r="101" spans="1:13" s="1190" customFormat="1" ht="14" thickBot="1" x14ac:dyDescent="0.2">
      <c r="A101" s="988" t="s">
        <v>27</v>
      </c>
      <c r="B101" s="1172"/>
      <c r="C101" s="1275">
        <f>C100+NPV(D113,D100:M100)</f>
        <v>74355328.575613767</v>
      </c>
      <c r="D101" s="1199"/>
      <c r="E101" s="1197"/>
      <c r="F101" s="1200"/>
      <c r="G101" s="1199"/>
      <c r="H101" s="1197"/>
      <c r="I101" s="1200"/>
      <c r="J101" s="1038"/>
      <c r="K101" s="1038"/>
      <c r="L101" s="1038"/>
      <c r="M101" s="1113"/>
    </row>
    <row r="102" spans="1:13" ht="14" thickBot="1" x14ac:dyDescent="0.2">
      <c r="A102" s="989" t="s">
        <v>62</v>
      </c>
      <c r="B102" s="1176"/>
      <c r="C102" s="1177">
        <f>IRR(C100:M100,1)</f>
        <v>0.67501747774872589</v>
      </c>
      <c r="D102" s="1178"/>
      <c r="E102" s="1176"/>
      <c r="F102" s="1179"/>
      <c r="G102" s="1178"/>
      <c r="H102" s="1176"/>
      <c r="I102" s="1179"/>
      <c r="J102" s="1176"/>
      <c r="K102" s="1176"/>
      <c r="L102" s="1176"/>
      <c r="M102" s="1179"/>
    </row>
    <row r="103" spans="1:13" ht="14" thickBot="1" x14ac:dyDescent="0.2">
      <c r="A103" s="989"/>
      <c r="B103" s="1052"/>
      <c r="C103" s="1278"/>
      <c r="D103" s="1052"/>
      <c r="E103" s="532"/>
      <c r="F103" s="532"/>
      <c r="G103" s="532"/>
      <c r="H103" s="532"/>
      <c r="I103" s="532"/>
      <c r="J103" s="532"/>
      <c r="K103" s="532"/>
      <c r="L103" s="532"/>
      <c r="M103" s="532"/>
    </row>
    <row r="104" spans="1:13" ht="14" thickBot="1" x14ac:dyDescent="0.2">
      <c r="A104" s="1478" t="s">
        <v>99</v>
      </c>
      <c r="B104" s="1474"/>
      <c r="C104" s="1474"/>
      <c r="D104" s="1479"/>
      <c r="E104" s="1190"/>
      <c r="F104" s="1190"/>
      <c r="G104" s="1190"/>
      <c r="H104" s="1190"/>
      <c r="I104" s="1190"/>
      <c r="J104" s="1190"/>
      <c r="K104" s="1190"/>
      <c r="L104" s="1190"/>
      <c r="M104" s="1190"/>
    </row>
    <row r="105" spans="1:13" ht="14" thickBot="1" x14ac:dyDescent="0.2">
      <c r="A105" s="1056"/>
      <c r="B105" s="1052"/>
      <c r="C105" s="1102" t="s">
        <v>171</v>
      </c>
      <c r="D105" s="1103" t="s">
        <v>98</v>
      </c>
      <c r="E105" s="1190"/>
      <c r="F105" s="1190"/>
      <c r="G105" s="1190"/>
      <c r="H105" s="1190"/>
      <c r="I105" s="1190"/>
      <c r="J105" s="1190"/>
      <c r="K105" s="1190"/>
      <c r="L105" s="1190"/>
      <c r="M105" s="1190"/>
    </row>
    <row r="106" spans="1:13" x14ac:dyDescent="0.15">
      <c r="A106" s="941" t="s">
        <v>420</v>
      </c>
      <c r="B106" s="532"/>
      <c r="C106" s="1079">
        <f>D106/$D$112</f>
        <v>301.14333333333332</v>
      </c>
      <c r="D106" s="1188">
        <f>SUM('Development Schedule'!E85:G85)</f>
        <v>90343</v>
      </c>
      <c r="E106" s="1190"/>
      <c r="F106" s="1190"/>
      <c r="G106" s="1190"/>
      <c r="H106" s="1190"/>
      <c r="I106" s="1190"/>
      <c r="J106" s="1190"/>
      <c r="K106" s="1190"/>
      <c r="L106" s="1190"/>
      <c r="M106" s="1190"/>
    </row>
    <row r="107" spans="1:13" x14ac:dyDescent="0.15">
      <c r="A107" s="941" t="s">
        <v>79</v>
      </c>
      <c r="B107" s="532"/>
      <c r="C107" s="1079">
        <f>D107/$D$112</f>
        <v>189.11</v>
      </c>
      <c r="D107" s="1083">
        <f>SUM('Development Schedule'!H85:J85)</f>
        <v>56733</v>
      </c>
      <c r="E107" s="1190"/>
      <c r="F107" s="1190"/>
      <c r="G107" s="1190"/>
      <c r="H107" s="1190"/>
      <c r="I107" s="1190"/>
      <c r="J107" s="1190"/>
      <c r="K107" s="1190"/>
      <c r="L107" s="1190"/>
      <c r="M107" s="1190"/>
    </row>
    <row r="108" spans="1:13" hidden="1" x14ac:dyDescent="0.15">
      <c r="A108" s="941"/>
      <c r="B108" s="532"/>
      <c r="C108" s="1079"/>
      <c r="D108" s="1083"/>
      <c r="E108" s="1190"/>
      <c r="F108" s="1190"/>
      <c r="G108" s="1190"/>
      <c r="H108" s="1190"/>
      <c r="I108" s="1190"/>
      <c r="J108" s="1190"/>
      <c r="K108" s="1190"/>
      <c r="L108" s="1190"/>
      <c r="M108" s="1190"/>
    </row>
    <row r="109" spans="1:13" ht="14" thickBot="1" x14ac:dyDescent="0.2">
      <c r="A109" s="947" t="s">
        <v>80</v>
      </c>
      <c r="B109" s="1062"/>
      <c r="C109" s="1291">
        <f>D109/$D$112</f>
        <v>356.07</v>
      </c>
      <c r="D109" s="1186">
        <f>SUM('Development Schedule'!K85:N85)</f>
        <v>106821</v>
      </c>
      <c r="E109" s="1190"/>
      <c r="F109" s="1190"/>
      <c r="G109" s="1190"/>
      <c r="H109" s="1190"/>
      <c r="I109" s="1190"/>
      <c r="J109" s="1190"/>
      <c r="K109" s="1190"/>
      <c r="L109" s="1190"/>
      <c r="M109" s="1190"/>
    </row>
    <row r="110" spans="1:13" ht="14" thickBot="1" x14ac:dyDescent="0.2">
      <c r="A110" s="882"/>
      <c r="B110" s="883"/>
      <c r="C110" s="883"/>
      <c r="D110" s="882"/>
      <c r="E110" s="1190"/>
      <c r="F110" s="1190"/>
      <c r="G110" s="1190"/>
      <c r="H110" s="1190"/>
      <c r="I110" s="1190"/>
      <c r="J110" s="1190"/>
      <c r="K110" s="1190"/>
      <c r="L110" s="1190"/>
      <c r="M110" s="1190"/>
    </row>
    <row r="111" spans="1:13" ht="14" thickBot="1" x14ac:dyDescent="0.2">
      <c r="A111" s="1478" t="s">
        <v>106</v>
      </c>
      <c r="B111" s="1480"/>
      <c r="C111" s="1480"/>
      <c r="D111" s="1481"/>
      <c r="E111" s="1190"/>
      <c r="F111" s="1190"/>
      <c r="G111" s="1190"/>
      <c r="H111" s="1190"/>
      <c r="I111" s="1190"/>
      <c r="J111" s="1190"/>
      <c r="K111" s="1190"/>
      <c r="L111" s="1190"/>
      <c r="M111" s="1190"/>
    </row>
    <row r="112" spans="1:13" x14ac:dyDescent="0.15">
      <c r="A112" s="941" t="s">
        <v>172</v>
      </c>
      <c r="B112" s="532"/>
      <c r="C112" s="532"/>
      <c r="D112" s="1292">
        <v>300</v>
      </c>
      <c r="E112" s="1190"/>
      <c r="F112" s="1293"/>
      <c r="G112" s="1190"/>
      <c r="H112" s="1190"/>
      <c r="I112" s="1190"/>
      <c r="J112" s="1190"/>
      <c r="K112" s="1190"/>
      <c r="L112" s="1190"/>
      <c r="M112" s="1190"/>
    </row>
    <row r="113" spans="1:13" x14ac:dyDescent="0.15">
      <c r="A113" s="941" t="s">
        <v>107</v>
      </c>
      <c r="B113" s="532"/>
      <c r="C113" s="532"/>
      <c r="D113" s="1294">
        <f>'Summary Board'!K126</f>
        <v>0.1</v>
      </c>
      <c r="E113" s="1190"/>
      <c r="F113" s="1190"/>
      <c r="G113" s="1190"/>
      <c r="H113" s="1190"/>
      <c r="I113" s="1190"/>
      <c r="J113" s="1190"/>
      <c r="K113" s="1190"/>
      <c r="L113" s="1190"/>
      <c r="M113" s="1190"/>
    </row>
    <row r="114" spans="1:13" x14ac:dyDescent="0.15">
      <c r="A114" s="941" t="s">
        <v>108</v>
      </c>
      <c r="B114" s="532"/>
      <c r="C114" s="532"/>
      <c r="D114" s="1243">
        <v>0.03</v>
      </c>
      <c r="E114" s="1190"/>
      <c r="F114" s="1190"/>
      <c r="G114" s="1190"/>
      <c r="H114" s="1190"/>
      <c r="I114" s="1190"/>
      <c r="J114" s="1190"/>
      <c r="K114" s="1190"/>
      <c r="L114" s="1190"/>
      <c r="M114" s="1190"/>
    </row>
    <row r="115" spans="1:13" ht="14" thickBot="1" x14ac:dyDescent="0.2">
      <c r="A115" s="947" t="s">
        <v>95</v>
      </c>
      <c r="B115" s="1062"/>
      <c r="C115" s="1062"/>
      <c r="D115" s="1063">
        <v>0.09</v>
      </c>
      <c r="E115" s="1190"/>
      <c r="F115" s="1190"/>
      <c r="G115" s="1190"/>
      <c r="H115" s="1190"/>
      <c r="I115" s="1190"/>
      <c r="J115" s="1190"/>
      <c r="K115" s="1190"/>
      <c r="L115" s="1190"/>
      <c r="M115" s="1190"/>
    </row>
    <row r="116" spans="1:13" x14ac:dyDescent="0.15">
      <c r="A116" s="1190"/>
      <c r="B116" s="1191"/>
      <c r="C116" s="1191"/>
      <c r="D116" s="1190"/>
      <c r="E116" s="1190"/>
      <c r="F116" s="1190"/>
      <c r="G116" s="1190"/>
      <c r="H116" s="1190"/>
      <c r="I116" s="1190"/>
      <c r="J116" s="1190"/>
      <c r="K116" s="1190"/>
      <c r="L116" s="1190"/>
      <c r="M116" s="1190"/>
    </row>
    <row r="117" spans="1:13" x14ac:dyDescent="0.15">
      <c r="A117" s="1190"/>
    </row>
  </sheetData>
  <phoneticPr fontId="3" type="noConversion"/>
  <printOptions horizontalCentered="1"/>
  <pageMargins left="0.5" right="0.5" top="1" bottom="0.5" header="0.5" footer="0.5"/>
  <pageSetup scale="59" orientation="landscape" r:id="rId1"/>
  <headerFooter alignWithMargins="0">
    <oddHeader>&amp;L&amp;"Arial,Bold"8. Income Statement: Structured Parking</oddHeader>
  </headerFooter>
  <rowBreaks count="1" manualBreakCount="1">
    <brk id="59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O93"/>
  <sheetViews>
    <sheetView view="pageBreakPreview" topLeftCell="A54" zoomScaleSheetLayoutView="70" workbookViewId="0">
      <selection activeCell="G94" sqref="G94"/>
    </sheetView>
  </sheetViews>
  <sheetFormatPr baseColWidth="10" defaultColWidth="9.1640625" defaultRowHeight="13" outlineLevelRow="1" x14ac:dyDescent="0.15"/>
  <cols>
    <col min="1" max="1" width="23.1640625" style="1192" customWidth="1"/>
    <col min="2" max="2" width="12.6640625" style="1196" customWidth="1"/>
    <col min="3" max="3" width="13.6640625" style="1196" customWidth="1"/>
    <col min="4" max="4" width="13.6640625" style="1192" customWidth="1"/>
    <col min="5" max="5" width="16.5" style="1192" bestFit="1" customWidth="1"/>
    <col min="6" max="7" width="15.5" style="1192" bestFit="1" customWidth="1"/>
    <col min="8" max="13" width="13.6640625" style="1192" customWidth="1"/>
    <col min="14" max="16384" width="9.1640625" style="1192"/>
  </cols>
  <sheetData>
    <row r="1" spans="1:15" ht="14" customHeight="1" thickBot="1" x14ac:dyDescent="0.2">
      <c r="A1" s="998"/>
      <c r="B1" s="999"/>
      <c r="C1" s="999"/>
      <c r="D1" s="882"/>
      <c r="E1" s="882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15" ht="14" customHeight="1" thickBot="1" x14ac:dyDescent="0.2">
      <c r="A2" s="998"/>
      <c r="B2" s="999"/>
      <c r="C2" s="999"/>
      <c r="D2" s="882"/>
      <c r="E2" s="882"/>
      <c r="F2" s="882"/>
      <c r="G2" s="882"/>
      <c r="H2" s="882"/>
      <c r="I2" s="882"/>
      <c r="J2" s="882"/>
      <c r="K2" s="882"/>
      <c r="L2" s="1234"/>
      <c r="M2" s="1235"/>
    </row>
    <row r="3" spans="1:15" ht="14" customHeight="1" thickBot="1" x14ac:dyDescent="0.2">
      <c r="A3" s="933"/>
      <c r="B3" s="1065"/>
      <c r="C3" s="1004" t="s">
        <v>58</v>
      </c>
      <c r="D3" s="935" t="s">
        <v>37</v>
      </c>
      <c r="E3" s="936"/>
      <c r="F3" s="937"/>
      <c r="G3" s="935" t="s">
        <v>79</v>
      </c>
      <c r="H3" s="938"/>
      <c r="I3" s="937"/>
      <c r="J3" s="935" t="s">
        <v>80</v>
      </c>
      <c r="K3" s="939"/>
      <c r="L3" s="936"/>
      <c r="M3" s="937"/>
      <c r="N3" s="1284"/>
      <c r="O3" s="1284"/>
    </row>
    <row r="4" spans="1:15" ht="14" customHeight="1" thickBot="1" x14ac:dyDescent="0.2">
      <c r="A4" s="941"/>
      <c r="B4" s="532"/>
      <c r="C4" s="1004">
        <v>0</v>
      </c>
      <c r="D4" s="934">
        <f>C4+1</f>
        <v>1</v>
      </c>
      <c r="E4" s="1276">
        <f t="shared" ref="E4:M5" si="0">D4+1</f>
        <v>2</v>
      </c>
      <c r="F4" s="1277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2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  <c r="N4" s="1284"/>
      <c r="O4" s="1284"/>
    </row>
    <row r="5" spans="1:15" ht="14" customHeight="1" thickBot="1" x14ac:dyDescent="0.2">
      <c r="A5" s="947"/>
      <c r="B5" s="945"/>
      <c r="C5" s="1004" t="s">
        <v>362</v>
      </c>
      <c r="D5" s="942">
        <v>2020</v>
      </c>
      <c r="E5" s="943">
        <f>D5+1</f>
        <v>2021</v>
      </c>
      <c r="F5" s="944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2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  <c r="N5" s="1284"/>
      <c r="O5" s="1284"/>
    </row>
    <row r="6" spans="1:15" ht="14" thickBot="1" x14ac:dyDescent="0.2">
      <c r="A6" s="1023" t="s">
        <v>10</v>
      </c>
      <c r="B6" s="1066"/>
      <c r="C6" s="1067"/>
      <c r="D6" s="1068"/>
      <c r="E6" s="1069"/>
      <c r="F6" s="1069"/>
      <c r="G6" s="1068"/>
      <c r="H6" s="1069"/>
      <c r="I6" s="1070"/>
      <c r="J6" s="1068"/>
      <c r="K6" s="1069"/>
      <c r="L6" s="1069"/>
      <c r="M6" s="1070"/>
    </row>
    <row r="7" spans="1:15" s="1190" customFormat="1" x14ac:dyDescent="0.15">
      <c r="A7" s="1071" t="s">
        <v>37</v>
      </c>
      <c r="B7" s="1038"/>
      <c r="C7" s="1037"/>
      <c r="D7" s="1199"/>
      <c r="E7" s="1197"/>
      <c r="F7" s="1197"/>
      <c r="G7" s="1037"/>
      <c r="H7" s="1038"/>
      <c r="I7" s="1113"/>
      <c r="J7" s="1037"/>
      <c r="K7" s="1038"/>
      <c r="L7" s="1038"/>
      <c r="M7" s="1113"/>
    </row>
    <row r="8" spans="1:15" x14ac:dyDescent="0.15">
      <c r="A8" s="941" t="s">
        <v>11</v>
      </c>
      <c r="B8" s="1201">
        <v>0.02</v>
      </c>
      <c r="C8" s="1244"/>
      <c r="D8" s="1037"/>
      <c r="E8" s="1038"/>
      <c r="F8" s="1038"/>
      <c r="G8" s="1037"/>
      <c r="H8" s="1038"/>
      <c r="I8" s="1113"/>
      <c r="J8" s="1037"/>
      <c r="K8" s="1038"/>
      <c r="L8" s="1038"/>
      <c r="M8" s="1113"/>
    </row>
    <row r="9" spans="1:15" x14ac:dyDescent="0.15">
      <c r="A9" s="941" t="s">
        <v>28</v>
      </c>
      <c r="B9" s="1038"/>
      <c r="C9" s="1123">
        <v>0</v>
      </c>
      <c r="D9" s="1123">
        <v>0</v>
      </c>
      <c r="E9" s="1121">
        <v>0</v>
      </c>
      <c r="F9" s="1121">
        <f>C83</f>
        <v>47.983333333333334</v>
      </c>
      <c r="G9" s="1123">
        <f t="shared" ref="G9:M9" si="1">F9</f>
        <v>47.983333333333334</v>
      </c>
      <c r="H9" s="1121">
        <f t="shared" si="1"/>
        <v>47.983333333333334</v>
      </c>
      <c r="I9" s="1124">
        <f t="shared" si="1"/>
        <v>47.983333333333334</v>
      </c>
      <c r="J9" s="1123">
        <f t="shared" si="1"/>
        <v>47.983333333333334</v>
      </c>
      <c r="K9" s="1121">
        <f t="shared" si="1"/>
        <v>47.983333333333334</v>
      </c>
      <c r="L9" s="1121">
        <f t="shared" si="1"/>
        <v>47.983333333333334</v>
      </c>
      <c r="M9" s="1124">
        <f t="shared" si="1"/>
        <v>47.983333333333334</v>
      </c>
    </row>
    <row r="10" spans="1:15" x14ac:dyDescent="0.15">
      <c r="A10" s="941" t="s">
        <v>83</v>
      </c>
      <c r="B10" s="1038"/>
      <c r="C10" s="1123">
        <v>0</v>
      </c>
      <c r="D10" s="1123">
        <f>D83</f>
        <v>14395</v>
      </c>
      <c r="E10" s="1121">
        <f>D10</f>
        <v>14395</v>
      </c>
      <c r="F10" s="1121">
        <f t="shared" ref="F10:M10" si="2">E10</f>
        <v>14395</v>
      </c>
      <c r="G10" s="1123">
        <f t="shared" si="2"/>
        <v>14395</v>
      </c>
      <c r="H10" s="1121">
        <f t="shared" si="2"/>
        <v>14395</v>
      </c>
      <c r="I10" s="1124">
        <f t="shared" si="2"/>
        <v>14395</v>
      </c>
      <c r="J10" s="1123">
        <f t="shared" si="2"/>
        <v>14395</v>
      </c>
      <c r="K10" s="1121">
        <f t="shared" si="2"/>
        <v>14395</v>
      </c>
      <c r="L10" s="1121">
        <f t="shared" si="2"/>
        <v>14395</v>
      </c>
      <c r="M10" s="1124">
        <f t="shared" si="2"/>
        <v>14395</v>
      </c>
    </row>
    <row r="11" spans="1:15" x14ac:dyDescent="0.15">
      <c r="A11" s="1011" t="s">
        <v>19</v>
      </c>
      <c r="B11" s="1038"/>
      <c r="C11" s="1135">
        <v>200</v>
      </c>
      <c r="D11" s="1135">
        <f>$C$11*(1+$B8)^D$4</f>
        <v>204</v>
      </c>
      <c r="E11" s="1126">
        <f t="shared" ref="E11:M11" si="3">$C$11*(1+$B8)^E$4</f>
        <v>208.07999999999998</v>
      </c>
      <c r="F11" s="1126">
        <f t="shared" si="3"/>
        <v>212.24159999999998</v>
      </c>
      <c r="G11" s="1135">
        <f t="shared" si="3"/>
        <v>216.48643200000001</v>
      </c>
      <c r="H11" s="1126">
        <f t="shared" si="3"/>
        <v>220.81616063999999</v>
      </c>
      <c r="I11" s="1127">
        <f t="shared" si="3"/>
        <v>225.23248385280002</v>
      </c>
      <c r="J11" s="1135">
        <f t="shared" si="3"/>
        <v>229.73713352985595</v>
      </c>
      <c r="K11" s="1126">
        <f t="shared" si="3"/>
        <v>234.33187620045311</v>
      </c>
      <c r="L11" s="1126">
        <f t="shared" si="3"/>
        <v>239.01851372446217</v>
      </c>
      <c r="M11" s="1127">
        <f t="shared" si="3"/>
        <v>243.79888399895142</v>
      </c>
    </row>
    <row r="12" spans="1:15" x14ac:dyDescent="0.15">
      <c r="A12" s="1011" t="s">
        <v>20</v>
      </c>
      <c r="B12" s="1038"/>
      <c r="C12" s="1111">
        <v>0.6</v>
      </c>
      <c r="D12" s="1111"/>
      <c r="E12" s="1106"/>
      <c r="F12" s="1106"/>
      <c r="G12" s="1111"/>
      <c r="H12" s="1106"/>
      <c r="I12" s="1110"/>
      <c r="J12" s="1111"/>
      <c r="K12" s="1106"/>
      <c r="L12" s="1106"/>
      <c r="M12" s="1110"/>
    </row>
    <row r="13" spans="1:15" x14ac:dyDescent="0.15">
      <c r="A13" s="1011" t="s">
        <v>21</v>
      </c>
      <c r="B13" s="1038"/>
      <c r="C13" s="1111">
        <v>0.6</v>
      </c>
      <c r="D13" s="1111"/>
      <c r="E13" s="1106"/>
      <c r="F13" s="1106"/>
      <c r="G13" s="1111"/>
      <c r="H13" s="1106"/>
      <c r="I13" s="1110"/>
      <c r="J13" s="1111"/>
      <c r="K13" s="1106"/>
      <c r="L13" s="1106"/>
      <c r="M13" s="1110"/>
    </row>
    <row r="14" spans="1:15" x14ac:dyDescent="0.15">
      <c r="A14" s="1011" t="s">
        <v>22</v>
      </c>
      <c r="B14" s="1038"/>
      <c r="C14" s="1037">
        <f>365-C17</f>
        <v>113</v>
      </c>
      <c r="D14" s="1037"/>
      <c r="E14" s="1038"/>
      <c r="F14" s="1038"/>
      <c r="G14" s="1037"/>
      <c r="H14" s="1038"/>
      <c r="I14" s="1113"/>
      <c r="J14" s="1037"/>
      <c r="K14" s="1038"/>
      <c r="L14" s="1038"/>
      <c r="M14" s="1113"/>
    </row>
    <row r="15" spans="1:15" x14ac:dyDescent="0.15">
      <c r="A15" s="1011" t="s">
        <v>23</v>
      </c>
      <c r="B15" s="1038"/>
      <c r="C15" s="1037">
        <v>24</v>
      </c>
      <c r="D15" s="1037"/>
      <c r="E15" s="1038"/>
      <c r="F15" s="1038"/>
      <c r="G15" s="1037"/>
      <c r="H15" s="1038"/>
      <c r="I15" s="1113"/>
      <c r="J15" s="1037"/>
      <c r="K15" s="1038"/>
      <c r="L15" s="1038"/>
      <c r="M15" s="1113"/>
    </row>
    <row r="16" spans="1:15" x14ac:dyDescent="0.15">
      <c r="A16" s="1011" t="s">
        <v>24</v>
      </c>
      <c r="B16" s="1038"/>
      <c r="C16" s="1111">
        <v>0.75</v>
      </c>
      <c r="D16" s="1111"/>
      <c r="E16" s="1106"/>
      <c r="F16" s="1106"/>
      <c r="G16" s="1111"/>
      <c r="H16" s="1106"/>
      <c r="I16" s="1110"/>
      <c r="J16" s="1111"/>
      <c r="K16" s="1106"/>
      <c r="L16" s="1106"/>
      <c r="M16" s="1110"/>
    </row>
    <row r="17" spans="1:13" x14ac:dyDescent="0.15">
      <c r="A17" s="1011" t="s">
        <v>25</v>
      </c>
      <c r="B17" s="1038"/>
      <c r="C17" s="1037">
        <v>252</v>
      </c>
      <c r="D17" s="1037"/>
      <c r="E17" s="1038"/>
      <c r="F17" s="1038"/>
      <c r="G17" s="1037"/>
      <c r="H17" s="1038"/>
      <c r="I17" s="1113"/>
      <c r="J17" s="1037"/>
      <c r="K17" s="1038"/>
      <c r="L17" s="1038"/>
      <c r="M17" s="1113"/>
    </row>
    <row r="18" spans="1:13" x14ac:dyDescent="0.15">
      <c r="A18" s="1011" t="s">
        <v>23</v>
      </c>
      <c r="B18" s="1038"/>
      <c r="C18" s="1037">
        <v>24</v>
      </c>
      <c r="D18" s="1037"/>
      <c r="E18" s="1038"/>
      <c r="F18" s="1038"/>
      <c r="G18" s="1037"/>
      <c r="H18" s="1038"/>
      <c r="I18" s="1113"/>
      <c r="J18" s="1037"/>
      <c r="K18" s="1038"/>
      <c r="L18" s="1038"/>
      <c r="M18" s="1113"/>
    </row>
    <row r="19" spans="1:13" x14ac:dyDescent="0.15">
      <c r="A19" s="1011" t="s">
        <v>24</v>
      </c>
      <c r="B19" s="1038"/>
      <c r="C19" s="1111">
        <v>0.75</v>
      </c>
      <c r="D19" s="1111"/>
      <c r="E19" s="1106"/>
      <c r="F19" s="1106"/>
      <c r="G19" s="1111"/>
      <c r="H19" s="1106"/>
      <c r="I19" s="1110"/>
      <c r="J19" s="1111"/>
      <c r="K19" s="1106"/>
      <c r="L19" s="1106"/>
      <c r="M19" s="1110"/>
    </row>
    <row r="20" spans="1:13" s="1286" customFormat="1" x14ac:dyDescent="0.15">
      <c r="A20" s="1011" t="s">
        <v>26</v>
      </c>
      <c r="B20" s="1038"/>
      <c r="C20" s="1135">
        <v>1</v>
      </c>
      <c r="D20" s="1135">
        <f t="shared" ref="D20:M20" si="4">$C$20*(1+$B8)^D$4</f>
        <v>1.02</v>
      </c>
      <c r="E20" s="1126">
        <f t="shared" si="4"/>
        <v>1.0404</v>
      </c>
      <c r="F20" s="1126">
        <f t="shared" si="4"/>
        <v>1.0612079999999999</v>
      </c>
      <c r="G20" s="1135">
        <f t="shared" si="4"/>
        <v>1.08243216</v>
      </c>
      <c r="H20" s="1126">
        <f t="shared" si="4"/>
        <v>1.1040808032</v>
      </c>
      <c r="I20" s="1127">
        <f t="shared" si="4"/>
        <v>1.1261624192640001</v>
      </c>
      <c r="J20" s="1135">
        <f t="shared" si="4"/>
        <v>1.1486856676492798</v>
      </c>
      <c r="K20" s="1126">
        <f t="shared" si="4"/>
        <v>1.1716593810022655</v>
      </c>
      <c r="L20" s="1126">
        <f t="shared" si="4"/>
        <v>1.1950925686223108</v>
      </c>
      <c r="M20" s="1127">
        <f t="shared" si="4"/>
        <v>1.2189944199947571</v>
      </c>
    </row>
    <row r="21" spans="1:13" ht="14" thickBot="1" x14ac:dyDescent="0.2">
      <c r="A21" s="1088" t="s">
        <v>173</v>
      </c>
      <c r="B21" s="1154"/>
      <c r="C21" s="1298">
        <v>0.5</v>
      </c>
      <c r="D21" s="1298">
        <f t="shared" ref="D21:M21" si="5">$C$21*(1+$B8)^D$4</f>
        <v>0.51</v>
      </c>
      <c r="E21" s="1299">
        <f t="shared" si="5"/>
        <v>0.5202</v>
      </c>
      <c r="F21" s="1299">
        <f t="shared" si="5"/>
        <v>0.53060399999999996</v>
      </c>
      <c r="G21" s="1298">
        <f t="shared" si="5"/>
        <v>0.54121607999999999</v>
      </c>
      <c r="H21" s="1299">
        <f t="shared" si="5"/>
        <v>0.55204040160000001</v>
      </c>
      <c r="I21" s="1300">
        <f t="shared" si="5"/>
        <v>0.56308120963200003</v>
      </c>
      <c r="J21" s="1298">
        <f t="shared" si="5"/>
        <v>0.57434283382463991</v>
      </c>
      <c r="K21" s="1299">
        <f t="shared" si="5"/>
        <v>0.58582969050113276</v>
      </c>
      <c r="L21" s="1299">
        <f t="shared" si="5"/>
        <v>0.59754628431115542</v>
      </c>
      <c r="M21" s="1300">
        <f t="shared" si="5"/>
        <v>0.60949720999737855</v>
      </c>
    </row>
    <row r="22" spans="1:13" hidden="1" outlineLevel="1" x14ac:dyDescent="0.15">
      <c r="A22" s="1097" t="s">
        <v>174</v>
      </c>
      <c r="B22" s="1197"/>
      <c r="C22" s="1146">
        <f>C9*C11*$C13*12</f>
        <v>0</v>
      </c>
      <c r="D22" s="1165">
        <f t="shared" ref="D22:M22" si="6">D9*D11*$C13*12</f>
        <v>0</v>
      </c>
      <c r="E22" s="1166">
        <f t="shared" si="6"/>
        <v>0</v>
      </c>
      <c r="F22" s="1166">
        <f t="shared" si="6"/>
        <v>73325.227967999992</v>
      </c>
      <c r="G22" s="1165">
        <f t="shared" si="6"/>
        <v>74791.73252736</v>
      </c>
      <c r="H22" s="1166">
        <f t="shared" si="6"/>
        <v>76287.5671779072</v>
      </c>
      <c r="I22" s="1167">
        <f t="shared" si="6"/>
        <v>77813.318521465349</v>
      </c>
      <c r="J22" s="1165">
        <f t="shared" si="6"/>
        <v>79369.584891894643</v>
      </c>
      <c r="K22" s="1166">
        <f t="shared" si="6"/>
        <v>80956.976589732541</v>
      </c>
      <c r="L22" s="1166">
        <f t="shared" si="6"/>
        <v>82576.116121527186</v>
      </c>
      <c r="M22" s="1167">
        <f t="shared" si="6"/>
        <v>84227.638443957738</v>
      </c>
    </row>
    <row r="23" spans="1:13" hidden="1" outlineLevel="1" x14ac:dyDescent="0.15">
      <c r="A23" s="1011" t="s">
        <v>175</v>
      </c>
      <c r="B23" s="1038"/>
      <c r="C23" s="1168">
        <f>(C9*$C14*$C15*$C16*C20)+(C9*$C17*$C18*$C19*C20)</f>
        <v>0</v>
      </c>
      <c r="D23" s="1169">
        <f t="shared" ref="D23:M23" si="7">(D9*$C$14*$C$15*$C$16*D20)+(D9*$C$17*$C$18*$C$19*D20)</f>
        <v>0</v>
      </c>
      <c r="E23" s="1170">
        <f t="shared" si="7"/>
        <v>0</v>
      </c>
      <c r="F23" s="1170">
        <f t="shared" si="7"/>
        <v>334546.35260400001</v>
      </c>
      <c r="G23" s="1169">
        <f t="shared" si="7"/>
        <v>341237.27965608001</v>
      </c>
      <c r="H23" s="1170">
        <f t="shared" si="7"/>
        <v>348062.02524920163</v>
      </c>
      <c r="I23" s="1171">
        <f t="shared" si="7"/>
        <v>355023.26575418573</v>
      </c>
      <c r="J23" s="1169">
        <f t="shared" si="7"/>
        <v>362123.73106926936</v>
      </c>
      <c r="K23" s="1170">
        <f t="shared" si="7"/>
        <v>369366.20569065475</v>
      </c>
      <c r="L23" s="1170">
        <f t="shared" si="7"/>
        <v>376753.52980446781</v>
      </c>
      <c r="M23" s="1171">
        <f t="shared" si="7"/>
        <v>384288.60040055722</v>
      </c>
    </row>
    <row r="24" spans="1:13" ht="14" hidden="1" outlineLevel="1" thickBot="1" x14ac:dyDescent="0.2">
      <c r="A24" s="1088" t="s">
        <v>170</v>
      </c>
      <c r="B24" s="1154"/>
      <c r="C24" s="1254">
        <f>C10*C21</f>
        <v>0</v>
      </c>
      <c r="D24" s="1245">
        <f t="shared" ref="D24:M24" si="8">D10*D21</f>
        <v>7341.45</v>
      </c>
      <c r="E24" s="1246">
        <f t="shared" si="8"/>
        <v>7488.2789999999995</v>
      </c>
      <c r="F24" s="1246">
        <f t="shared" si="8"/>
        <v>7638.0445799999998</v>
      </c>
      <c r="G24" s="1245">
        <f t="shared" si="8"/>
        <v>7790.8054715999997</v>
      </c>
      <c r="H24" s="1246">
        <f t="shared" si="8"/>
        <v>7946.621581032</v>
      </c>
      <c r="I24" s="1247">
        <f t="shared" si="8"/>
        <v>8105.5540126526403</v>
      </c>
      <c r="J24" s="1245">
        <f t="shared" si="8"/>
        <v>8267.6650929056923</v>
      </c>
      <c r="K24" s="1246">
        <f t="shared" si="8"/>
        <v>8433.0183947638052</v>
      </c>
      <c r="L24" s="1246">
        <f t="shared" si="8"/>
        <v>8601.6787626590831</v>
      </c>
      <c r="M24" s="1247">
        <f t="shared" si="8"/>
        <v>8773.712337912264</v>
      </c>
    </row>
    <row r="25" spans="1:13" s="1190" customFormat="1" collapsed="1" x14ac:dyDescent="0.15">
      <c r="A25" s="1071" t="s">
        <v>79</v>
      </c>
      <c r="B25" s="1038"/>
      <c r="C25" s="1037"/>
      <c r="D25" s="1199"/>
      <c r="E25" s="1197"/>
      <c r="F25" s="1197"/>
      <c r="G25" s="1037"/>
      <c r="H25" s="1038"/>
      <c r="I25" s="1113"/>
      <c r="J25" s="1037"/>
      <c r="K25" s="1038"/>
      <c r="L25" s="1038"/>
      <c r="M25" s="1113"/>
    </row>
    <row r="26" spans="1:13" x14ac:dyDescent="0.15">
      <c r="A26" s="941" t="s">
        <v>11</v>
      </c>
      <c r="B26" s="1201">
        <v>0.02</v>
      </c>
      <c r="C26" s="1244"/>
      <c r="D26" s="1037"/>
      <c r="E26" s="1038"/>
      <c r="F26" s="1038"/>
      <c r="G26" s="1037"/>
      <c r="H26" s="1038"/>
      <c r="I26" s="1113"/>
      <c r="J26" s="1037"/>
      <c r="K26" s="1038"/>
      <c r="L26" s="1038"/>
      <c r="M26" s="1113"/>
    </row>
    <row r="27" spans="1:13" x14ac:dyDescent="0.15">
      <c r="A27" s="941" t="s">
        <v>28</v>
      </c>
      <c r="B27" s="1038"/>
      <c r="C27" s="1123">
        <v>0</v>
      </c>
      <c r="D27" s="1123">
        <f>C27</f>
        <v>0</v>
      </c>
      <c r="E27" s="1121">
        <f t="shared" ref="D27:F28" si="9">D27</f>
        <v>0</v>
      </c>
      <c r="F27" s="1121">
        <f t="shared" si="9"/>
        <v>0</v>
      </c>
      <c r="G27" s="1123">
        <f t="shared" ref="G27:M28" si="10">F27</f>
        <v>0</v>
      </c>
      <c r="H27" s="1121">
        <f>G27</f>
        <v>0</v>
      </c>
      <c r="I27" s="1124">
        <f t="shared" si="10"/>
        <v>0</v>
      </c>
      <c r="J27" s="1123">
        <f t="shared" si="10"/>
        <v>0</v>
      </c>
      <c r="K27" s="1121">
        <f t="shared" si="10"/>
        <v>0</v>
      </c>
      <c r="L27" s="1121">
        <f t="shared" si="10"/>
        <v>0</v>
      </c>
      <c r="M27" s="1124">
        <f t="shared" si="10"/>
        <v>0</v>
      </c>
    </row>
    <row r="28" spans="1:13" x14ac:dyDescent="0.15">
      <c r="A28" s="941" t="s">
        <v>83</v>
      </c>
      <c r="B28" s="1038"/>
      <c r="C28" s="1123">
        <v>0</v>
      </c>
      <c r="D28" s="1123">
        <f t="shared" si="9"/>
        <v>0</v>
      </c>
      <c r="E28" s="1121">
        <f t="shared" si="9"/>
        <v>0</v>
      </c>
      <c r="F28" s="1121">
        <f t="shared" si="9"/>
        <v>0</v>
      </c>
      <c r="G28" s="1123">
        <f t="shared" si="10"/>
        <v>0</v>
      </c>
      <c r="H28" s="1121">
        <f>D84</f>
        <v>0</v>
      </c>
      <c r="I28" s="1124">
        <f t="shared" si="10"/>
        <v>0</v>
      </c>
      <c r="J28" s="1123">
        <f t="shared" si="10"/>
        <v>0</v>
      </c>
      <c r="K28" s="1121">
        <f t="shared" si="10"/>
        <v>0</v>
      </c>
      <c r="L28" s="1121">
        <f t="shared" si="10"/>
        <v>0</v>
      </c>
      <c r="M28" s="1124">
        <f t="shared" si="10"/>
        <v>0</v>
      </c>
    </row>
    <row r="29" spans="1:13" x14ac:dyDescent="0.15">
      <c r="A29" s="1011" t="s">
        <v>19</v>
      </c>
      <c r="B29" s="1038"/>
      <c r="C29" s="1135">
        <f>C11</f>
        <v>200</v>
      </c>
      <c r="D29" s="1135">
        <f t="shared" ref="D29:M29" si="11">D11</f>
        <v>204</v>
      </c>
      <c r="E29" s="1126">
        <f t="shared" si="11"/>
        <v>208.07999999999998</v>
      </c>
      <c r="F29" s="1126">
        <f t="shared" si="11"/>
        <v>212.24159999999998</v>
      </c>
      <c r="G29" s="1135">
        <f t="shared" si="11"/>
        <v>216.48643200000001</v>
      </c>
      <c r="H29" s="1126">
        <f t="shared" si="11"/>
        <v>220.81616063999999</v>
      </c>
      <c r="I29" s="1127">
        <f t="shared" si="11"/>
        <v>225.23248385280002</v>
      </c>
      <c r="J29" s="1135">
        <f t="shared" si="11"/>
        <v>229.73713352985595</v>
      </c>
      <c r="K29" s="1126">
        <f t="shared" si="11"/>
        <v>234.33187620045311</v>
      </c>
      <c r="L29" s="1126">
        <f t="shared" si="11"/>
        <v>239.01851372446217</v>
      </c>
      <c r="M29" s="1127">
        <f t="shared" si="11"/>
        <v>243.79888399895142</v>
      </c>
    </row>
    <row r="30" spans="1:13" x14ac:dyDescent="0.15">
      <c r="A30" s="1011" t="s">
        <v>20</v>
      </c>
      <c r="B30" s="1038"/>
      <c r="C30" s="1111">
        <v>0.6</v>
      </c>
      <c r="D30" s="1111"/>
      <c r="E30" s="1106"/>
      <c r="F30" s="1106"/>
      <c r="G30" s="1111"/>
      <c r="H30" s="1106"/>
      <c r="I30" s="1110"/>
      <c r="J30" s="1111"/>
      <c r="K30" s="1106"/>
      <c r="L30" s="1106"/>
      <c r="M30" s="1110"/>
    </row>
    <row r="31" spans="1:13" x14ac:dyDescent="0.15">
      <c r="A31" s="1011" t="s">
        <v>21</v>
      </c>
      <c r="B31" s="1038"/>
      <c r="C31" s="1111">
        <v>0.6</v>
      </c>
      <c r="D31" s="1111"/>
      <c r="E31" s="1106"/>
      <c r="F31" s="1106"/>
      <c r="G31" s="1111"/>
      <c r="H31" s="1106"/>
      <c r="I31" s="1110"/>
      <c r="J31" s="1111"/>
      <c r="K31" s="1106"/>
      <c r="L31" s="1106"/>
      <c r="M31" s="1110"/>
    </row>
    <row r="32" spans="1:13" x14ac:dyDescent="0.15">
      <c r="A32" s="1011" t="s">
        <v>22</v>
      </c>
      <c r="B32" s="1038"/>
      <c r="C32" s="1037">
        <v>113</v>
      </c>
      <c r="D32" s="1037"/>
      <c r="E32" s="1038"/>
      <c r="F32" s="1038"/>
      <c r="G32" s="1037"/>
      <c r="H32" s="1038"/>
      <c r="I32" s="1113"/>
      <c r="J32" s="1037"/>
      <c r="K32" s="1038"/>
      <c r="L32" s="1038"/>
      <c r="M32" s="1113"/>
    </row>
    <row r="33" spans="1:13" x14ac:dyDescent="0.15">
      <c r="A33" s="1011" t="s">
        <v>23</v>
      </c>
      <c r="B33" s="1038"/>
      <c r="C33" s="1037">
        <v>24</v>
      </c>
      <c r="D33" s="1037"/>
      <c r="E33" s="1038"/>
      <c r="F33" s="1038"/>
      <c r="G33" s="1037"/>
      <c r="H33" s="1038"/>
      <c r="I33" s="1113"/>
      <c r="J33" s="1037"/>
      <c r="K33" s="1038"/>
      <c r="L33" s="1038"/>
      <c r="M33" s="1113"/>
    </row>
    <row r="34" spans="1:13" x14ac:dyDescent="0.15">
      <c r="A34" s="1011" t="s">
        <v>24</v>
      </c>
      <c r="B34" s="1038"/>
      <c r="C34" s="1111">
        <v>0.75</v>
      </c>
      <c r="D34" s="1111"/>
      <c r="E34" s="1106"/>
      <c r="F34" s="1106"/>
      <c r="G34" s="1111"/>
      <c r="H34" s="1106"/>
      <c r="I34" s="1110"/>
      <c r="J34" s="1111"/>
      <c r="K34" s="1106"/>
      <c r="L34" s="1106"/>
      <c r="M34" s="1110"/>
    </row>
    <row r="35" spans="1:13" x14ac:dyDescent="0.15">
      <c r="A35" s="1011" t="s">
        <v>25</v>
      </c>
      <c r="B35" s="1038"/>
      <c r="C35" s="1037">
        <v>252</v>
      </c>
      <c r="D35" s="1037"/>
      <c r="E35" s="1038"/>
      <c r="F35" s="1038"/>
      <c r="G35" s="1037"/>
      <c r="H35" s="1038"/>
      <c r="I35" s="1113"/>
      <c r="J35" s="1037"/>
      <c r="K35" s="1038"/>
      <c r="L35" s="1038"/>
      <c r="M35" s="1113"/>
    </row>
    <row r="36" spans="1:13" x14ac:dyDescent="0.15">
      <c r="A36" s="1011" t="s">
        <v>23</v>
      </c>
      <c r="B36" s="1038"/>
      <c r="C36" s="1037">
        <v>24</v>
      </c>
      <c r="D36" s="1037"/>
      <c r="E36" s="1038"/>
      <c r="F36" s="1038"/>
      <c r="G36" s="1037"/>
      <c r="H36" s="1038"/>
      <c r="I36" s="1113"/>
      <c r="J36" s="1037"/>
      <c r="K36" s="1038"/>
      <c r="L36" s="1038"/>
      <c r="M36" s="1113"/>
    </row>
    <row r="37" spans="1:13" x14ac:dyDescent="0.15">
      <c r="A37" s="1011" t="s">
        <v>24</v>
      </c>
      <c r="B37" s="1038"/>
      <c r="C37" s="1111">
        <v>0.75</v>
      </c>
      <c r="D37" s="1111"/>
      <c r="E37" s="1106"/>
      <c r="F37" s="1106"/>
      <c r="G37" s="1111"/>
      <c r="H37" s="1106"/>
      <c r="I37" s="1110"/>
      <c r="J37" s="1111"/>
      <c r="K37" s="1106"/>
      <c r="L37" s="1106"/>
      <c r="M37" s="1110"/>
    </row>
    <row r="38" spans="1:13" s="1286" customFormat="1" x14ac:dyDescent="0.15">
      <c r="A38" s="1011" t="s">
        <v>26</v>
      </c>
      <c r="B38" s="1038"/>
      <c r="C38" s="1135">
        <v>1</v>
      </c>
      <c r="D38" s="1135">
        <f t="shared" ref="D38:M38" si="12">$C$20*(1+$B26)^D$4</f>
        <v>1.02</v>
      </c>
      <c r="E38" s="1126">
        <f t="shared" si="12"/>
        <v>1.0404</v>
      </c>
      <c r="F38" s="1126">
        <f t="shared" si="12"/>
        <v>1.0612079999999999</v>
      </c>
      <c r="G38" s="1135">
        <f t="shared" si="12"/>
        <v>1.08243216</v>
      </c>
      <c r="H38" s="1126">
        <f t="shared" si="12"/>
        <v>1.1040808032</v>
      </c>
      <c r="I38" s="1127">
        <f t="shared" si="12"/>
        <v>1.1261624192640001</v>
      </c>
      <c r="J38" s="1135">
        <f t="shared" si="12"/>
        <v>1.1486856676492798</v>
      </c>
      <c r="K38" s="1126">
        <f t="shared" si="12"/>
        <v>1.1716593810022655</v>
      </c>
      <c r="L38" s="1126">
        <f t="shared" si="12"/>
        <v>1.1950925686223108</v>
      </c>
      <c r="M38" s="1127">
        <f t="shared" si="12"/>
        <v>1.2189944199947571</v>
      </c>
    </row>
    <row r="39" spans="1:13" ht="14" thickBot="1" x14ac:dyDescent="0.2">
      <c r="A39" s="1088" t="s">
        <v>173</v>
      </c>
      <c r="B39" s="1154"/>
      <c r="C39" s="1298">
        <v>0.5</v>
      </c>
      <c r="D39" s="1298">
        <f t="shared" ref="D39:M39" si="13">$C$21*(1+$B26)^D$4</f>
        <v>0.51</v>
      </c>
      <c r="E39" s="1299">
        <f t="shared" si="13"/>
        <v>0.5202</v>
      </c>
      <c r="F39" s="1299">
        <f t="shared" si="13"/>
        <v>0.53060399999999996</v>
      </c>
      <c r="G39" s="1298">
        <f t="shared" si="13"/>
        <v>0.54121607999999999</v>
      </c>
      <c r="H39" s="1299">
        <f t="shared" si="13"/>
        <v>0.55204040160000001</v>
      </c>
      <c r="I39" s="1300">
        <f t="shared" si="13"/>
        <v>0.56308120963200003</v>
      </c>
      <c r="J39" s="1298">
        <f t="shared" si="13"/>
        <v>0.57434283382463991</v>
      </c>
      <c r="K39" s="1299">
        <f t="shared" si="13"/>
        <v>0.58582969050113276</v>
      </c>
      <c r="L39" s="1299">
        <f t="shared" si="13"/>
        <v>0.59754628431115542</v>
      </c>
      <c r="M39" s="1300">
        <f t="shared" si="13"/>
        <v>0.60949720999737855</v>
      </c>
    </row>
    <row r="40" spans="1:13" hidden="1" outlineLevel="1" x14ac:dyDescent="0.15">
      <c r="A40" s="1097" t="s">
        <v>174</v>
      </c>
      <c r="B40" s="1197"/>
      <c r="C40" s="1146">
        <f>C27*C29*$C31*12</f>
        <v>0</v>
      </c>
      <c r="D40" s="1165">
        <f t="shared" ref="D40:M40" si="14">D27*D29*$C31*12</f>
        <v>0</v>
      </c>
      <c r="E40" s="1166">
        <f t="shared" si="14"/>
        <v>0</v>
      </c>
      <c r="F40" s="1166">
        <f t="shared" si="14"/>
        <v>0</v>
      </c>
      <c r="G40" s="1165">
        <f t="shared" si="14"/>
        <v>0</v>
      </c>
      <c r="H40" s="1166">
        <f t="shared" si="14"/>
        <v>0</v>
      </c>
      <c r="I40" s="1167">
        <f t="shared" si="14"/>
        <v>0</v>
      </c>
      <c r="J40" s="1165">
        <f t="shared" si="14"/>
        <v>0</v>
      </c>
      <c r="K40" s="1166">
        <f t="shared" si="14"/>
        <v>0</v>
      </c>
      <c r="L40" s="1166">
        <f t="shared" si="14"/>
        <v>0</v>
      </c>
      <c r="M40" s="1167">
        <f t="shared" si="14"/>
        <v>0</v>
      </c>
    </row>
    <row r="41" spans="1:13" hidden="1" outlineLevel="1" x14ac:dyDescent="0.15">
      <c r="A41" s="1011" t="s">
        <v>175</v>
      </c>
      <c r="B41" s="1038"/>
      <c r="C41" s="1168">
        <f>(C27*$C32*$C33*$C34*C38)+(C27*$C35*$C36*$C37*C38)</f>
        <v>0</v>
      </c>
      <c r="D41" s="1169">
        <f t="shared" ref="D41:M41" si="15">(D27*$C32*$C33*$C34*D38)+(D27*$C35*$C36*$C37*D38)</f>
        <v>0</v>
      </c>
      <c r="E41" s="1170">
        <f t="shared" si="15"/>
        <v>0</v>
      </c>
      <c r="F41" s="1170">
        <f t="shared" si="15"/>
        <v>0</v>
      </c>
      <c r="G41" s="1169">
        <f t="shared" si="15"/>
        <v>0</v>
      </c>
      <c r="H41" s="1170">
        <f t="shared" si="15"/>
        <v>0</v>
      </c>
      <c r="I41" s="1171">
        <f t="shared" si="15"/>
        <v>0</v>
      </c>
      <c r="J41" s="1169">
        <f t="shared" si="15"/>
        <v>0</v>
      </c>
      <c r="K41" s="1170">
        <f t="shared" si="15"/>
        <v>0</v>
      </c>
      <c r="L41" s="1170">
        <f t="shared" si="15"/>
        <v>0</v>
      </c>
      <c r="M41" s="1171">
        <f t="shared" si="15"/>
        <v>0</v>
      </c>
    </row>
    <row r="42" spans="1:13" ht="14" hidden="1" outlineLevel="1" thickBot="1" x14ac:dyDescent="0.2">
      <c r="A42" s="1088" t="s">
        <v>170</v>
      </c>
      <c r="B42" s="1154"/>
      <c r="C42" s="1254">
        <f>C28*C39</f>
        <v>0</v>
      </c>
      <c r="D42" s="1245">
        <f t="shared" ref="D42:M42" si="16">D28*D39</f>
        <v>0</v>
      </c>
      <c r="E42" s="1246">
        <f t="shared" si="16"/>
        <v>0</v>
      </c>
      <c r="F42" s="1246">
        <f t="shared" si="16"/>
        <v>0</v>
      </c>
      <c r="G42" s="1245">
        <f t="shared" si="16"/>
        <v>0</v>
      </c>
      <c r="H42" s="1246">
        <f t="shared" si="16"/>
        <v>0</v>
      </c>
      <c r="I42" s="1247">
        <f t="shared" si="16"/>
        <v>0</v>
      </c>
      <c r="J42" s="1245">
        <f t="shared" si="16"/>
        <v>0</v>
      </c>
      <c r="K42" s="1246">
        <f t="shared" si="16"/>
        <v>0</v>
      </c>
      <c r="L42" s="1246">
        <f t="shared" si="16"/>
        <v>0</v>
      </c>
      <c r="M42" s="1247">
        <f t="shared" si="16"/>
        <v>0</v>
      </c>
    </row>
    <row r="43" spans="1:13" s="1190" customFormat="1" collapsed="1" x14ac:dyDescent="0.15">
      <c r="A43" s="1071" t="s">
        <v>80</v>
      </c>
      <c r="B43" s="1038"/>
      <c r="C43" s="1037"/>
      <c r="D43" s="1199"/>
      <c r="E43" s="1197"/>
      <c r="F43" s="1197"/>
      <c r="G43" s="1037"/>
      <c r="H43" s="1038"/>
      <c r="I43" s="1113"/>
      <c r="J43" s="1037"/>
      <c r="K43" s="1038"/>
      <c r="L43" s="1038"/>
      <c r="M43" s="1113"/>
    </row>
    <row r="44" spans="1:13" x14ac:dyDescent="0.15">
      <c r="A44" s="941" t="s">
        <v>11</v>
      </c>
      <c r="B44" s="1201">
        <v>0.02</v>
      </c>
      <c r="C44" s="1244"/>
      <c r="D44" s="1037"/>
      <c r="E44" s="1038"/>
      <c r="F44" s="1038"/>
      <c r="G44" s="1037"/>
      <c r="H44" s="1038"/>
      <c r="I44" s="1113"/>
      <c r="J44" s="1037"/>
      <c r="K44" s="1038"/>
      <c r="L44" s="1038"/>
      <c r="M44" s="1113"/>
    </row>
    <row r="45" spans="1:13" x14ac:dyDescent="0.15">
      <c r="A45" s="941" t="s">
        <v>28</v>
      </c>
      <c r="B45" s="1038"/>
      <c r="C45" s="1123">
        <v>0</v>
      </c>
      <c r="D45" s="1123">
        <f t="shared" ref="D45:F46" si="17">C45</f>
        <v>0</v>
      </c>
      <c r="E45" s="1121">
        <f t="shared" si="17"/>
        <v>0</v>
      </c>
      <c r="F45" s="1121">
        <f t="shared" si="17"/>
        <v>0</v>
      </c>
      <c r="G45" s="1123">
        <f t="shared" ref="G45:M46" si="18">F45</f>
        <v>0</v>
      </c>
      <c r="H45" s="1121">
        <f t="shared" si="18"/>
        <v>0</v>
      </c>
      <c r="I45" s="1124">
        <f>H45</f>
        <v>0</v>
      </c>
      <c r="J45" s="1123">
        <f t="shared" si="18"/>
        <v>0</v>
      </c>
      <c r="K45" s="1121">
        <f t="shared" si="18"/>
        <v>0</v>
      </c>
      <c r="L45" s="1121">
        <f t="shared" si="18"/>
        <v>0</v>
      </c>
      <c r="M45" s="1124">
        <f t="shared" si="18"/>
        <v>0</v>
      </c>
    </row>
    <row r="46" spans="1:13" x14ac:dyDescent="0.15">
      <c r="A46" s="941" t="s">
        <v>83</v>
      </c>
      <c r="B46" s="1038"/>
      <c r="C46" s="1123">
        <v>0</v>
      </c>
      <c r="D46" s="1123">
        <f t="shared" si="17"/>
        <v>0</v>
      </c>
      <c r="E46" s="1121">
        <f t="shared" si="17"/>
        <v>0</v>
      </c>
      <c r="F46" s="1121">
        <f t="shared" si="17"/>
        <v>0</v>
      </c>
      <c r="G46" s="1123">
        <f t="shared" si="18"/>
        <v>0</v>
      </c>
      <c r="H46" s="1121">
        <f t="shared" si="18"/>
        <v>0</v>
      </c>
      <c r="I46" s="1124">
        <f>D85</f>
        <v>0</v>
      </c>
      <c r="J46" s="1123">
        <f t="shared" si="18"/>
        <v>0</v>
      </c>
      <c r="K46" s="1121">
        <f t="shared" si="18"/>
        <v>0</v>
      </c>
      <c r="L46" s="1121">
        <f t="shared" si="18"/>
        <v>0</v>
      </c>
      <c r="M46" s="1124">
        <f t="shared" si="18"/>
        <v>0</v>
      </c>
    </row>
    <row r="47" spans="1:13" x14ac:dyDescent="0.15">
      <c r="A47" s="1011" t="s">
        <v>19</v>
      </c>
      <c r="B47" s="1038"/>
      <c r="C47" s="1135">
        <f>C29</f>
        <v>200</v>
      </c>
      <c r="D47" s="1135">
        <f t="shared" ref="D47:M47" si="19">D29</f>
        <v>204</v>
      </c>
      <c r="E47" s="1126">
        <f t="shared" si="19"/>
        <v>208.07999999999998</v>
      </c>
      <c r="F47" s="1126">
        <f t="shared" si="19"/>
        <v>212.24159999999998</v>
      </c>
      <c r="G47" s="1135">
        <f t="shared" si="19"/>
        <v>216.48643200000001</v>
      </c>
      <c r="H47" s="1126">
        <f t="shared" si="19"/>
        <v>220.81616063999999</v>
      </c>
      <c r="I47" s="1127">
        <f t="shared" si="19"/>
        <v>225.23248385280002</v>
      </c>
      <c r="J47" s="1135">
        <f t="shared" si="19"/>
        <v>229.73713352985595</v>
      </c>
      <c r="K47" s="1126">
        <f t="shared" si="19"/>
        <v>234.33187620045311</v>
      </c>
      <c r="L47" s="1126">
        <f t="shared" si="19"/>
        <v>239.01851372446217</v>
      </c>
      <c r="M47" s="1127">
        <f t="shared" si="19"/>
        <v>243.79888399895142</v>
      </c>
    </row>
    <row r="48" spans="1:13" x14ac:dyDescent="0.15">
      <c r="A48" s="1011" t="s">
        <v>20</v>
      </c>
      <c r="B48" s="1038"/>
      <c r="C48" s="1111">
        <v>0.6</v>
      </c>
      <c r="D48" s="1111"/>
      <c r="E48" s="1106"/>
      <c r="F48" s="1106"/>
      <c r="G48" s="1111"/>
      <c r="H48" s="1106"/>
      <c r="I48" s="1110"/>
      <c r="J48" s="1111"/>
      <c r="K48" s="1106"/>
      <c r="L48" s="1106"/>
      <c r="M48" s="1110"/>
    </row>
    <row r="49" spans="1:13" x14ac:dyDescent="0.15">
      <c r="A49" s="1011" t="s">
        <v>21</v>
      </c>
      <c r="B49" s="1038"/>
      <c r="C49" s="1111">
        <v>0.6</v>
      </c>
      <c r="D49" s="1111"/>
      <c r="E49" s="1106"/>
      <c r="F49" s="1106"/>
      <c r="G49" s="1111"/>
      <c r="H49" s="1106"/>
      <c r="I49" s="1110"/>
      <c r="J49" s="1111"/>
      <c r="K49" s="1106"/>
      <c r="L49" s="1106"/>
      <c r="M49" s="1110"/>
    </row>
    <row r="50" spans="1:13" x14ac:dyDescent="0.15">
      <c r="A50" s="1011" t="s">
        <v>22</v>
      </c>
      <c r="B50" s="1038"/>
      <c r="C50" s="1037">
        <v>113</v>
      </c>
      <c r="D50" s="1037"/>
      <c r="E50" s="1038"/>
      <c r="F50" s="1038"/>
      <c r="G50" s="1037"/>
      <c r="H50" s="1038"/>
      <c r="I50" s="1113"/>
      <c r="J50" s="1037"/>
      <c r="K50" s="1038"/>
      <c r="L50" s="1038"/>
      <c r="M50" s="1113"/>
    </row>
    <row r="51" spans="1:13" x14ac:dyDescent="0.15">
      <c r="A51" s="1011" t="s">
        <v>23</v>
      </c>
      <c r="B51" s="1038"/>
      <c r="C51" s="1037">
        <v>24</v>
      </c>
      <c r="D51" s="1037"/>
      <c r="E51" s="1038"/>
      <c r="F51" s="1038"/>
      <c r="G51" s="1037"/>
      <c r="H51" s="1038"/>
      <c r="I51" s="1113"/>
      <c r="J51" s="1037"/>
      <c r="K51" s="1038"/>
      <c r="L51" s="1038"/>
      <c r="M51" s="1113"/>
    </row>
    <row r="52" spans="1:13" x14ac:dyDescent="0.15">
      <c r="A52" s="1011" t="s">
        <v>24</v>
      </c>
      <c r="B52" s="1038"/>
      <c r="C52" s="1111">
        <v>0.75</v>
      </c>
      <c r="D52" s="1111"/>
      <c r="E52" s="1106"/>
      <c r="F52" s="1106"/>
      <c r="G52" s="1111"/>
      <c r="H52" s="1106"/>
      <c r="I52" s="1110"/>
      <c r="J52" s="1111"/>
      <c r="K52" s="1106"/>
      <c r="L52" s="1106"/>
      <c r="M52" s="1110"/>
    </row>
    <row r="53" spans="1:13" x14ac:dyDescent="0.15">
      <c r="A53" s="1011" t="s">
        <v>25</v>
      </c>
      <c r="B53" s="1038"/>
      <c r="C53" s="1037">
        <v>252</v>
      </c>
      <c r="D53" s="1037"/>
      <c r="E53" s="1038"/>
      <c r="F53" s="1038"/>
      <c r="G53" s="1037"/>
      <c r="H53" s="1038"/>
      <c r="I53" s="1113"/>
      <c r="J53" s="1037"/>
      <c r="K53" s="1038"/>
      <c r="L53" s="1038"/>
      <c r="M53" s="1113"/>
    </row>
    <row r="54" spans="1:13" x14ac:dyDescent="0.15">
      <c r="A54" s="1011" t="s">
        <v>23</v>
      </c>
      <c r="B54" s="1038"/>
      <c r="C54" s="1037">
        <v>24</v>
      </c>
      <c r="D54" s="1135"/>
      <c r="E54" s="1038"/>
      <c r="F54" s="1038"/>
      <c r="G54" s="1037"/>
      <c r="H54" s="1038"/>
      <c r="I54" s="1113"/>
      <c r="J54" s="1037"/>
      <c r="K54" s="1038"/>
      <c r="L54" s="1038"/>
      <c r="M54" s="1113"/>
    </row>
    <row r="55" spans="1:13" x14ac:dyDescent="0.15">
      <c r="A55" s="1011" t="s">
        <v>24</v>
      </c>
      <c r="B55" s="1038"/>
      <c r="C55" s="1111">
        <v>0.75</v>
      </c>
      <c r="D55" s="1111"/>
      <c r="E55" s="1106"/>
      <c r="F55" s="1106"/>
      <c r="G55" s="1111"/>
      <c r="H55" s="1106"/>
      <c r="I55" s="1110"/>
      <c r="J55" s="1111"/>
      <c r="K55" s="1106"/>
      <c r="L55" s="1106"/>
      <c r="M55" s="1110"/>
    </row>
    <row r="56" spans="1:13" s="1286" customFormat="1" x14ac:dyDescent="0.15">
      <c r="A56" s="1011" t="s">
        <v>26</v>
      </c>
      <c r="B56" s="1038"/>
      <c r="C56" s="1135">
        <v>1</v>
      </c>
      <c r="D56" s="1135">
        <f t="shared" ref="D56:M56" si="20">$C$20*(1+$B44)^D$4</f>
        <v>1.02</v>
      </c>
      <c r="E56" s="1126">
        <f t="shared" si="20"/>
        <v>1.0404</v>
      </c>
      <c r="F56" s="1126">
        <f t="shared" si="20"/>
        <v>1.0612079999999999</v>
      </c>
      <c r="G56" s="1135">
        <f t="shared" si="20"/>
        <v>1.08243216</v>
      </c>
      <c r="H56" s="1126">
        <f t="shared" si="20"/>
        <v>1.1040808032</v>
      </c>
      <c r="I56" s="1127">
        <f t="shared" si="20"/>
        <v>1.1261624192640001</v>
      </c>
      <c r="J56" s="1135">
        <f t="shared" si="20"/>
        <v>1.1486856676492798</v>
      </c>
      <c r="K56" s="1126">
        <f t="shared" si="20"/>
        <v>1.1716593810022655</v>
      </c>
      <c r="L56" s="1126">
        <f t="shared" si="20"/>
        <v>1.1950925686223108</v>
      </c>
      <c r="M56" s="1127">
        <f t="shared" si="20"/>
        <v>1.2189944199947571</v>
      </c>
    </row>
    <row r="57" spans="1:13" ht="14" thickBot="1" x14ac:dyDescent="0.2">
      <c r="A57" s="1088" t="s">
        <v>173</v>
      </c>
      <c r="B57" s="1154"/>
      <c r="C57" s="1298">
        <v>0.5</v>
      </c>
      <c r="D57" s="1298">
        <f t="shared" ref="D57:M57" si="21">$C$21*(1+$B44)^D$4</f>
        <v>0.51</v>
      </c>
      <c r="E57" s="1299">
        <f t="shared" si="21"/>
        <v>0.5202</v>
      </c>
      <c r="F57" s="1299">
        <f t="shared" si="21"/>
        <v>0.53060399999999996</v>
      </c>
      <c r="G57" s="1298">
        <f t="shared" si="21"/>
        <v>0.54121607999999999</v>
      </c>
      <c r="H57" s="1299">
        <f t="shared" si="21"/>
        <v>0.55204040160000001</v>
      </c>
      <c r="I57" s="1300">
        <f t="shared" si="21"/>
        <v>0.56308120963200003</v>
      </c>
      <c r="J57" s="1298">
        <f t="shared" si="21"/>
        <v>0.57434283382463991</v>
      </c>
      <c r="K57" s="1299">
        <f t="shared" si="21"/>
        <v>0.58582969050113276</v>
      </c>
      <c r="L57" s="1299">
        <f t="shared" si="21"/>
        <v>0.59754628431115542</v>
      </c>
      <c r="M57" s="1300">
        <f t="shared" si="21"/>
        <v>0.60949720999737855</v>
      </c>
    </row>
    <row r="58" spans="1:13" hidden="1" outlineLevel="1" x14ac:dyDescent="0.15">
      <c r="A58" s="1097" t="s">
        <v>174</v>
      </c>
      <c r="B58" s="1197"/>
      <c r="C58" s="1146">
        <f>C45*C47*$C49*12</f>
        <v>0</v>
      </c>
      <c r="D58" s="1165">
        <f t="shared" ref="D58:M58" si="22">D45*D47*$C49*12</f>
        <v>0</v>
      </c>
      <c r="E58" s="1166">
        <f t="shared" si="22"/>
        <v>0</v>
      </c>
      <c r="F58" s="1166">
        <f t="shared" si="22"/>
        <v>0</v>
      </c>
      <c r="G58" s="1165">
        <f t="shared" si="22"/>
        <v>0</v>
      </c>
      <c r="H58" s="1166">
        <f t="shared" si="22"/>
        <v>0</v>
      </c>
      <c r="I58" s="1167">
        <f t="shared" si="22"/>
        <v>0</v>
      </c>
      <c r="J58" s="1165">
        <f t="shared" si="22"/>
        <v>0</v>
      </c>
      <c r="K58" s="1166">
        <f t="shared" si="22"/>
        <v>0</v>
      </c>
      <c r="L58" s="1166">
        <f t="shared" si="22"/>
        <v>0</v>
      </c>
      <c r="M58" s="1167">
        <f t="shared" si="22"/>
        <v>0</v>
      </c>
    </row>
    <row r="59" spans="1:13" hidden="1" outlineLevel="1" x14ac:dyDescent="0.15">
      <c r="A59" s="1011" t="s">
        <v>175</v>
      </c>
      <c r="B59" s="1038"/>
      <c r="C59" s="1168">
        <f>(C45*$C50*$C51*$C52*C56)+(C45*$C53*$C54*$C55*C56)</f>
        <v>0</v>
      </c>
      <c r="D59" s="1169">
        <f t="shared" ref="D59:M59" si="23">(D45*$C50*$C51*$C52*D56)+(D45*$C53*$C54*$C55*D56)</f>
        <v>0</v>
      </c>
      <c r="E59" s="1170">
        <f t="shared" si="23"/>
        <v>0</v>
      </c>
      <c r="F59" s="1170">
        <f t="shared" si="23"/>
        <v>0</v>
      </c>
      <c r="G59" s="1169">
        <f t="shared" si="23"/>
        <v>0</v>
      </c>
      <c r="H59" s="1170">
        <f t="shared" si="23"/>
        <v>0</v>
      </c>
      <c r="I59" s="1171">
        <f t="shared" si="23"/>
        <v>0</v>
      </c>
      <c r="J59" s="1169">
        <f t="shared" si="23"/>
        <v>0</v>
      </c>
      <c r="K59" s="1170">
        <f t="shared" si="23"/>
        <v>0</v>
      </c>
      <c r="L59" s="1170">
        <f t="shared" si="23"/>
        <v>0</v>
      </c>
      <c r="M59" s="1171">
        <f t="shared" si="23"/>
        <v>0</v>
      </c>
    </row>
    <row r="60" spans="1:13" ht="14" hidden="1" outlineLevel="1" thickBot="1" x14ac:dyDescent="0.2">
      <c r="A60" s="1088" t="s">
        <v>170</v>
      </c>
      <c r="B60" s="1154"/>
      <c r="C60" s="1254">
        <f>C46*C57</f>
        <v>0</v>
      </c>
      <c r="D60" s="1245">
        <f t="shared" ref="D60:M60" si="24">D46*D57</f>
        <v>0</v>
      </c>
      <c r="E60" s="1246">
        <f t="shared" si="24"/>
        <v>0</v>
      </c>
      <c r="F60" s="1246">
        <f t="shared" si="24"/>
        <v>0</v>
      </c>
      <c r="G60" s="1245">
        <f t="shared" si="24"/>
        <v>0</v>
      </c>
      <c r="H60" s="1246">
        <f t="shared" si="24"/>
        <v>0</v>
      </c>
      <c r="I60" s="1247">
        <f t="shared" si="24"/>
        <v>0</v>
      </c>
      <c r="J60" s="1245">
        <f t="shared" si="24"/>
        <v>0</v>
      </c>
      <c r="K60" s="1246">
        <f t="shared" si="24"/>
        <v>0</v>
      </c>
      <c r="L60" s="1246">
        <f t="shared" si="24"/>
        <v>0</v>
      </c>
      <c r="M60" s="1247">
        <f t="shared" si="24"/>
        <v>0</v>
      </c>
    </row>
    <row r="61" spans="1:13" s="1190" customFormat="1" ht="14" collapsed="1" thickBot="1" x14ac:dyDescent="0.2">
      <c r="A61" s="1023" t="s">
        <v>0</v>
      </c>
      <c r="B61" s="1142"/>
      <c r="C61" s="1302"/>
      <c r="D61" s="1144"/>
      <c r="E61" s="1142"/>
      <c r="F61" s="1145"/>
      <c r="G61" s="1144"/>
      <c r="H61" s="1142"/>
      <c r="I61" s="1145"/>
      <c r="J61" s="1144"/>
      <c r="K61" s="1142"/>
      <c r="L61" s="1142"/>
      <c r="M61" s="1145"/>
    </row>
    <row r="62" spans="1:13" s="1190" customFormat="1" x14ac:dyDescent="0.15">
      <c r="A62" s="1097" t="s">
        <v>174</v>
      </c>
      <c r="B62" s="1038"/>
      <c r="C62" s="1162">
        <f>SUM(C22,C40,C58)</f>
        <v>0</v>
      </c>
      <c r="D62" s="1165">
        <f t="shared" ref="D62:M62" si="25">SUM(D22,D40,D58)</f>
        <v>0</v>
      </c>
      <c r="E62" s="1166">
        <f t="shared" si="25"/>
        <v>0</v>
      </c>
      <c r="F62" s="1167">
        <f t="shared" si="25"/>
        <v>73325.227967999992</v>
      </c>
      <c r="G62" s="1165">
        <f t="shared" si="25"/>
        <v>74791.73252736</v>
      </c>
      <c r="H62" s="1166">
        <f t="shared" si="25"/>
        <v>76287.5671779072</v>
      </c>
      <c r="I62" s="1167">
        <f t="shared" si="25"/>
        <v>77813.318521465349</v>
      </c>
      <c r="J62" s="1165">
        <f t="shared" si="25"/>
        <v>79369.584891894643</v>
      </c>
      <c r="K62" s="1166">
        <f t="shared" si="25"/>
        <v>80956.976589732541</v>
      </c>
      <c r="L62" s="1166">
        <f t="shared" si="25"/>
        <v>82576.116121527186</v>
      </c>
      <c r="M62" s="1167">
        <f t="shared" si="25"/>
        <v>84227.638443957738</v>
      </c>
    </row>
    <row r="63" spans="1:13" s="1190" customFormat="1" x14ac:dyDescent="0.15">
      <c r="A63" s="1011" t="s">
        <v>175</v>
      </c>
      <c r="B63" s="1038"/>
      <c r="C63" s="1168">
        <f>SUM(C23,C41,C59)</f>
        <v>0</v>
      </c>
      <c r="D63" s="1169">
        <f t="shared" ref="D63:M63" si="26">SUM(D23,D41,D59)</f>
        <v>0</v>
      </c>
      <c r="E63" s="1170">
        <f t="shared" si="26"/>
        <v>0</v>
      </c>
      <c r="F63" s="1171">
        <f t="shared" si="26"/>
        <v>334546.35260400001</v>
      </c>
      <c r="G63" s="1169">
        <f t="shared" si="26"/>
        <v>341237.27965608001</v>
      </c>
      <c r="H63" s="1170">
        <f t="shared" si="26"/>
        <v>348062.02524920163</v>
      </c>
      <c r="I63" s="1171">
        <f t="shared" si="26"/>
        <v>355023.26575418573</v>
      </c>
      <c r="J63" s="1169">
        <f t="shared" si="26"/>
        <v>362123.73106926936</v>
      </c>
      <c r="K63" s="1170">
        <f t="shared" si="26"/>
        <v>369366.20569065475</v>
      </c>
      <c r="L63" s="1170">
        <f t="shared" si="26"/>
        <v>376753.52980446781</v>
      </c>
      <c r="M63" s="1171">
        <f t="shared" si="26"/>
        <v>384288.60040055722</v>
      </c>
    </row>
    <row r="64" spans="1:13" s="1190" customFormat="1" x14ac:dyDescent="0.15">
      <c r="A64" s="1289" t="s">
        <v>119</v>
      </c>
      <c r="B64" s="1164"/>
      <c r="C64" s="1150">
        <f>-SUM(C24,C42,C60)</f>
        <v>0</v>
      </c>
      <c r="D64" s="1151">
        <f t="shared" ref="D64:M64" si="27">-SUM(D24,D42,D60)</f>
        <v>-7341.45</v>
      </c>
      <c r="E64" s="1152">
        <f t="shared" si="27"/>
        <v>-7488.2789999999995</v>
      </c>
      <c r="F64" s="1153">
        <f t="shared" si="27"/>
        <v>-7638.0445799999998</v>
      </c>
      <c r="G64" s="1151">
        <f t="shared" si="27"/>
        <v>-7790.8054715999997</v>
      </c>
      <c r="H64" s="1152">
        <f t="shared" si="27"/>
        <v>-7946.621581032</v>
      </c>
      <c r="I64" s="1153">
        <f t="shared" si="27"/>
        <v>-8105.5540126526403</v>
      </c>
      <c r="J64" s="1151">
        <f t="shared" si="27"/>
        <v>-8267.6650929056923</v>
      </c>
      <c r="K64" s="1152">
        <f t="shared" si="27"/>
        <v>-8433.0183947638052</v>
      </c>
      <c r="L64" s="1152">
        <f t="shared" si="27"/>
        <v>-8601.6787626590831</v>
      </c>
      <c r="M64" s="1153">
        <f t="shared" si="27"/>
        <v>-8773.712337912264</v>
      </c>
    </row>
    <row r="65" spans="1:13" s="1190" customFormat="1" ht="14" thickBot="1" x14ac:dyDescent="0.2">
      <c r="A65" s="1053" t="s">
        <v>5</v>
      </c>
      <c r="B65" s="1154"/>
      <c r="C65" s="1155">
        <f t="shared" ref="C65:M65" si="28">SUM(C62:C64)</f>
        <v>0</v>
      </c>
      <c r="D65" s="1156">
        <f t="shared" si="28"/>
        <v>-7341.45</v>
      </c>
      <c r="E65" s="1157">
        <f t="shared" si="28"/>
        <v>-7488.2789999999995</v>
      </c>
      <c r="F65" s="1158">
        <f t="shared" si="28"/>
        <v>400233.53599200002</v>
      </c>
      <c r="G65" s="1156">
        <f t="shared" si="28"/>
        <v>408238.20671184006</v>
      </c>
      <c r="H65" s="1157">
        <f t="shared" si="28"/>
        <v>416402.97084607685</v>
      </c>
      <c r="I65" s="1158">
        <f t="shared" si="28"/>
        <v>424731.03026299842</v>
      </c>
      <c r="J65" s="1156">
        <f t="shared" si="28"/>
        <v>433225.65086825832</v>
      </c>
      <c r="K65" s="1157">
        <f t="shared" si="28"/>
        <v>441890.16388562345</v>
      </c>
      <c r="L65" s="1157">
        <f t="shared" si="28"/>
        <v>450727.96716333588</v>
      </c>
      <c r="M65" s="1158">
        <f t="shared" si="28"/>
        <v>459742.52650660265</v>
      </c>
    </row>
    <row r="66" spans="1:13" s="1190" customFormat="1" ht="14" thickBot="1" x14ac:dyDescent="0.2">
      <c r="A66" s="1023" t="s">
        <v>2</v>
      </c>
      <c r="B66" s="1142"/>
      <c r="C66" s="1302"/>
      <c r="D66" s="1144"/>
      <c r="E66" s="1142"/>
      <c r="F66" s="1145"/>
      <c r="G66" s="1144"/>
      <c r="H66" s="1142"/>
      <c r="I66" s="1145"/>
      <c r="J66" s="1144"/>
      <c r="K66" s="1142"/>
      <c r="L66" s="1142"/>
      <c r="M66" s="1145"/>
    </row>
    <row r="67" spans="1:13" s="1190" customFormat="1" x14ac:dyDescent="0.15">
      <c r="A67" s="1011" t="s">
        <v>104</v>
      </c>
      <c r="B67" s="1038"/>
      <c r="C67" s="1134">
        <v>25</v>
      </c>
      <c r="D67" s="1135">
        <f t="shared" ref="D67:M67" si="29">$C$67*(1+$B$8)^D4</f>
        <v>25.5</v>
      </c>
      <c r="E67" s="1126">
        <f t="shared" si="29"/>
        <v>26.009999999999998</v>
      </c>
      <c r="F67" s="1127">
        <f t="shared" si="29"/>
        <v>26.530199999999997</v>
      </c>
      <c r="G67" s="1135">
        <f t="shared" si="29"/>
        <v>27.060804000000001</v>
      </c>
      <c r="H67" s="1126">
        <f t="shared" si="29"/>
        <v>27.602020079999999</v>
      </c>
      <c r="I67" s="1127">
        <f t="shared" si="29"/>
        <v>28.154060481600002</v>
      </c>
      <c r="J67" s="1135">
        <f t="shared" si="29"/>
        <v>28.717141691231994</v>
      </c>
      <c r="K67" s="1126">
        <f t="shared" si="29"/>
        <v>29.291484525056639</v>
      </c>
      <c r="L67" s="1126">
        <f t="shared" si="29"/>
        <v>29.877314215557771</v>
      </c>
      <c r="M67" s="1127">
        <f t="shared" si="29"/>
        <v>30.474860499868928</v>
      </c>
    </row>
    <row r="68" spans="1:13" s="1190" customFormat="1" x14ac:dyDescent="0.15">
      <c r="A68" s="1011" t="s">
        <v>13</v>
      </c>
      <c r="B68" s="1038"/>
      <c r="C68" s="1160">
        <f>C69/SUM($C$69:$M$69)</f>
        <v>0</v>
      </c>
      <c r="D68" s="1108">
        <f t="shared" ref="D68:M68" si="30">D69/SUM($C$69:$M$69)</f>
        <v>0</v>
      </c>
      <c r="E68" s="1109">
        <f t="shared" si="30"/>
        <v>0</v>
      </c>
      <c r="F68" s="1161">
        <f t="shared" si="30"/>
        <v>1</v>
      </c>
      <c r="G68" s="1108">
        <f t="shared" si="30"/>
        <v>0</v>
      </c>
      <c r="H68" s="1109">
        <f t="shared" si="30"/>
        <v>0</v>
      </c>
      <c r="I68" s="1161">
        <f t="shared" si="30"/>
        <v>0</v>
      </c>
      <c r="J68" s="1108">
        <f t="shared" si="30"/>
        <v>0</v>
      </c>
      <c r="K68" s="1109">
        <f t="shared" si="30"/>
        <v>0</v>
      </c>
      <c r="L68" s="1109">
        <f t="shared" si="30"/>
        <v>0</v>
      </c>
      <c r="M68" s="1161">
        <f t="shared" si="30"/>
        <v>0</v>
      </c>
    </row>
    <row r="69" spans="1:13" s="1190" customFormat="1" x14ac:dyDescent="0.15">
      <c r="A69" s="1011" t="s">
        <v>2</v>
      </c>
      <c r="B69" s="1038"/>
      <c r="C69" s="1162">
        <f>'Development Schedule'!D86*'11.Surface Parking'!C67</f>
        <v>0</v>
      </c>
      <c r="D69" s="1163">
        <f>'Development Schedule'!E86*'11.Surface Parking'!D67</f>
        <v>0</v>
      </c>
      <c r="E69" s="1147">
        <f>'Development Schedule'!F86*'11.Surface Parking'!E67</f>
        <v>0</v>
      </c>
      <c r="F69" s="1148">
        <f>'Development Schedule'!G86*'11.Surface Parking'!F67</f>
        <v>381902.22899999993</v>
      </c>
      <c r="G69" s="1163">
        <f>'Development Schedule'!H86*'11.Surface Parking'!G67</f>
        <v>0</v>
      </c>
      <c r="H69" s="1147">
        <f>'Development Schedule'!I86*'11.Surface Parking'!H67</f>
        <v>0</v>
      </c>
      <c r="I69" s="1148">
        <f>'Development Schedule'!J86*'11.Surface Parking'!I67</f>
        <v>0</v>
      </c>
      <c r="J69" s="1163">
        <f>'Development Schedule'!K86*'11.Surface Parking'!J67</f>
        <v>0</v>
      </c>
      <c r="K69" s="1147">
        <f>'Development Schedule'!L86*'11.Surface Parking'!K67</f>
        <v>0</v>
      </c>
      <c r="L69" s="1147">
        <f>'Development Schedule'!M86*'11.Surface Parking'!L67</f>
        <v>0</v>
      </c>
      <c r="M69" s="1148">
        <f>'Development Schedule'!N86*'11.Surface Parking'!M67</f>
        <v>0</v>
      </c>
    </row>
    <row r="70" spans="1:13" s="1190" customFormat="1" x14ac:dyDescent="0.15">
      <c r="A70" s="1099" t="s">
        <v>14</v>
      </c>
      <c r="B70" s="1164"/>
      <c r="C70" s="1150"/>
      <c r="D70" s="1151"/>
      <c r="E70" s="1152"/>
      <c r="F70" s="1153"/>
      <c r="G70" s="1151"/>
      <c r="H70" s="1152"/>
      <c r="I70" s="1153"/>
      <c r="J70" s="1151"/>
      <c r="K70" s="1152"/>
      <c r="L70" s="1152"/>
      <c r="M70" s="1153"/>
    </row>
    <row r="71" spans="1:13" s="1190" customFormat="1" ht="14" thickBot="1" x14ac:dyDescent="0.2">
      <c r="A71" s="1100" t="s">
        <v>3</v>
      </c>
      <c r="B71" s="1154"/>
      <c r="C71" s="1156">
        <f>SUM(C69:C70)</f>
        <v>0</v>
      </c>
      <c r="D71" s="1156">
        <f t="shared" ref="D71:M71" si="31">SUM(D69:D70)</f>
        <v>0</v>
      </c>
      <c r="E71" s="1157">
        <f t="shared" si="31"/>
        <v>0</v>
      </c>
      <c r="F71" s="1158">
        <f t="shared" si="31"/>
        <v>381902.22899999993</v>
      </c>
      <c r="G71" s="1156">
        <f t="shared" si="31"/>
        <v>0</v>
      </c>
      <c r="H71" s="1157">
        <f t="shared" si="31"/>
        <v>0</v>
      </c>
      <c r="I71" s="1158">
        <f t="shared" si="31"/>
        <v>0</v>
      </c>
      <c r="J71" s="1156">
        <f t="shared" si="31"/>
        <v>0</v>
      </c>
      <c r="K71" s="1157">
        <f t="shared" si="31"/>
        <v>0</v>
      </c>
      <c r="L71" s="1157">
        <f t="shared" si="31"/>
        <v>0</v>
      </c>
      <c r="M71" s="1158">
        <f t="shared" si="31"/>
        <v>0</v>
      </c>
    </row>
    <row r="72" spans="1:13" s="1190" customFormat="1" ht="14" thickBot="1" x14ac:dyDescent="0.2">
      <c r="A72" s="1023" t="s">
        <v>4</v>
      </c>
      <c r="B72" s="1142"/>
      <c r="C72" s="1143"/>
      <c r="D72" s="1144"/>
      <c r="E72" s="1142"/>
      <c r="F72" s="1145"/>
      <c r="G72" s="1144"/>
      <c r="H72" s="1142"/>
      <c r="I72" s="1145"/>
      <c r="J72" s="1144"/>
      <c r="K72" s="1142"/>
      <c r="L72" s="1142"/>
      <c r="M72" s="1145"/>
    </row>
    <row r="73" spans="1:13" s="1190" customFormat="1" x14ac:dyDescent="0.15">
      <c r="A73" s="1011" t="s">
        <v>5</v>
      </c>
      <c r="B73" s="1038"/>
      <c r="C73" s="1162">
        <f>C65</f>
        <v>0</v>
      </c>
      <c r="D73" s="1163">
        <f t="shared" ref="D73:M73" si="32">D65</f>
        <v>-7341.45</v>
      </c>
      <c r="E73" s="1147">
        <f t="shared" si="32"/>
        <v>-7488.2789999999995</v>
      </c>
      <c r="F73" s="1148">
        <f t="shared" si="32"/>
        <v>400233.53599200002</v>
      </c>
      <c r="G73" s="1163">
        <f t="shared" si="32"/>
        <v>408238.20671184006</v>
      </c>
      <c r="H73" s="1147">
        <f t="shared" si="32"/>
        <v>416402.97084607685</v>
      </c>
      <c r="I73" s="1148">
        <f t="shared" si="32"/>
        <v>424731.03026299842</v>
      </c>
      <c r="J73" s="1163">
        <f t="shared" si="32"/>
        <v>433225.65086825832</v>
      </c>
      <c r="K73" s="1147">
        <f t="shared" si="32"/>
        <v>441890.16388562345</v>
      </c>
      <c r="L73" s="1147">
        <f t="shared" si="32"/>
        <v>450727.96716333588</v>
      </c>
      <c r="M73" s="1148">
        <f t="shared" si="32"/>
        <v>459742.52650660265</v>
      </c>
    </row>
    <row r="74" spans="1:13" s="1190" customFormat="1" x14ac:dyDescent="0.15">
      <c r="A74" s="1011" t="s">
        <v>60</v>
      </c>
      <c r="B74" s="1106">
        <f>D89</f>
        <v>0.1</v>
      </c>
      <c r="C74" s="1168">
        <v>0</v>
      </c>
      <c r="D74" s="1169">
        <f>C74</f>
        <v>0</v>
      </c>
      <c r="E74" s="1170">
        <f t="shared" ref="E74:L75" si="33">D74</f>
        <v>0</v>
      </c>
      <c r="F74" s="1171">
        <f t="shared" si="33"/>
        <v>0</v>
      </c>
      <c r="G74" s="1169">
        <f t="shared" si="33"/>
        <v>0</v>
      </c>
      <c r="H74" s="1170">
        <f t="shared" si="33"/>
        <v>0</v>
      </c>
      <c r="I74" s="1171">
        <f t="shared" si="33"/>
        <v>0</v>
      </c>
      <c r="J74" s="1169">
        <f t="shared" si="33"/>
        <v>0</v>
      </c>
      <c r="K74" s="1170">
        <f t="shared" si="33"/>
        <v>0</v>
      </c>
      <c r="L74" s="1170">
        <f t="shared" si="33"/>
        <v>0</v>
      </c>
      <c r="M74" s="1171">
        <f>M73/B74</f>
        <v>4597425.2650660258</v>
      </c>
    </row>
    <row r="75" spans="1:13" s="1190" customFormat="1" x14ac:dyDescent="0.15">
      <c r="A75" s="1011" t="s">
        <v>61</v>
      </c>
      <c r="B75" s="1106">
        <f>D90</f>
        <v>0.03</v>
      </c>
      <c r="C75" s="1168">
        <v>0</v>
      </c>
      <c r="D75" s="1169">
        <f>C75</f>
        <v>0</v>
      </c>
      <c r="E75" s="1170">
        <f t="shared" si="33"/>
        <v>0</v>
      </c>
      <c r="F75" s="1171">
        <f t="shared" si="33"/>
        <v>0</v>
      </c>
      <c r="G75" s="1169">
        <f t="shared" si="33"/>
        <v>0</v>
      </c>
      <c r="H75" s="1170">
        <f t="shared" si="33"/>
        <v>0</v>
      </c>
      <c r="I75" s="1171">
        <f t="shared" si="33"/>
        <v>0</v>
      </c>
      <c r="J75" s="1169">
        <f t="shared" si="33"/>
        <v>0</v>
      </c>
      <c r="K75" s="1170">
        <f t="shared" si="33"/>
        <v>0</v>
      </c>
      <c r="L75" s="1170">
        <f t="shared" si="33"/>
        <v>0</v>
      </c>
      <c r="M75" s="1171">
        <f>M74*-B75</f>
        <v>-137922.75795198078</v>
      </c>
    </row>
    <row r="76" spans="1:13" s="1190" customFormat="1" x14ac:dyDescent="0.15">
      <c r="A76" s="1099" t="s">
        <v>105</v>
      </c>
      <c r="B76" s="1224"/>
      <c r="C76" s="1150">
        <f>-C71</f>
        <v>0</v>
      </c>
      <c r="D76" s="1151">
        <f t="shared" ref="D76:M76" si="34">-D71</f>
        <v>0</v>
      </c>
      <c r="E76" s="1152">
        <f t="shared" si="34"/>
        <v>0</v>
      </c>
      <c r="F76" s="1153">
        <f t="shared" si="34"/>
        <v>-381902.22899999993</v>
      </c>
      <c r="G76" s="1151">
        <f t="shared" si="34"/>
        <v>0</v>
      </c>
      <c r="H76" s="1152">
        <f t="shared" si="34"/>
        <v>0</v>
      </c>
      <c r="I76" s="1153">
        <f t="shared" si="34"/>
        <v>0</v>
      </c>
      <c r="J76" s="1151">
        <f t="shared" si="34"/>
        <v>0</v>
      </c>
      <c r="K76" s="1152">
        <f t="shared" si="34"/>
        <v>0</v>
      </c>
      <c r="L76" s="1152">
        <f t="shared" si="34"/>
        <v>0</v>
      </c>
      <c r="M76" s="1153">
        <f t="shared" si="34"/>
        <v>0</v>
      </c>
    </row>
    <row r="77" spans="1:13" s="1190" customFormat="1" ht="14" thickBot="1" x14ac:dyDescent="0.2">
      <c r="A77" s="1100" t="s">
        <v>6</v>
      </c>
      <c r="B77" s="1225"/>
      <c r="C77" s="1155">
        <f>SUM(C73:C76)</f>
        <v>0</v>
      </c>
      <c r="D77" s="1156">
        <f t="shared" ref="D77:M77" si="35">SUM(D73:D76)</f>
        <v>-7341.45</v>
      </c>
      <c r="E77" s="1157">
        <f t="shared" si="35"/>
        <v>-7488.2789999999995</v>
      </c>
      <c r="F77" s="1158">
        <f t="shared" si="35"/>
        <v>18331.306992000085</v>
      </c>
      <c r="G77" s="1156">
        <f t="shared" si="35"/>
        <v>408238.20671184006</v>
      </c>
      <c r="H77" s="1157">
        <f t="shared" si="35"/>
        <v>416402.97084607685</v>
      </c>
      <c r="I77" s="1158">
        <f t="shared" si="35"/>
        <v>424731.03026299842</v>
      </c>
      <c r="J77" s="1156">
        <f t="shared" si="35"/>
        <v>433225.65086825832</v>
      </c>
      <c r="K77" s="1157">
        <f t="shared" si="35"/>
        <v>441890.16388562345</v>
      </c>
      <c r="L77" s="1157">
        <f t="shared" si="35"/>
        <v>450727.96716333588</v>
      </c>
      <c r="M77" s="1158">
        <f t="shared" si="35"/>
        <v>4919245.0336206481</v>
      </c>
    </row>
    <row r="78" spans="1:13" s="1190" customFormat="1" ht="14" thickBot="1" x14ac:dyDescent="0.2">
      <c r="A78" s="988" t="s">
        <v>27</v>
      </c>
      <c r="B78" s="1172"/>
      <c r="C78" s="1275">
        <f>C77+NPV(D91,D77:M77)</f>
        <v>3558438.9368914799</v>
      </c>
      <c r="D78" s="1199"/>
      <c r="E78" s="1197"/>
      <c r="F78" s="1200"/>
      <c r="G78" s="1199"/>
      <c r="H78" s="1197"/>
      <c r="I78" s="1200"/>
      <c r="J78" s="1038"/>
      <c r="K78" s="1038"/>
      <c r="L78" s="1038"/>
      <c r="M78" s="1113"/>
    </row>
    <row r="79" spans="1:13" ht="14" thickBot="1" x14ac:dyDescent="0.2">
      <c r="A79" s="989" t="s">
        <v>62</v>
      </c>
      <c r="B79" s="1176"/>
      <c r="C79" s="1177">
        <f>IRR(C77:M77,1)</f>
        <v>3.0729142903970166</v>
      </c>
      <c r="D79" s="1178"/>
      <c r="E79" s="1176"/>
      <c r="F79" s="1179"/>
      <c r="G79" s="1178"/>
      <c r="H79" s="1176"/>
      <c r="I79" s="1179"/>
      <c r="J79" s="1176"/>
      <c r="K79" s="1176"/>
      <c r="L79" s="1176"/>
      <c r="M79" s="1179"/>
    </row>
    <row r="80" spans="1:13" ht="14" thickBot="1" x14ac:dyDescent="0.2">
      <c r="A80" s="989"/>
      <c r="B80" s="1052"/>
      <c r="C80" s="1278"/>
      <c r="D80" s="1052"/>
      <c r="E80" s="532"/>
      <c r="F80" s="532"/>
      <c r="G80" s="532"/>
      <c r="H80" s="532"/>
      <c r="I80" s="532"/>
      <c r="J80" s="532"/>
      <c r="K80" s="532"/>
      <c r="L80" s="532"/>
      <c r="M80" s="532"/>
    </row>
    <row r="81" spans="1:13" ht="14" thickBot="1" x14ac:dyDescent="0.2">
      <c r="A81" s="1478" t="s">
        <v>99</v>
      </c>
      <c r="B81" s="1474"/>
      <c r="C81" s="1474"/>
      <c r="D81" s="1479"/>
      <c r="E81" s="1190"/>
      <c r="F81" s="1190"/>
      <c r="G81" s="1190"/>
      <c r="H81" s="1190"/>
      <c r="I81" s="1190"/>
      <c r="J81" s="1190"/>
      <c r="K81" s="1190"/>
      <c r="L81" s="1190"/>
      <c r="M81" s="1190"/>
    </row>
    <row r="82" spans="1:13" ht="14" thickBot="1" x14ac:dyDescent="0.2">
      <c r="A82" s="1056"/>
      <c r="B82" s="1052"/>
      <c r="C82" s="1102" t="s">
        <v>171</v>
      </c>
      <c r="D82" s="1103" t="s">
        <v>98</v>
      </c>
      <c r="E82" s="1190"/>
      <c r="F82" s="1190"/>
      <c r="G82" s="1190"/>
      <c r="H82" s="1190"/>
      <c r="I82" s="1190"/>
      <c r="J82" s="1190"/>
      <c r="K82" s="1190"/>
      <c r="L82" s="1190"/>
      <c r="M82" s="1190"/>
    </row>
    <row r="83" spans="1:13" x14ac:dyDescent="0.15">
      <c r="A83" s="941" t="s">
        <v>314</v>
      </c>
      <c r="B83" s="532"/>
      <c r="C83" s="1079">
        <f>D83/$D$88</f>
        <v>47.983333333333334</v>
      </c>
      <c r="D83" s="1188">
        <f>SUM('Development Schedule'!E86:G86)</f>
        <v>14395</v>
      </c>
      <c r="E83" s="1190"/>
      <c r="F83" s="1190"/>
      <c r="G83" s="1190"/>
      <c r="H83" s="1190"/>
      <c r="I83" s="1190"/>
      <c r="J83" s="1190"/>
      <c r="K83" s="1190"/>
      <c r="L83" s="1190"/>
      <c r="M83" s="1190"/>
    </row>
    <row r="84" spans="1:13" x14ac:dyDescent="0.15">
      <c r="A84" s="941"/>
      <c r="B84" s="532"/>
      <c r="C84" s="1079"/>
      <c r="D84" s="1083"/>
      <c r="E84" s="1190"/>
      <c r="F84" s="1190"/>
      <c r="G84" s="1190"/>
      <c r="H84" s="1190"/>
      <c r="I84" s="1190"/>
      <c r="J84" s="1190"/>
      <c r="K84" s="1190"/>
      <c r="L84" s="1190"/>
      <c r="M84" s="1190"/>
    </row>
    <row r="85" spans="1:13" ht="14" thickBot="1" x14ac:dyDescent="0.2">
      <c r="A85" s="947"/>
      <c r="B85" s="1062"/>
      <c r="C85" s="1291"/>
      <c r="D85" s="1186"/>
      <c r="E85" s="1190"/>
      <c r="F85" s="1190"/>
      <c r="G85" s="1190"/>
      <c r="H85" s="1190"/>
      <c r="I85" s="1190"/>
      <c r="J85" s="1190"/>
      <c r="K85" s="1190"/>
      <c r="L85" s="1190"/>
      <c r="M85" s="1190"/>
    </row>
    <row r="86" spans="1:13" ht="14" thickBot="1" x14ac:dyDescent="0.2">
      <c r="A86" s="882"/>
      <c r="B86" s="883"/>
      <c r="C86" s="883"/>
      <c r="D86" s="882"/>
      <c r="E86" s="1190"/>
      <c r="F86" s="1190"/>
      <c r="G86" s="1190"/>
      <c r="H86" s="1190"/>
      <c r="I86" s="1190"/>
      <c r="J86" s="1190"/>
      <c r="K86" s="1190"/>
      <c r="L86" s="1190"/>
      <c r="M86" s="1190"/>
    </row>
    <row r="87" spans="1:13" ht="14" thickBot="1" x14ac:dyDescent="0.2">
      <c r="A87" s="1478" t="s">
        <v>106</v>
      </c>
      <c r="B87" s="1480"/>
      <c r="C87" s="1480"/>
      <c r="D87" s="1481"/>
      <c r="E87" s="1190"/>
      <c r="F87" s="1190"/>
      <c r="G87" s="1190"/>
      <c r="H87" s="1190"/>
      <c r="I87" s="1190"/>
      <c r="J87" s="1190"/>
      <c r="K87" s="1190"/>
      <c r="L87" s="1190"/>
      <c r="M87" s="1190"/>
    </row>
    <row r="88" spans="1:13" x14ac:dyDescent="0.15">
      <c r="A88" s="941" t="s">
        <v>172</v>
      </c>
      <c r="B88" s="532"/>
      <c r="C88" s="532"/>
      <c r="D88" s="1292">
        <v>300</v>
      </c>
      <c r="E88" s="1190"/>
      <c r="F88" s="1190"/>
      <c r="G88" s="1190"/>
      <c r="H88" s="1190"/>
      <c r="I88" s="1190"/>
      <c r="J88" s="1190"/>
      <c r="K88" s="1190"/>
      <c r="L88" s="1190"/>
      <c r="M88" s="1190"/>
    </row>
    <row r="89" spans="1:13" x14ac:dyDescent="0.15">
      <c r="A89" s="941" t="s">
        <v>107</v>
      </c>
      <c r="B89" s="532"/>
      <c r="C89" s="532"/>
      <c r="D89" s="1294">
        <v>0.1</v>
      </c>
      <c r="E89" s="1190"/>
      <c r="F89" s="1190"/>
      <c r="G89" s="1190"/>
      <c r="H89" s="1190"/>
      <c r="I89" s="1190"/>
      <c r="J89" s="1190"/>
      <c r="K89" s="1190"/>
      <c r="L89" s="1190"/>
      <c r="M89" s="1190"/>
    </row>
    <row r="90" spans="1:13" x14ac:dyDescent="0.15">
      <c r="A90" s="941" t="s">
        <v>108</v>
      </c>
      <c r="B90" s="532"/>
      <c r="C90" s="532"/>
      <c r="D90" s="1243">
        <v>0.03</v>
      </c>
      <c r="E90" s="1190"/>
      <c r="F90" s="1190"/>
      <c r="G90" s="1190"/>
      <c r="H90" s="1190"/>
      <c r="I90" s="1190"/>
      <c r="J90" s="1190"/>
      <c r="K90" s="1190"/>
      <c r="L90" s="1190"/>
      <c r="M90" s="1190"/>
    </row>
    <row r="91" spans="1:13" ht="14" thickBot="1" x14ac:dyDescent="0.2">
      <c r="A91" s="947" t="s">
        <v>95</v>
      </c>
      <c r="B91" s="1062"/>
      <c r="C91" s="1062"/>
      <c r="D91" s="1063">
        <v>0.09</v>
      </c>
      <c r="E91" s="1190"/>
      <c r="F91" s="1190"/>
      <c r="G91" s="1190"/>
      <c r="H91" s="1190"/>
      <c r="I91" s="1190"/>
      <c r="J91" s="1190"/>
      <c r="K91" s="1190"/>
      <c r="L91" s="1190"/>
      <c r="M91" s="1190"/>
    </row>
    <row r="92" spans="1:13" x14ac:dyDescent="0.15">
      <c r="A92" s="1190"/>
      <c r="B92" s="1191"/>
      <c r="C92" s="1191"/>
      <c r="D92" s="1190"/>
      <c r="E92" s="1190"/>
      <c r="F92" s="1190"/>
      <c r="G92" s="1190"/>
      <c r="H92" s="1190"/>
      <c r="I92" s="1190"/>
      <c r="J92" s="1190"/>
      <c r="K92" s="1190"/>
      <c r="L92" s="1190"/>
      <c r="M92" s="1190"/>
    </row>
    <row r="93" spans="1:13" x14ac:dyDescent="0.15">
      <c r="A93" s="1190"/>
    </row>
  </sheetData>
  <phoneticPr fontId="3" type="noConversion"/>
  <printOptions horizontalCentered="1"/>
  <pageMargins left="0.5" right="0.5" top="1" bottom="0.5" header="0.5" footer="0.5"/>
  <pageSetup scale="48" orientation="landscape" r:id="rId1"/>
  <headerFooter alignWithMargins="0">
    <oddHeader>&amp;L&amp;"Arial,Bold"8. Income Statement: Structured Parking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R201"/>
  <sheetViews>
    <sheetView view="pageBreakPreview" zoomScale="90" zoomScaleNormal="55" zoomScaleSheetLayoutView="90" zoomScalePageLayoutView="55" workbookViewId="0">
      <selection activeCell="A2" sqref="A2:N3"/>
    </sheetView>
  </sheetViews>
  <sheetFormatPr baseColWidth="10" defaultColWidth="9.1640625" defaultRowHeight="13" x14ac:dyDescent="0.15"/>
  <cols>
    <col min="1" max="1" width="32.33203125" style="882" customWidth="1"/>
    <col min="2" max="2" width="24.5" style="882" customWidth="1"/>
    <col min="3" max="3" width="12.83203125" style="882" customWidth="1"/>
    <col min="4" max="14" width="13.6640625" style="882" customWidth="1"/>
    <col min="15" max="16384" width="9.1640625" style="882"/>
  </cols>
  <sheetData>
    <row r="1" spans="1:18" ht="14" thickBot="1" x14ac:dyDescent="0.2">
      <c r="M1" s="633" t="s">
        <v>96</v>
      </c>
      <c r="N1" s="634">
        <v>183690</v>
      </c>
    </row>
    <row r="2" spans="1:18" x14ac:dyDescent="0.15">
      <c r="A2" s="1464" t="s">
        <v>82</v>
      </c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  <c r="N2" s="1483"/>
    </row>
    <row r="3" spans="1:18" ht="14" thickBot="1" x14ac:dyDescent="0.2">
      <c r="A3" s="1467" t="s">
        <v>81</v>
      </c>
      <c r="B3" s="1484"/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5"/>
    </row>
    <row r="4" spans="1:18" ht="14" thickBot="1" x14ac:dyDescent="0.2">
      <c r="A4" s="1303"/>
      <c r="B4" s="1304"/>
      <c r="C4" s="1304"/>
      <c r="D4" s="1305" t="s">
        <v>58</v>
      </c>
      <c r="E4" s="1306" t="s">
        <v>37</v>
      </c>
      <c r="F4" s="1307"/>
      <c r="G4" s="1307"/>
      <c r="H4" s="1306" t="s">
        <v>79</v>
      </c>
      <c r="I4" s="1308"/>
      <c r="J4" s="1309"/>
      <c r="K4" s="1306" t="s">
        <v>80</v>
      </c>
      <c r="L4" s="939"/>
      <c r="M4" s="936"/>
      <c r="N4" s="937"/>
    </row>
    <row r="5" spans="1:18" ht="14" thickBot="1" x14ac:dyDescent="0.2">
      <c r="A5" s="1310"/>
      <c r="B5" s="1276" t="s">
        <v>84</v>
      </c>
      <c r="C5" s="1276" t="s">
        <v>83</v>
      </c>
      <c r="D5" s="1276" t="s">
        <v>362</v>
      </c>
      <c r="E5" s="934">
        <v>2020</v>
      </c>
      <c r="F5" s="1276">
        <f>E5+1</f>
        <v>2021</v>
      </c>
      <c r="G5" s="1276">
        <f t="shared" ref="G5:L5" si="0">F5+1</f>
        <v>2022</v>
      </c>
      <c r="H5" s="934">
        <f t="shared" si="0"/>
        <v>2023</v>
      </c>
      <c r="I5" s="1276">
        <f t="shared" si="0"/>
        <v>2024</v>
      </c>
      <c r="J5" s="1277">
        <f t="shared" si="0"/>
        <v>2025</v>
      </c>
      <c r="K5" s="934">
        <f t="shared" si="0"/>
        <v>2026</v>
      </c>
      <c r="L5" s="1276">
        <f t="shared" si="0"/>
        <v>2027</v>
      </c>
      <c r="M5" s="1276">
        <f>L5+1</f>
        <v>2028</v>
      </c>
      <c r="N5" s="1277">
        <f>M5+1</f>
        <v>2029</v>
      </c>
    </row>
    <row r="6" spans="1:18" ht="4.5" customHeight="1" x14ac:dyDescent="0.15">
      <c r="A6" s="933"/>
      <c r="B6" s="1183"/>
      <c r="C6" s="1183"/>
      <c r="D6" s="1181"/>
      <c r="E6" s="1059"/>
      <c r="F6" s="1059"/>
      <c r="G6" s="1059"/>
      <c r="H6" s="941"/>
      <c r="I6" s="1059"/>
      <c r="J6" s="1073"/>
      <c r="K6" s="941"/>
      <c r="L6" s="1059"/>
      <c r="M6" s="1059"/>
      <c r="N6" s="1073"/>
    </row>
    <row r="7" spans="1:18" x14ac:dyDescent="0.15">
      <c r="A7" s="1071" t="s">
        <v>37</v>
      </c>
      <c r="B7" s="532"/>
      <c r="C7" s="532"/>
      <c r="D7" s="1083"/>
      <c r="E7" s="1079"/>
      <c r="F7" s="1079"/>
      <c r="G7" s="883"/>
      <c r="H7" s="1082"/>
      <c r="I7" s="1079"/>
      <c r="J7" s="1083"/>
      <c r="K7" s="1082"/>
      <c r="L7" s="1079"/>
      <c r="M7" s="1079"/>
      <c r="N7" s="1083"/>
      <c r="O7" s="883"/>
      <c r="P7" s="883"/>
      <c r="Q7" s="883"/>
      <c r="R7" s="883"/>
    </row>
    <row r="8" spans="1:18" x14ac:dyDescent="0.15">
      <c r="A8" s="941" t="s">
        <v>478</v>
      </c>
      <c r="B8" s="532" t="s">
        <v>478</v>
      </c>
      <c r="C8" s="1096">
        <v>38884</v>
      </c>
      <c r="D8" s="1083"/>
      <c r="E8" s="1079"/>
      <c r="F8" s="1079">
        <v>38884</v>
      </c>
      <c r="G8" s="883"/>
      <c r="H8" s="1082"/>
      <c r="I8" s="1079"/>
      <c r="J8" s="1083"/>
      <c r="K8" s="1082"/>
      <c r="L8" s="1079"/>
      <c r="M8" s="1079"/>
      <c r="N8" s="1083"/>
      <c r="O8" s="883"/>
      <c r="P8" s="883"/>
      <c r="Q8" s="883"/>
      <c r="R8" s="883"/>
    </row>
    <row r="9" spans="1:18" hidden="1" x14ac:dyDescent="0.15">
      <c r="A9" s="941" t="s">
        <v>49</v>
      </c>
      <c r="B9" s="532" t="s">
        <v>298</v>
      </c>
      <c r="C9" s="1096"/>
      <c r="D9" s="1083"/>
      <c r="E9" s="1079"/>
      <c r="F9" s="1079"/>
      <c r="G9" s="883"/>
      <c r="H9" s="1082"/>
      <c r="I9" s="1079"/>
      <c r="J9" s="1083"/>
      <c r="K9" s="1082"/>
      <c r="L9" s="1079"/>
      <c r="M9" s="1079"/>
      <c r="N9" s="1083"/>
      <c r="O9" s="883"/>
      <c r="P9" s="883"/>
      <c r="Q9" s="883"/>
      <c r="R9" s="883"/>
    </row>
    <row r="10" spans="1:18" x14ac:dyDescent="0.15">
      <c r="A10" s="941" t="s">
        <v>51</v>
      </c>
      <c r="B10" s="532" t="s">
        <v>523</v>
      </c>
      <c r="C10" s="1096">
        <v>14395</v>
      </c>
      <c r="D10" s="1083"/>
      <c r="E10" s="1079"/>
      <c r="F10" s="1079"/>
      <c r="G10" s="883">
        <v>14395</v>
      </c>
      <c r="H10" s="1082"/>
      <c r="I10" s="1079"/>
      <c r="J10" s="1083"/>
      <c r="K10" s="1082"/>
      <c r="L10" s="1079"/>
      <c r="M10" s="1079"/>
      <c r="N10" s="1083"/>
      <c r="O10" s="883"/>
      <c r="P10" s="883"/>
      <c r="Q10" s="883"/>
      <c r="R10" s="883"/>
    </row>
    <row r="11" spans="1:18" x14ac:dyDescent="0.15">
      <c r="A11" s="941" t="s">
        <v>85</v>
      </c>
      <c r="B11" s="532" t="s">
        <v>50</v>
      </c>
      <c r="C11" s="1096">
        <f>38994+21162+9779+20408</f>
        <v>90343</v>
      </c>
      <c r="D11" s="1083"/>
      <c r="E11" s="1079">
        <f>20408+9779+21162</f>
        <v>51349</v>
      </c>
      <c r="F11" s="532">
        <f>38994</f>
        <v>38994</v>
      </c>
      <c r="G11" s="883"/>
      <c r="H11" s="1082"/>
      <c r="I11" s="1079"/>
      <c r="J11" s="1083"/>
      <c r="K11" s="1082"/>
      <c r="L11" s="1079"/>
      <c r="M11" s="1079"/>
      <c r="N11" s="1083"/>
      <c r="O11" s="883"/>
      <c r="P11" s="883"/>
      <c r="Q11" s="883"/>
      <c r="R11" s="883"/>
    </row>
    <row r="12" spans="1:18" hidden="1" x14ac:dyDescent="0.15">
      <c r="A12" s="941" t="s">
        <v>86</v>
      </c>
      <c r="B12" s="532" t="s">
        <v>48</v>
      </c>
      <c r="C12" s="1096"/>
      <c r="D12" s="1083"/>
      <c r="E12" s="1079"/>
      <c r="F12" s="1079"/>
      <c r="G12" s="883"/>
      <c r="H12" s="1082"/>
      <c r="I12" s="1079"/>
      <c r="J12" s="1083"/>
      <c r="K12" s="1082"/>
      <c r="L12" s="1079"/>
      <c r="M12" s="1079"/>
      <c r="N12" s="1083"/>
      <c r="O12" s="883"/>
      <c r="P12" s="883"/>
      <c r="Q12" s="883"/>
      <c r="R12" s="883"/>
    </row>
    <row r="13" spans="1:18" x14ac:dyDescent="0.15">
      <c r="A13" s="941" t="s">
        <v>296</v>
      </c>
      <c r="B13" s="532" t="s">
        <v>491</v>
      </c>
      <c r="C13" s="1096">
        <v>230816</v>
      </c>
      <c r="D13" s="1083"/>
      <c r="E13" s="1079">
        <f>C13*(2/3)</f>
        <v>153877.33333333331</v>
      </c>
      <c r="F13" s="1079">
        <f>C13*(1/3)</f>
        <v>76938.666666666657</v>
      </c>
      <c r="G13" s="883"/>
      <c r="H13" s="1082"/>
      <c r="I13" s="1079"/>
      <c r="J13" s="1083"/>
      <c r="K13" s="1082"/>
      <c r="L13" s="1079"/>
      <c r="M13" s="1079"/>
      <c r="N13" s="1083"/>
      <c r="O13" s="883"/>
      <c r="P13" s="883"/>
      <c r="Q13" s="883"/>
      <c r="R13" s="883"/>
    </row>
    <row r="14" spans="1:18" x14ac:dyDescent="0.15">
      <c r="A14" s="941" t="s">
        <v>296</v>
      </c>
      <c r="B14" s="532" t="s">
        <v>493</v>
      </c>
      <c r="C14" s="1096">
        <v>25646</v>
      </c>
      <c r="D14" s="1083"/>
      <c r="E14" s="1079">
        <f>C14*(2/3)</f>
        <v>17097.333333333332</v>
      </c>
      <c r="F14" s="1079">
        <f>C14*(1/3)</f>
        <v>8548.6666666666661</v>
      </c>
      <c r="G14" s="883"/>
      <c r="H14" s="1082"/>
      <c r="I14" s="1079"/>
      <c r="J14" s="1083"/>
      <c r="K14" s="1082"/>
      <c r="L14" s="1079"/>
      <c r="M14" s="1079"/>
      <c r="N14" s="1083"/>
      <c r="O14" s="883"/>
      <c r="P14" s="883"/>
      <c r="Q14" s="883"/>
      <c r="R14" s="883"/>
    </row>
    <row r="15" spans="1:18" x14ac:dyDescent="0.15">
      <c r="A15" s="941" t="s">
        <v>489</v>
      </c>
      <c r="B15" s="532" t="s">
        <v>501</v>
      </c>
      <c r="C15" s="1096">
        <f>12823+18198+18198+18198+8657</f>
        <v>76074</v>
      </c>
      <c r="D15" s="1083"/>
      <c r="E15" s="1079">
        <f>18198+18198+18198</f>
        <v>54594</v>
      </c>
      <c r="F15" s="1079">
        <f>12823+8657</f>
        <v>21480</v>
      </c>
      <c r="G15" s="883"/>
      <c r="H15" s="1082"/>
      <c r="I15" s="1079"/>
      <c r="J15" s="1083"/>
      <c r="K15" s="1082"/>
      <c r="L15" s="1079"/>
      <c r="M15" s="1079"/>
      <c r="N15" s="1083"/>
      <c r="O15" s="883"/>
      <c r="P15" s="883"/>
      <c r="Q15" s="883"/>
      <c r="R15" s="883"/>
    </row>
    <row r="16" spans="1:18" hidden="1" x14ac:dyDescent="0.15">
      <c r="A16" s="941" t="s">
        <v>299</v>
      </c>
      <c r="B16" s="532" t="s">
        <v>50</v>
      </c>
      <c r="C16" s="1096"/>
      <c r="D16" s="1083"/>
      <c r="E16" s="1079"/>
      <c r="F16" s="1079"/>
      <c r="G16" s="883"/>
      <c r="H16" s="1082"/>
      <c r="I16" s="1079"/>
      <c r="J16" s="1083"/>
      <c r="K16" s="1082"/>
      <c r="L16" s="1079"/>
      <c r="M16" s="1079"/>
      <c r="N16" s="1083"/>
      <c r="O16" s="883"/>
      <c r="P16" s="883"/>
      <c r="Q16" s="883"/>
      <c r="R16" s="883"/>
    </row>
    <row r="17" spans="1:18" hidden="1" x14ac:dyDescent="0.15">
      <c r="A17" s="531" t="s">
        <v>419</v>
      </c>
      <c r="B17" s="532"/>
      <c r="C17" s="1096"/>
      <c r="D17" s="1083"/>
      <c r="E17" s="1079"/>
      <c r="F17" s="1079"/>
      <c r="G17" s="883"/>
      <c r="H17" s="1082"/>
      <c r="I17" s="1079"/>
      <c r="J17" s="1083"/>
      <c r="K17" s="1082"/>
      <c r="L17" s="1079"/>
      <c r="M17" s="1079"/>
      <c r="N17" s="1083"/>
      <c r="O17" s="883"/>
      <c r="P17" s="883"/>
      <c r="Q17" s="883"/>
      <c r="R17" s="883"/>
    </row>
    <row r="18" spans="1:18" x14ac:dyDescent="0.15">
      <c r="A18" s="941" t="s">
        <v>517</v>
      </c>
      <c r="B18" s="532" t="s">
        <v>48</v>
      </c>
      <c r="C18" s="1096">
        <f>38994+21162+9779+20408</f>
        <v>90343</v>
      </c>
      <c r="D18" s="1083"/>
      <c r="E18" s="1079">
        <f>20408+9779+21162</f>
        <v>51349</v>
      </c>
      <c r="F18" s="532">
        <f>38994</f>
        <v>38994</v>
      </c>
      <c r="G18" s="1079"/>
      <c r="H18" s="1082"/>
      <c r="I18" s="1079"/>
      <c r="J18" s="1083"/>
      <c r="K18" s="1082"/>
      <c r="L18" s="1079"/>
      <c r="M18" s="1079"/>
      <c r="N18" s="1083"/>
      <c r="O18" s="883"/>
      <c r="P18" s="883"/>
      <c r="Q18" s="883"/>
      <c r="R18" s="883"/>
    </row>
    <row r="19" spans="1:18" hidden="1" x14ac:dyDescent="0.15">
      <c r="A19" s="941" t="s">
        <v>67</v>
      </c>
      <c r="B19" s="532" t="s">
        <v>67</v>
      </c>
      <c r="C19" s="1096"/>
      <c r="D19" s="1083"/>
      <c r="E19" s="1079"/>
      <c r="F19" s="1079"/>
      <c r="G19" s="1079"/>
      <c r="H19" s="1082"/>
      <c r="I19" s="1079"/>
      <c r="J19" s="1083"/>
      <c r="K19" s="1082"/>
      <c r="L19" s="1079"/>
      <c r="M19" s="1079"/>
      <c r="N19" s="1083"/>
      <c r="O19" s="883"/>
      <c r="P19" s="883"/>
      <c r="Q19" s="883"/>
      <c r="R19" s="883"/>
    </row>
    <row r="20" spans="1:18" hidden="1" x14ac:dyDescent="0.15">
      <c r="A20" s="941" t="s">
        <v>48</v>
      </c>
      <c r="B20" s="532" t="s">
        <v>48</v>
      </c>
      <c r="C20" s="1096"/>
      <c r="D20" s="1083"/>
      <c r="E20" s="1079"/>
      <c r="F20" s="883"/>
      <c r="G20" s="1079"/>
      <c r="H20" s="1082"/>
      <c r="I20" s="1079"/>
      <c r="J20" s="1083"/>
      <c r="K20" s="1082"/>
      <c r="L20" s="1079"/>
      <c r="M20" s="1079"/>
      <c r="N20" s="1083"/>
      <c r="O20" s="883"/>
      <c r="P20" s="883"/>
      <c r="Q20" s="883"/>
      <c r="R20" s="883"/>
    </row>
    <row r="21" spans="1:18" hidden="1" x14ac:dyDescent="0.15">
      <c r="A21" s="941" t="s">
        <v>300</v>
      </c>
      <c r="B21" s="532" t="s">
        <v>197</v>
      </c>
      <c r="C21" s="1096"/>
      <c r="D21" s="1083"/>
      <c r="E21" s="1079"/>
      <c r="F21" s="1079"/>
      <c r="G21" s="1079"/>
      <c r="H21" s="1082"/>
      <c r="I21" s="1079"/>
      <c r="J21" s="1083"/>
      <c r="K21" s="1082"/>
      <c r="L21" s="1079"/>
      <c r="M21" s="1079"/>
      <c r="N21" s="1083"/>
      <c r="O21" s="883"/>
      <c r="P21" s="883"/>
      <c r="Q21" s="883"/>
      <c r="R21" s="883"/>
    </row>
    <row r="22" spans="1:18" x14ac:dyDescent="0.15">
      <c r="A22" s="941" t="s">
        <v>455</v>
      </c>
      <c r="B22" s="532" t="s">
        <v>496</v>
      </c>
      <c r="C22" s="1096">
        <f>36858+9997+8169+4819+2677+7148</f>
        <v>69668</v>
      </c>
      <c r="D22" s="1083"/>
      <c r="E22" s="1079">
        <f>C22*(2/3)</f>
        <v>46445.333333333328</v>
      </c>
      <c r="F22" s="1079">
        <f>C22*(1/3)</f>
        <v>23222.666666666664</v>
      </c>
      <c r="G22" s="1079"/>
      <c r="H22" s="1082"/>
      <c r="I22" s="1079"/>
      <c r="J22" s="1083"/>
      <c r="K22" s="1082"/>
      <c r="L22" s="1079"/>
      <c r="M22" s="1079"/>
      <c r="N22" s="1083"/>
      <c r="O22" s="883"/>
      <c r="P22" s="883"/>
      <c r="Q22" s="883"/>
      <c r="R22" s="883"/>
    </row>
    <row r="23" spans="1:18" x14ac:dyDescent="0.15">
      <c r="A23" s="941" t="s">
        <v>490</v>
      </c>
      <c r="B23" s="532" t="s">
        <v>498</v>
      </c>
      <c r="C23" s="1096">
        <v>80615</v>
      </c>
      <c r="D23" s="1083"/>
      <c r="E23" s="1079">
        <f>C23*(2/3)</f>
        <v>53743.333333333328</v>
      </c>
      <c r="F23" s="1079">
        <f>C23*(1/3)</f>
        <v>26871.666666666664</v>
      </c>
      <c r="G23" s="1079"/>
      <c r="H23" s="1082"/>
      <c r="I23" s="1079"/>
      <c r="J23" s="1083"/>
      <c r="K23" s="1082"/>
      <c r="L23" s="1079"/>
      <c r="M23" s="1079"/>
      <c r="N23" s="1083"/>
      <c r="O23" s="883"/>
      <c r="P23" s="883"/>
      <c r="Q23" s="883"/>
      <c r="R23" s="883"/>
    </row>
    <row r="24" spans="1:18" x14ac:dyDescent="0.15">
      <c r="A24" s="941" t="s">
        <v>462</v>
      </c>
      <c r="B24" s="532" t="s">
        <v>518</v>
      </c>
      <c r="C24" s="1096">
        <v>2498</v>
      </c>
      <c r="D24" s="1083"/>
      <c r="E24" s="1079">
        <f>C24</f>
        <v>2498</v>
      </c>
      <c r="F24" s="1079"/>
      <c r="G24" s="1079"/>
      <c r="H24" s="1082"/>
      <c r="I24" s="1079"/>
      <c r="J24" s="1083"/>
      <c r="K24" s="1082"/>
      <c r="L24" s="1079"/>
      <c r="M24" s="1079"/>
      <c r="N24" s="1083"/>
      <c r="O24" s="883"/>
      <c r="P24" s="883"/>
      <c r="Q24" s="883"/>
      <c r="R24" s="883"/>
    </row>
    <row r="25" spans="1:18" ht="14" thickBot="1" x14ac:dyDescent="0.2">
      <c r="A25" s="947" t="s">
        <v>528</v>
      </c>
      <c r="B25" s="1062" t="s">
        <v>499</v>
      </c>
      <c r="C25" s="1311">
        <v>10565</v>
      </c>
      <c r="D25" s="1184"/>
      <c r="E25" s="1315"/>
      <c r="F25" s="1291">
        <f>C25</f>
        <v>10565</v>
      </c>
      <c r="G25" s="1291"/>
      <c r="H25" s="1189"/>
      <c r="I25" s="1291"/>
      <c r="J25" s="1186"/>
      <c r="K25" s="1189"/>
      <c r="L25" s="1291"/>
      <c r="M25" s="1291"/>
      <c r="N25" s="1186"/>
      <c r="O25" s="883"/>
      <c r="P25" s="883"/>
      <c r="Q25" s="883"/>
      <c r="R25" s="883"/>
    </row>
    <row r="26" spans="1:18" ht="10" hidden="1" customHeight="1" x14ac:dyDescent="0.15">
      <c r="A26" s="933"/>
      <c r="B26" s="1065"/>
      <c r="C26" s="1319"/>
      <c r="D26" s="1320"/>
      <c r="E26" s="1187"/>
      <c r="F26" s="1320"/>
      <c r="G26" s="1320"/>
      <c r="H26" s="1187"/>
      <c r="I26" s="1320"/>
      <c r="J26" s="1188"/>
      <c r="K26" s="1082"/>
      <c r="L26" s="1079"/>
      <c r="M26" s="1079"/>
      <c r="N26" s="1083"/>
      <c r="O26" s="883"/>
      <c r="P26" s="883"/>
      <c r="Q26" s="883"/>
      <c r="R26" s="883"/>
    </row>
    <row r="27" spans="1:18" ht="9" hidden="1" customHeight="1" x14ac:dyDescent="0.15">
      <c r="A27" s="1071"/>
      <c r="B27" s="532"/>
      <c r="C27" s="1096"/>
      <c r="D27" s="1079"/>
      <c r="E27" s="1082"/>
      <c r="F27" s="1079"/>
      <c r="G27" s="1079"/>
      <c r="H27" s="1082"/>
      <c r="I27" s="1079"/>
      <c r="J27" s="1083"/>
      <c r="K27" s="1082"/>
      <c r="L27" s="1079"/>
      <c r="M27" s="1079"/>
      <c r="N27" s="1083"/>
      <c r="O27" s="883"/>
      <c r="P27" s="883"/>
      <c r="Q27" s="883"/>
      <c r="R27" s="883"/>
    </row>
    <row r="28" spans="1:18" hidden="1" x14ac:dyDescent="0.15">
      <c r="A28" s="941" t="s">
        <v>48</v>
      </c>
      <c r="B28" s="532" t="s">
        <v>48</v>
      </c>
      <c r="C28" s="1096"/>
      <c r="D28" s="883"/>
      <c r="E28" s="1082"/>
      <c r="F28" s="1079"/>
      <c r="G28" s="1079"/>
      <c r="H28" s="1082"/>
      <c r="I28" s="1079"/>
      <c r="J28" s="1083"/>
      <c r="K28" s="1082"/>
      <c r="L28" s="1079"/>
      <c r="M28" s="1079"/>
      <c r="N28" s="1083"/>
      <c r="O28" s="883"/>
      <c r="P28" s="883"/>
      <c r="Q28" s="883"/>
      <c r="R28" s="883"/>
    </row>
    <row r="29" spans="1:18" hidden="1" x14ac:dyDescent="0.15">
      <c r="A29" s="941" t="s">
        <v>85</v>
      </c>
      <c r="B29" s="532" t="s">
        <v>50</v>
      </c>
      <c r="C29" s="1096"/>
      <c r="D29" s="1079"/>
      <c r="E29" s="1082"/>
      <c r="F29" s="1079"/>
      <c r="G29" s="1079"/>
      <c r="H29" s="1082"/>
      <c r="I29" s="1079"/>
      <c r="J29" s="1083"/>
      <c r="K29" s="1082"/>
      <c r="L29" s="1079"/>
      <c r="M29" s="1079"/>
      <c r="N29" s="1083"/>
      <c r="O29" s="883"/>
      <c r="P29" s="883"/>
      <c r="Q29" s="883"/>
      <c r="R29" s="883"/>
    </row>
    <row r="30" spans="1:18" x14ac:dyDescent="0.15">
      <c r="A30" s="941" t="s">
        <v>296</v>
      </c>
      <c r="B30" s="532" t="s">
        <v>488</v>
      </c>
      <c r="C30" s="1096">
        <v>461632</v>
      </c>
      <c r="D30" s="1079"/>
      <c r="E30" s="1082">
        <f>C30*(2/3)</f>
        <v>307754.66666666663</v>
      </c>
      <c r="F30" s="1079">
        <f>C30*(1/3)</f>
        <v>153877.33333333331</v>
      </c>
      <c r="G30" s="1079"/>
      <c r="H30" s="1082"/>
      <c r="I30" s="1079"/>
      <c r="J30" s="1083"/>
      <c r="K30" s="1082"/>
      <c r="L30" s="1079"/>
      <c r="M30" s="1079"/>
      <c r="N30" s="1083"/>
      <c r="O30" s="883"/>
      <c r="P30" s="883"/>
      <c r="Q30" s="883"/>
      <c r="R30" s="883"/>
    </row>
    <row r="31" spans="1:18" x14ac:dyDescent="0.15">
      <c r="A31" s="941" t="s">
        <v>296</v>
      </c>
      <c r="B31" s="532" t="s">
        <v>492</v>
      </c>
      <c r="C31" s="1096">
        <v>51292</v>
      </c>
      <c r="D31" s="1079"/>
      <c r="E31" s="1082">
        <f>C31*(2/3)</f>
        <v>34194.666666666664</v>
      </c>
      <c r="F31" s="1079">
        <f>C31*(1/3)</f>
        <v>17097.333333333332</v>
      </c>
      <c r="G31" s="1079"/>
      <c r="H31" s="1082"/>
      <c r="I31" s="1079"/>
      <c r="J31" s="1083"/>
      <c r="K31" s="1082"/>
      <c r="L31" s="1079"/>
      <c r="M31" s="1079"/>
      <c r="N31" s="1083"/>
      <c r="O31" s="883"/>
      <c r="P31" s="883"/>
      <c r="Q31" s="883"/>
      <c r="R31" s="883"/>
    </row>
    <row r="32" spans="1:18" hidden="1" x14ac:dyDescent="0.15">
      <c r="A32" s="941" t="s">
        <v>48</v>
      </c>
      <c r="B32" s="532" t="s">
        <v>48</v>
      </c>
      <c r="C32" s="1096"/>
      <c r="D32" s="1079"/>
      <c r="E32" s="1082"/>
      <c r="F32" s="1079"/>
      <c r="G32" s="1079"/>
      <c r="H32" s="1082"/>
      <c r="I32" s="1079"/>
      <c r="J32" s="1083"/>
      <c r="K32" s="1082"/>
      <c r="L32" s="1079"/>
      <c r="M32" s="1079"/>
      <c r="N32" s="1083"/>
      <c r="O32" s="883"/>
      <c r="P32" s="883"/>
      <c r="Q32" s="883"/>
      <c r="R32" s="883"/>
    </row>
    <row r="33" spans="1:18" ht="14" thickBot="1" x14ac:dyDescent="0.2">
      <c r="A33" s="941" t="s">
        <v>54</v>
      </c>
      <c r="B33" s="532" t="s">
        <v>495</v>
      </c>
      <c r="C33" s="1096">
        <v>177065</v>
      </c>
      <c r="D33" s="1079"/>
      <c r="E33" s="1082">
        <f>C33*(2/3)</f>
        <v>118043.33333333333</v>
      </c>
      <c r="F33" s="1079">
        <f>C33*(1/3)</f>
        <v>59021.666666666664</v>
      </c>
      <c r="G33" s="883"/>
      <c r="H33" s="1082"/>
      <c r="I33" s="1079"/>
      <c r="J33" s="1083"/>
      <c r="K33" s="1082"/>
      <c r="L33" s="1079"/>
      <c r="M33" s="1079"/>
      <c r="N33" s="1083"/>
      <c r="O33" s="883"/>
      <c r="P33" s="883"/>
      <c r="Q33" s="883"/>
      <c r="R33" s="883"/>
    </row>
    <row r="34" spans="1:18" ht="4.5" customHeight="1" x14ac:dyDescent="0.15">
      <c r="A34" s="933"/>
      <c r="B34" s="1065"/>
      <c r="C34" s="1319"/>
      <c r="D34" s="1320"/>
      <c r="E34" s="1187"/>
      <c r="F34" s="1320"/>
      <c r="G34" s="1188"/>
      <c r="H34" s="1187"/>
      <c r="I34" s="1320"/>
      <c r="J34" s="1188"/>
      <c r="K34" s="1320"/>
      <c r="L34" s="1320"/>
      <c r="M34" s="1320"/>
      <c r="N34" s="1188"/>
      <c r="O34" s="883"/>
      <c r="P34" s="883"/>
      <c r="Q34" s="883"/>
      <c r="R34" s="883"/>
    </row>
    <row r="35" spans="1:18" x14ac:dyDescent="0.15">
      <c r="A35" s="1071" t="s">
        <v>418</v>
      </c>
      <c r="B35" s="532"/>
      <c r="C35" s="1096"/>
      <c r="D35" s="1079"/>
      <c r="E35" s="1082"/>
      <c r="F35" s="1079"/>
      <c r="G35" s="1083"/>
      <c r="H35" s="1082"/>
      <c r="I35" s="1079"/>
      <c r="J35" s="1083"/>
      <c r="K35" s="1079"/>
      <c r="L35" s="1079"/>
      <c r="M35" s="1079"/>
      <c r="N35" s="1083"/>
      <c r="O35" s="883"/>
      <c r="P35" s="883"/>
      <c r="Q35" s="883"/>
      <c r="R35" s="883"/>
    </row>
    <row r="36" spans="1:18" hidden="1" x14ac:dyDescent="0.15">
      <c r="A36" s="941" t="s">
        <v>428</v>
      </c>
      <c r="B36" s="532" t="s">
        <v>488</v>
      </c>
      <c r="C36" s="1096"/>
      <c r="D36" s="1079"/>
      <c r="E36" s="1082"/>
      <c r="F36" s="1079"/>
      <c r="G36" s="1083"/>
      <c r="H36" s="1082"/>
      <c r="I36" s="1079"/>
      <c r="J36" s="1083"/>
      <c r="K36" s="1079"/>
      <c r="L36" s="1079"/>
      <c r="M36" s="1079"/>
      <c r="N36" s="1083"/>
      <c r="O36" s="883"/>
      <c r="P36" s="883"/>
      <c r="Q36" s="883"/>
      <c r="R36" s="883"/>
    </row>
    <row r="37" spans="1:18" hidden="1" x14ac:dyDescent="0.15">
      <c r="A37" s="941" t="s">
        <v>429</v>
      </c>
      <c r="B37" s="532" t="s">
        <v>492</v>
      </c>
      <c r="C37" s="1096"/>
      <c r="D37" s="1079"/>
      <c r="E37" s="1082"/>
      <c r="F37" s="1079"/>
      <c r="G37" s="1083"/>
      <c r="H37" s="1082"/>
      <c r="I37" s="1079"/>
      <c r="J37" s="1083"/>
      <c r="K37" s="1079"/>
      <c r="L37" s="1079"/>
      <c r="M37" s="1079"/>
      <c r="N37" s="1083"/>
      <c r="O37" s="883"/>
      <c r="P37" s="883"/>
      <c r="Q37" s="883"/>
      <c r="R37" s="883"/>
    </row>
    <row r="38" spans="1:18" x14ac:dyDescent="0.15">
      <c r="A38" s="941" t="s">
        <v>49</v>
      </c>
      <c r="B38" s="532" t="s">
        <v>49</v>
      </c>
      <c r="C38" s="1096">
        <v>165000</v>
      </c>
      <c r="D38" s="1079"/>
      <c r="E38" s="1082"/>
      <c r="F38" s="1079"/>
      <c r="G38" s="1083"/>
      <c r="H38" s="1082">
        <f>C38</f>
        <v>165000</v>
      </c>
      <c r="I38" s="532"/>
      <c r="J38" s="1083"/>
      <c r="K38" s="1079"/>
      <c r="L38" s="1079"/>
      <c r="M38" s="1079"/>
      <c r="N38" s="1083"/>
      <c r="O38" s="883"/>
      <c r="P38" s="883"/>
      <c r="Q38" s="883"/>
      <c r="R38" s="883"/>
    </row>
    <row r="39" spans="1:18" x14ac:dyDescent="0.15">
      <c r="A39" s="941" t="s">
        <v>85</v>
      </c>
      <c r="B39" s="532" t="s">
        <v>50</v>
      </c>
      <c r="C39" s="1096">
        <v>56733</v>
      </c>
      <c r="D39" s="1079"/>
      <c r="E39" s="1082"/>
      <c r="F39" s="1079"/>
      <c r="G39" s="1083"/>
      <c r="H39" s="1082">
        <f>C39*0.5</f>
        <v>28366.5</v>
      </c>
      <c r="I39" s="1079">
        <f>C39*0.5</f>
        <v>28366.5</v>
      </c>
      <c r="J39" s="1083"/>
      <c r="K39" s="1079"/>
      <c r="L39" s="1079"/>
      <c r="M39" s="1079"/>
      <c r="N39" s="1083"/>
      <c r="O39" s="883"/>
      <c r="P39" s="883"/>
      <c r="Q39" s="883"/>
      <c r="R39" s="883"/>
    </row>
    <row r="40" spans="1:18" x14ac:dyDescent="0.15">
      <c r="A40" s="941" t="s">
        <v>67</v>
      </c>
      <c r="B40" s="532" t="s">
        <v>67</v>
      </c>
      <c r="C40" s="1096">
        <v>210336</v>
      </c>
      <c r="D40" s="1079"/>
      <c r="E40" s="1082"/>
      <c r="F40" s="1079"/>
      <c r="G40" s="1083"/>
      <c r="H40" s="1077"/>
      <c r="I40" s="1079">
        <f>C40</f>
        <v>210336</v>
      </c>
      <c r="J40" s="1083"/>
      <c r="K40" s="1079"/>
      <c r="L40" s="1079"/>
      <c r="M40" s="1079"/>
      <c r="N40" s="1083"/>
      <c r="O40" s="883"/>
      <c r="P40" s="883"/>
      <c r="Q40" s="883"/>
      <c r="R40" s="883"/>
    </row>
    <row r="41" spans="1:18" hidden="1" x14ac:dyDescent="0.15">
      <c r="A41" s="941" t="s">
        <v>296</v>
      </c>
      <c r="B41" s="532" t="s">
        <v>491</v>
      </c>
      <c r="C41" s="1096"/>
      <c r="D41" s="1079"/>
      <c r="E41" s="1082"/>
      <c r="F41" s="1079"/>
      <c r="G41" s="1083"/>
      <c r="H41" s="1082"/>
      <c r="I41" s="1079"/>
      <c r="J41" s="1083"/>
      <c r="K41" s="1079"/>
      <c r="L41" s="1079"/>
      <c r="M41" s="1079"/>
      <c r="N41" s="1083"/>
      <c r="O41" s="883"/>
      <c r="P41" s="883"/>
      <c r="Q41" s="883"/>
      <c r="R41" s="883"/>
    </row>
    <row r="42" spans="1:18" hidden="1" x14ac:dyDescent="0.15">
      <c r="A42" s="941" t="s">
        <v>296</v>
      </c>
      <c r="B42" s="532" t="s">
        <v>494</v>
      </c>
      <c r="C42" s="1096"/>
      <c r="D42" s="1079"/>
      <c r="E42" s="1082"/>
      <c r="F42" s="1079"/>
      <c r="G42" s="1083"/>
      <c r="H42" s="1082"/>
      <c r="I42" s="1079"/>
      <c r="J42" s="1083"/>
      <c r="K42" s="1079"/>
      <c r="L42" s="1079"/>
      <c r="M42" s="1079"/>
      <c r="N42" s="1083"/>
      <c r="O42" s="883"/>
      <c r="P42" s="883"/>
      <c r="Q42" s="883"/>
      <c r="R42" s="883"/>
    </row>
    <row r="43" spans="1:18" x14ac:dyDescent="0.15">
      <c r="A43" s="941" t="s">
        <v>48</v>
      </c>
      <c r="B43" s="532" t="s">
        <v>48</v>
      </c>
      <c r="C43" s="1096">
        <v>56733</v>
      </c>
      <c r="D43" s="1079"/>
      <c r="E43" s="1082"/>
      <c r="F43" s="1079"/>
      <c r="G43" s="1083"/>
      <c r="H43" s="1082">
        <f>C43*0.5</f>
        <v>28366.5</v>
      </c>
      <c r="I43" s="1079">
        <f>C43*0.5</f>
        <v>28366.5</v>
      </c>
      <c r="J43" s="1083"/>
      <c r="K43" s="1079"/>
      <c r="L43" s="1079"/>
      <c r="M43" s="1079"/>
      <c r="N43" s="1083"/>
      <c r="O43" s="883"/>
      <c r="P43" s="883"/>
      <c r="Q43" s="883"/>
      <c r="R43" s="883"/>
    </row>
    <row r="44" spans="1:18" x14ac:dyDescent="0.15">
      <c r="A44" s="941" t="s">
        <v>489</v>
      </c>
      <c r="B44" s="532" t="s">
        <v>501</v>
      </c>
      <c r="C44" s="1096">
        <v>11083</v>
      </c>
      <c r="D44" s="1079"/>
      <c r="E44" s="1082"/>
      <c r="F44" s="1079"/>
      <c r="G44" s="1083"/>
      <c r="H44" s="1082">
        <v>11083</v>
      </c>
      <c r="I44" s="1079"/>
      <c r="J44" s="1321"/>
      <c r="K44" s="1079"/>
      <c r="L44" s="1079"/>
      <c r="M44" s="1079"/>
      <c r="N44" s="1083"/>
      <c r="O44" s="883"/>
      <c r="P44" s="883"/>
      <c r="Q44" s="883"/>
      <c r="R44" s="883"/>
    </row>
    <row r="45" spans="1:18" hidden="1" x14ac:dyDescent="0.15">
      <c r="A45" s="941" t="s">
        <v>89</v>
      </c>
      <c r="B45" s="532" t="s">
        <v>491</v>
      </c>
      <c r="C45" s="1096"/>
      <c r="D45" s="1079"/>
      <c r="E45" s="1082"/>
      <c r="F45" s="1079"/>
      <c r="G45" s="1083"/>
      <c r="H45" s="1082"/>
      <c r="I45" s="1079"/>
      <c r="J45" s="1083"/>
      <c r="K45" s="1079"/>
      <c r="L45" s="1079"/>
      <c r="M45" s="1079"/>
      <c r="N45" s="1083"/>
      <c r="O45" s="883"/>
      <c r="P45" s="883"/>
      <c r="Q45" s="883"/>
      <c r="R45" s="883"/>
    </row>
    <row r="46" spans="1:18" hidden="1" x14ac:dyDescent="0.15">
      <c r="A46" s="941" t="s">
        <v>301</v>
      </c>
      <c r="B46" s="532" t="s">
        <v>48</v>
      </c>
      <c r="C46" s="1096"/>
      <c r="D46" s="1079"/>
      <c r="E46" s="1082"/>
      <c r="F46" s="1079"/>
      <c r="G46" s="1083"/>
      <c r="H46" s="1082"/>
      <c r="I46" s="1079"/>
      <c r="J46" s="1083"/>
      <c r="K46" s="1079"/>
      <c r="L46" s="1079"/>
      <c r="M46" s="1079"/>
      <c r="N46" s="1083"/>
      <c r="O46" s="883"/>
      <c r="P46" s="883"/>
      <c r="Q46" s="883"/>
      <c r="R46" s="883"/>
    </row>
    <row r="47" spans="1:18" hidden="1" x14ac:dyDescent="0.15">
      <c r="A47" s="941" t="s">
        <v>296</v>
      </c>
      <c r="B47" s="532" t="s">
        <v>488</v>
      </c>
      <c r="C47" s="1096"/>
      <c r="D47" s="1079"/>
      <c r="E47" s="1082"/>
      <c r="F47" s="1079"/>
      <c r="G47" s="1083"/>
      <c r="H47" s="1077"/>
      <c r="I47" s="1079"/>
      <c r="J47" s="1083"/>
      <c r="K47" s="1079"/>
      <c r="L47" s="1079"/>
      <c r="M47" s="1079"/>
      <c r="N47" s="1083"/>
      <c r="O47" s="883"/>
      <c r="P47" s="883"/>
      <c r="Q47" s="883"/>
      <c r="R47" s="883"/>
    </row>
    <row r="48" spans="1:18" hidden="1" x14ac:dyDescent="0.15">
      <c r="A48" s="941" t="s">
        <v>296</v>
      </c>
      <c r="B48" s="532" t="s">
        <v>492</v>
      </c>
      <c r="C48" s="1096"/>
      <c r="D48" s="1079"/>
      <c r="E48" s="1082"/>
      <c r="F48" s="1079"/>
      <c r="G48" s="1083"/>
      <c r="H48" s="1082"/>
      <c r="I48" s="1079"/>
      <c r="J48" s="1083"/>
      <c r="K48" s="1079"/>
      <c r="L48" s="1079"/>
      <c r="M48" s="1079"/>
      <c r="N48" s="1083"/>
      <c r="O48" s="883"/>
      <c r="P48" s="883"/>
      <c r="Q48" s="883"/>
      <c r="R48" s="883"/>
    </row>
    <row r="49" spans="1:18" hidden="1" x14ac:dyDescent="0.15">
      <c r="A49" s="941" t="s">
        <v>48</v>
      </c>
      <c r="B49" s="532" t="s">
        <v>48</v>
      </c>
      <c r="C49" s="1096"/>
      <c r="D49" s="1079"/>
      <c r="E49" s="1082"/>
      <c r="F49" s="1079"/>
      <c r="G49" s="1083"/>
      <c r="H49" s="1082"/>
      <c r="I49" s="1079"/>
      <c r="J49" s="1078"/>
      <c r="K49" s="1079"/>
      <c r="L49" s="1079"/>
      <c r="M49" s="1079"/>
      <c r="N49" s="1083"/>
      <c r="O49" s="883"/>
      <c r="P49" s="883"/>
      <c r="Q49" s="883"/>
      <c r="R49" s="883"/>
    </row>
    <row r="50" spans="1:18" hidden="1" x14ac:dyDescent="0.15">
      <c r="A50" s="941" t="s">
        <v>300</v>
      </c>
      <c r="B50" s="532" t="s">
        <v>197</v>
      </c>
      <c r="C50" s="1096"/>
      <c r="D50" s="1079"/>
      <c r="E50" s="1082"/>
      <c r="F50" s="1079"/>
      <c r="G50" s="1083"/>
      <c r="H50" s="1082"/>
      <c r="I50" s="1079"/>
      <c r="J50" s="1083"/>
      <c r="K50" s="1079"/>
      <c r="L50" s="1079"/>
      <c r="M50" s="1079"/>
      <c r="N50" s="1083"/>
      <c r="O50" s="883"/>
      <c r="P50" s="883"/>
      <c r="Q50" s="883"/>
      <c r="R50" s="883"/>
    </row>
    <row r="51" spans="1:18" hidden="1" x14ac:dyDescent="0.15">
      <c r="A51" s="941" t="s">
        <v>67</v>
      </c>
      <c r="B51" s="532" t="s">
        <v>67</v>
      </c>
      <c r="C51" s="1096"/>
      <c r="D51" s="1079"/>
      <c r="E51" s="1082"/>
      <c r="F51" s="1079"/>
      <c r="G51" s="1083"/>
      <c r="H51" s="1077"/>
      <c r="I51" s="1079"/>
      <c r="J51" s="1078"/>
      <c r="K51" s="1079"/>
      <c r="L51" s="1079"/>
      <c r="M51" s="1079"/>
      <c r="N51" s="1083"/>
      <c r="O51" s="883"/>
      <c r="P51" s="883"/>
      <c r="Q51" s="883"/>
      <c r="R51" s="883"/>
    </row>
    <row r="52" spans="1:18" hidden="1" x14ac:dyDescent="0.15">
      <c r="A52" s="941" t="s">
        <v>48</v>
      </c>
      <c r="B52" s="532" t="s">
        <v>48</v>
      </c>
      <c r="C52" s="1096"/>
      <c r="D52" s="1079"/>
      <c r="E52" s="1082"/>
      <c r="F52" s="1079"/>
      <c r="G52" s="1083"/>
      <c r="H52" s="1082"/>
      <c r="I52" s="1079"/>
      <c r="J52" s="1078"/>
      <c r="K52" s="1079"/>
      <c r="L52" s="1079"/>
      <c r="M52" s="1079"/>
      <c r="N52" s="1083"/>
      <c r="O52" s="883"/>
      <c r="P52" s="883"/>
      <c r="Q52" s="883"/>
      <c r="R52" s="883"/>
    </row>
    <row r="53" spans="1:18" hidden="1" x14ac:dyDescent="0.15">
      <c r="A53" s="941" t="s">
        <v>302</v>
      </c>
      <c r="B53" s="532" t="s">
        <v>67</v>
      </c>
      <c r="C53" s="1096"/>
      <c r="D53" s="1079"/>
      <c r="E53" s="1082"/>
      <c r="F53" s="1079"/>
      <c r="G53" s="1083"/>
      <c r="H53" s="1077"/>
      <c r="I53" s="1079"/>
      <c r="J53" s="1078"/>
      <c r="K53" s="1079"/>
      <c r="L53" s="1079"/>
      <c r="M53" s="1079"/>
      <c r="N53" s="1083"/>
      <c r="O53" s="883"/>
      <c r="P53" s="883"/>
      <c r="Q53" s="883"/>
      <c r="R53" s="883"/>
    </row>
    <row r="54" spans="1:18" s="1059" customFormat="1" hidden="1" x14ac:dyDescent="0.15">
      <c r="A54" s="941" t="s">
        <v>303</v>
      </c>
      <c r="B54" s="532" t="s">
        <v>48</v>
      </c>
      <c r="C54" s="1096"/>
      <c r="D54" s="1079"/>
      <c r="E54" s="1082"/>
      <c r="F54" s="1079"/>
      <c r="G54" s="1083"/>
      <c r="H54" s="1082"/>
      <c r="I54" s="532"/>
      <c r="J54" s="1083"/>
      <c r="K54" s="1079"/>
      <c r="L54" s="1079"/>
      <c r="M54" s="1079"/>
      <c r="N54" s="1083"/>
      <c r="O54" s="532"/>
      <c r="P54" s="532"/>
      <c r="Q54" s="532"/>
      <c r="R54" s="532"/>
    </row>
    <row r="55" spans="1:18" s="1059" customFormat="1" x14ac:dyDescent="0.15">
      <c r="A55" s="941" t="s">
        <v>490</v>
      </c>
      <c r="B55" s="532" t="s">
        <v>498</v>
      </c>
      <c r="C55" s="1096">
        <v>80615</v>
      </c>
      <c r="D55" s="1079"/>
      <c r="E55" s="1082"/>
      <c r="F55" s="1079"/>
      <c r="G55" s="1083"/>
      <c r="H55" s="1082">
        <f>C55*(2/3)</f>
        <v>53743.333333333328</v>
      </c>
      <c r="I55" s="1079">
        <f>C55*(1/3)</f>
        <v>26871.666666666664</v>
      </c>
      <c r="J55" s="1078"/>
      <c r="K55" s="1079"/>
      <c r="L55" s="1079"/>
      <c r="M55" s="1079"/>
      <c r="N55" s="1083"/>
      <c r="O55" s="532"/>
      <c r="P55" s="532"/>
      <c r="Q55" s="532"/>
      <c r="R55" s="532"/>
    </row>
    <row r="56" spans="1:18" s="1059" customFormat="1" ht="14" thickBot="1" x14ac:dyDescent="0.2">
      <c r="A56" s="947" t="s">
        <v>351</v>
      </c>
      <c r="B56" s="1062" t="s">
        <v>495</v>
      </c>
      <c r="C56" s="1311">
        <v>177065</v>
      </c>
      <c r="D56" s="1291"/>
      <c r="E56" s="1189"/>
      <c r="F56" s="1291"/>
      <c r="G56" s="1186"/>
      <c r="H56" s="1189">
        <f>C56</f>
        <v>177065</v>
      </c>
      <c r="I56" s="1291"/>
      <c r="J56" s="1186"/>
      <c r="K56" s="1291"/>
      <c r="L56" s="1291"/>
      <c r="M56" s="1291"/>
      <c r="N56" s="1186"/>
      <c r="O56" s="532"/>
      <c r="P56" s="532"/>
      <c r="Q56" s="532"/>
      <c r="R56" s="532"/>
    </row>
    <row r="57" spans="1:18" ht="4.5" customHeight="1" x14ac:dyDescent="0.15">
      <c r="A57" s="933"/>
      <c r="B57" s="1065"/>
      <c r="C57" s="1319"/>
      <c r="D57" s="1320"/>
      <c r="E57" s="1187"/>
      <c r="F57" s="1320"/>
      <c r="G57" s="1188"/>
      <c r="H57" s="1187"/>
      <c r="I57" s="1320"/>
      <c r="J57" s="1188"/>
      <c r="K57" s="1320"/>
      <c r="L57" s="1320"/>
      <c r="M57" s="1320"/>
      <c r="N57" s="1188"/>
      <c r="O57" s="883"/>
      <c r="P57" s="883"/>
      <c r="Q57" s="883"/>
      <c r="R57" s="883"/>
    </row>
    <row r="58" spans="1:18" x14ac:dyDescent="0.15">
      <c r="A58" s="1071" t="s">
        <v>80</v>
      </c>
      <c r="B58" s="532"/>
      <c r="C58" s="1096"/>
      <c r="D58" s="1079"/>
      <c r="E58" s="1082"/>
      <c r="F58" s="1079"/>
      <c r="G58" s="1083"/>
      <c r="H58" s="1082"/>
      <c r="I58" s="1079"/>
      <c r="J58" s="1083"/>
      <c r="K58" s="1079"/>
      <c r="L58" s="1079"/>
      <c r="M58" s="1079"/>
      <c r="N58" s="1083"/>
      <c r="O58" s="883"/>
      <c r="P58" s="883"/>
      <c r="Q58" s="883"/>
      <c r="R58" s="883"/>
    </row>
    <row r="59" spans="1:18" hidden="1" x14ac:dyDescent="0.15">
      <c r="A59" s="941" t="s">
        <v>428</v>
      </c>
      <c r="B59" s="532" t="s">
        <v>488</v>
      </c>
      <c r="C59" s="1096"/>
      <c r="D59" s="1079"/>
      <c r="E59" s="1082"/>
      <c r="F59" s="1079"/>
      <c r="G59" s="1083"/>
      <c r="H59" s="1082"/>
      <c r="I59" s="1079"/>
      <c r="J59" s="1083"/>
      <c r="K59" s="1079"/>
      <c r="L59" s="1079"/>
      <c r="M59" s="1079"/>
      <c r="N59" s="1083"/>
      <c r="O59" s="883"/>
      <c r="P59" s="883"/>
      <c r="Q59" s="883"/>
      <c r="R59" s="883"/>
    </row>
    <row r="60" spans="1:18" x14ac:dyDescent="0.15">
      <c r="A60" s="941" t="s">
        <v>514</v>
      </c>
      <c r="B60" s="532" t="s">
        <v>492</v>
      </c>
      <c r="C60" s="1096">
        <v>12745</v>
      </c>
      <c r="D60" s="1079"/>
      <c r="E60" s="1082"/>
      <c r="F60" s="1079"/>
      <c r="G60" s="1083"/>
      <c r="H60" s="1082"/>
      <c r="I60" s="1079"/>
      <c r="J60" s="1083"/>
      <c r="K60" s="1079">
        <f>C60*(2/3)</f>
        <v>8496.6666666666661</v>
      </c>
      <c r="L60" s="1079">
        <f>C60*(1/3)</f>
        <v>4248.333333333333</v>
      </c>
      <c r="M60" s="1079"/>
      <c r="N60" s="1083"/>
      <c r="O60" s="883"/>
      <c r="P60" s="883"/>
      <c r="Q60" s="883"/>
      <c r="R60" s="883"/>
    </row>
    <row r="61" spans="1:18" x14ac:dyDescent="0.15">
      <c r="A61" s="941" t="s">
        <v>490</v>
      </c>
      <c r="B61" s="532" t="s">
        <v>498</v>
      </c>
      <c r="C61" s="1096">
        <v>80615</v>
      </c>
      <c r="D61" s="1079"/>
      <c r="E61" s="1082"/>
      <c r="F61" s="1079"/>
      <c r="G61" s="1083"/>
      <c r="H61" s="1082"/>
      <c r="I61" s="1079"/>
      <c r="J61" s="1083"/>
      <c r="K61" s="1079">
        <f>C61*(2/3)</f>
        <v>53743.333333333328</v>
      </c>
      <c r="L61" s="1079">
        <f>C61*(1/3)</f>
        <v>26871.666666666664</v>
      </c>
      <c r="M61" s="1079"/>
      <c r="N61" s="1083"/>
      <c r="O61" s="883"/>
      <c r="P61" s="883"/>
      <c r="Q61" s="883"/>
      <c r="R61" s="883"/>
    </row>
    <row r="62" spans="1:18" hidden="1" x14ac:dyDescent="0.15">
      <c r="A62" s="941" t="s">
        <v>87</v>
      </c>
      <c r="B62" s="532" t="s">
        <v>48</v>
      </c>
      <c r="C62" s="1096"/>
      <c r="D62" s="1079"/>
      <c r="E62" s="1082"/>
      <c r="F62" s="1079"/>
      <c r="G62" s="1083"/>
      <c r="H62" s="1082"/>
      <c r="I62" s="1079"/>
      <c r="J62" s="1083"/>
      <c r="K62" s="1079"/>
      <c r="L62" s="1079"/>
      <c r="M62" s="1079"/>
      <c r="N62" s="1083"/>
      <c r="O62" s="883"/>
      <c r="P62" s="883"/>
      <c r="Q62" s="883"/>
      <c r="R62" s="883"/>
    </row>
    <row r="63" spans="1:18" hidden="1" x14ac:dyDescent="0.15">
      <c r="A63" s="941" t="s">
        <v>87</v>
      </c>
      <c r="B63" s="532" t="s">
        <v>48</v>
      </c>
      <c r="C63" s="1096"/>
      <c r="D63" s="1079"/>
      <c r="E63" s="1082"/>
      <c r="F63" s="1079"/>
      <c r="G63" s="1083"/>
      <c r="H63" s="1082"/>
      <c r="I63" s="1079"/>
      <c r="J63" s="1083"/>
      <c r="K63" s="1079"/>
      <c r="L63" s="1079"/>
      <c r="M63" s="1079"/>
      <c r="N63" s="1083"/>
      <c r="O63" s="883"/>
      <c r="P63" s="883"/>
      <c r="Q63" s="883"/>
      <c r="R63" s="883"/>
    </row>
    <row r="64" spans="1:18" x14ac:dyDescent="0.15">
      <c r="A64" s="941" t="s">
        <v>513</v>
      </c>
      <c r="B64" s="532" t="s">
        <v>491</v>
      </c>
      <c r="C64" s="1096">
        <v>57353</v>
      </c>
      <c r="D64" s="1079"/>
      <c r="E64" s="1082"/>
      <c r="F64" s="1079"/>
      <c r="G64" s="1083"/>
      <c r="H64" s="1082"/>
      <c r="I64" s="1079"/>
      <c r="J64" s="1083"/>
      <c r="K64" s="1079"/>
      <c r="L64" s="1079">
        <f>C64</f>
        <v>57353</v>
      </c>
      <c r="M64" s="1079"/>
      <c r="N64" s="1083"/>
      <c r="O64" s="883"/>
      <c r="P64" s="883"/>
      <c r="Q64" s="883"/>
      <c r="R64" s="883"/>
    </row>
    <row r="65" spans="1:18" x14ac:dyDescent="0.15">
      <c r="A65" s="941" t="s">
        <v>85</v>
      </c>
      <c r="B65" s="532" t="s">
        <v>50</v>
      </c>
      <c r="C65" s="1096">
        <f>39408+30930+36483</f>
        <v>106821</v>
      </c>
      <c r="D65" s="1079"/>
      <c r="E65" s="1082"/>
      <c r="F65" s="1079"/>
      <c r="G65" s="1083"/>
      <c r="H65" s="1082"/>
      <c r="I65" s="1079"/>
      <c r="J65" s="1083"/>
      <c r="K65" s="1079">
        <f>39408</f>
        <v>39408</v>
      </c>
      <c r="L65" s="1079">
        <f>30930</f>
        <v>30930</v>
      </c>
      <c r="M65" s="1079">
        <f>36483</f>
        <v>36483</v>
      </c>
      <c r="N65" s="1083"/>
      <c r="O65" s="883"/>
      <c r="P65" s="883"/>
      <c r="Q65" s="883"/>
      <c r="R65" s="883"/>
    </row>
    <row r="66" spans="1:18" x14ac:dyDescent="0.15">
      <c r="A66" s="941" t="s">
        <v>48</v>
      </c>
      <c r="B66" s="532" t="s">
        <v>48</v>
      </c>
      <c r="C66" s="1096">
        <f>30930+36483</f>
        <v>67413</v>
      </c>
      <c r="D66" s="1079"/>
      <c r="E66" s="1082"/>
      <c r="F66" s="1079"/>
      <c r="G66" s="1083"/>
      <c r="H66" s="1082"/>
      <c r="I66" s="1079"/>
      <c r="J66" s="1083"/>
      <c r="K66" s="1079"/>
      <c r="L66" s="1079">
        <f>30930</f>
        <v>30930</v>
      </c>
      <c r="M66" s="1079">
        <f>36483</f>
        <v>36483</v>
      </c>
      <c r="N66" s="1083"/>
      <c r="O66" s="883"/>
      <c r="P66" s="883"/>
      <c r="Q66" s="883"/>
      <c r="R66" s="883"/>
    </row>
    <row r="67" spans="1:18" hidden="1" x14ac:dyDescent="0.15">
      <c r="A67" s="941" t="s">
        <v>296</v>
      </c>
      <c r="B67" s="532" t="s">
        <v>491</v>
      </c>
      <c r="C67" s="1096"/>
      <c r="D67" s="1079"/>
      <c r="E67" s="1082"/>
      <c r="F67" s="1079"/>
      <c r="G67" s="1083"/>
      <c r="H67" s="1082"/>
      <c r="I67" s="1079"/>
      <c r="J67" s="1083"/>
      <c r="K67" s="1079"/>
      <c r="L67" s="1079"/>
      <c r="M67" s="1079"/>
      <c r="N67" s="1083"/>
      <c r="O67" s="883"/>
      <c r="P67" s="883"/>
      <c r="Q67" s="883"/>
      <c r="R67" s="883"/>
    </row>
    <row r="68" spans="1:18" x14ac:dyDescent="0.15">
      <c r="A68" s="941" t="s">
        <v>515</v>
      </c>
      <c r="B68" s="532" t="s">
        <v>494</v>
      </c>
      <c r="C68" s="1096">
        <v>6373</v>
      </c>
      <c r="D68" s="1079"/>
      <c r="E68" s="1082"/>
      <c r="F68" s="1079"/>
      <c r="G68" s="1083"/>
      <c r="H68" s="1082"/>
      <c r="I68" s="1079"/>
      <c r="J68" s="1083"/>
      <c r="K68" s="1079">
        <f>C68</f>
        <v>6373</v>
      </c>
      <c r="L68" s="1079"/>
      <c r="M68" s="1079"/>
      <c r="N68" s="1083"/>
      <c r="O68" s="883"/>
      <c r="P68" s="883"/>
      <c r="Q68" s="883"/>
      <c r="R68" s="883"/>
    </row>
    <row r="69" spans="1:18" x14ac:dyDescent="0.15">
      <c r="A69" s="941" t="s">
        <v>67</v>
      </c>
      <c r="B69" s="883" t="s">
        <v>146</v>
      </c>
      <c r="C69" s="1096">
        <f>291170+291176+145588</f>
        <v>727934</v>
      </c>
      <c r="D69" s="1079"/>
      <c r="E69" s="1082"/>
      <c r="F69" s="1079"/>
      <c r="G69" s="1083"/>
      <c r="H69" s="1082"/>
      <c r="I69" s="1079"/>
      <c r="J69" s="1083"/>
      <c r="K69" s="1079">
        <v>291170</v>
      </c>
      <c r="L69" s="1079">
        <v>291176</v>
      </c>
      <c r="M69" s="1079">
        <v>145588</v>
      </c>
      <c r="N69" s="1083"/>
      <c r="O69" s="883"/>
      <c r="P69" s="883"/>
      <c r="Q69" s="883"/>
      <c r="R69" s="883"/>
    </row>
    <row r="70" spans="1:18" x14ac:dyDescent="0.15">
      <c r="A70" s="941" t="s">
        <v>516</v>
      </c>
      <c r="B70" s="532" t="s">
        <v>488</v>
      </c>
      <c r="C70" s="1096">
        <v>114706</v>
      </c>
      <c r="D70" s="1079"/>
      <c r="E70" s="1082"/>
      <c r="F70" s="1079"/>
      <c r="G70" s="1083"/>
      <c r="H70" s="1082"/>
      <c r="I70" s="1079"/>
      <c r="J70" s="1083"/>
      <c r="K70" s="1079"/>
      <c r="L70" s="1079">
        <f>C70</f>
        <v>114706</v>
      </c>
      <c r="M70" s="1079"/>
      <c r="N70" s="1083"/>
      <c r="O70" s="883"/>
      <c r="P70" s="883"/>
      <c r="Q70" s="883"/>
      <c r="R70" s="883"/>
    </row>
    <row r="71" spans="1:18" hidden="1" x14ac:dyDescent="0.15">
      <c r="A71" s="941" t="s">
        <v>296</v>
      </c>
      <c r="B71" s="532" t="s">
        <v>492</v>
      </c>
      <c r="C71" s="1096"/>
      <c r="D71" s="1079"/>
      <c r="E71" s="1082"/>
      <c r="F71" s="1079"/>
      <c r="G71" s="1083"/>
      <c r="H71" s="1082"/>
      <c r="I71" s="1079"/>
      <c r="J71" s="1083"/>
      <c r="K71" s="1079"/>
      <c r="L71" s="1079"/>
      <c r="M71" s="1079"/>
      <c r="N71" s="1083"/>
      <c r="O71" s="883"/>
      <c r="P71" s="883"/>
      <c r="Q71" s="883"/>
      <c r="R71" s="883"/>
    </row>
    <row r="72" spans="1:18" hidden="1" x14ac:dyDescent="0.15">
      <c r="A72" s="941" t="s">
        <v>48</v>
      </c>
      <c r="B72" s="532" t="s">
        <v>48</v>
      </c>
      <c r="C72" s="1096"/>
      <c r="D72" s="1079"/>
      <c r="E72" s="1082"/>
      <c r="F72" s="1079"/>
      <c r="G72" s="1083"/>
      <c r="H72" s="1082"/>
      <c r="I72" s="1079"/>
      <c r="J72" s="1083"/>
      <c r="K72" s="1079"/>
      <c r="L72" s="1079"/>
      <c r="M72" s="1079"/>
      <c r="N72" s="1083"/>
      <c r="O72" s="883"/>
      <c r="P72" s="883"/>
      <c r="Q72" s="883"/>
      <c r="R72" s="883"/>
    </row>
    <row r="73" spans="1:18" x14ac:dyDescent="0.15">
      <c r="A73" s="941" t="s">
        <v>479</v>
      </c>
      <c r="B73" s="532" t="s">
        <v>512</v>
      </c>
      <c r="C73" s="1079">
        <f>18198+18198+18198</f>
        <v>54594</v>
      </c>
      <c r="D73" s="1079"/>
      <c r="E73" s="1082"/>
      <c r="F73" s="1079"/>
      <c r="G73" s="1083"/>
      <c r="H73" s="1082"/>
      <c r="I73" s="1079"/>
      <c r="J73" s="1083"/>
      <c r="K73" s="1079"/>
      <c r="L73" s="1079">
        <f>(2/3)*C73</f>
        <v>36396</v>
      </c>
      <c r="M73" s="1079">
        <f>(1/3)*C73</f>
        <v>18198</v>
      </c>
      <c r="N73" s="1083"/>
      <c r="O73" s="883"/>
      <c r="P73" s="883"/>
      <c r="Q73" s="883"/>
      <c r="R73" s="883"/>
    </row>
    <row r="74" spans="1:18" x14ac:dyDescent="0.15">
      <c r="A74" s="941" t="s">
        <v>306</v>
      </c>
      <c r="B74" s="532" t="s">
        <v>495</v>
      </c>
      <c r="C74" s="1079">
        <v>177065</v>
      </c>
      <c r="D74" s="1079"/>
      <c r="E74" s="1082"/>
      <c r="F74" s="1079"/>
      <c r="G74" s="1083"/>
      <c r="H74" s="1082"/>
      <c r="I74" s="1079"/>
      <c r="J74" s="1083"/>
      <c r="K74" s="1079"/>
      <c r="L74" s="1079"/>
      <c r="M74" s="1079">
        <f t="shared" ref="M74" si="1">C74</f>
        <v>177065</v>
      </c>
      <c r="N74" s="1083"/>
      <c r="O74" s="883"/>
      <c r="P74" s="883"/>
      <c r="Q74" s="883"/>
      <c r="R74" s="883"/>
    </row>
    <row r="75" spans="1:18" s="1059" customFormat="1" ht="4.5" customHeight="1" x14ac:dyDescent="0.15">
      <c r="A75" s="941"/>
      <c r="B75" s="532"/>
      <c r="C75" s="532"/>
      <c r="D75" s="1079"/>
      <c r="E75" s="1082"/>
      <c r="F75" s="1079"/>
      <c r="G75" s="1083"/>
      <c r="H75" s="1082"/>
      <c r="I75" s="1079"/>
      <c r="J75" s="1083"/>
      <c r="K75" s="1079"/>
      <c r="L75" s="1079"/>
      <c r="M75" s="1079"/>
      <c r="N75" s="1083"/>
      <c r="O75" s="532"/>
      <c r="P75" s="532"/>
      <c r="Q75" s="532"/>
      <c r="R75" s="532"/>
    </row>
    <row r="76" spans="1:18" s="1059" customFormat="1" x14ac:dyDescent="0.15">
      <c r="A76" s="1312" t="s">
        <v>109</v>
      </c>
      <c r="B76" s="1313"/>
      <c r="C76" s="1314"/>
      <c r="D76" s="1314"/>
      <c r="E76" s="1322"/>
      <c r="F76" s="1314"/>
      <c r="G76" s="1323"/>
      <c r="H76" s="1322"/>
      <c r="I76" s="1314"/>
      <c r="J76" s="1323"/>
      <c r="K76" s="1314"/>
      <c r="L76" s="1314"/>
      <c r="M76" s="1314"/>
      <c r="N76" s="1323"/>
      <c r="O76" s="532"/>
      <c r="P76" s="532"/>
      <c r="Q76" s="532"/>
      <c r="R76" s="532"/>
    </row>
    <row r="77" spans="1:18" x14ac:dyDescent="0.15">
      <c r="A77" s="941" t="s">
        <v>90</v>
      </c>
      <c r="B77" s="532"/>
      <c r="C77" s="532"/>
      <c r="D77" s="1079">
        <f>D9</f>
        <v>0</v>
      </c>
      <c r="E77" s="1082">
        <v>0</v>
      </c>
      <c r="F77" s="1079">
        <v>0</v>
      </c>
      <c r="G77" s="1083">
        <v>0</v>
      </c>
      <c r="H77" s="1082">
        <f>H38</f>
        <v>165000</v>
      </c>
      <c r="I77" s="1079">
        <v>0</v>
      </c>
      <c r="J77" s="1083">
        <v>0</v>
      </c>
      <c r="K77" s="1079">
        <v>0</v>
      </c>
      <c r="L77" s="1079">
        <v>0</v>
      </c>
      <c r="M77" s="1079">
        <v>0</v>
      </c>
      <c r="N77" s="1083">
        <v>0</v>
      </c>
      <c r="O77" s="883"/>
      <c r="P77" s="883"/>
      <c r="Q77" s="883"/>
      <c r="R77" s="883"/>
    </row>
    <row r="78" spans="1:18" x14ac:dyDescent="0.15">
      <c r="A78" s="941" t="s">
        <v>91</v>
      </c>
      <c r="B78" s="532"/>
      <c r="C78" s="532"/>
      <c r="D78" s="1079">
        <f>D10+D12+D18+D20+D28+D32+D38+D43+D46+D49+D52+D54+D62+D63+D66+D72</f>
        <v>0</v>
      </c>
      <c r="E78" s="1082">
        <f>E18</f>
        <v>51349</v>
      </c>
      <c r="F78" s="1079">
        <f>F18</f>
        <v>38994</v>
      </c>
      <c r="G78" s="1083">
        <f>G18</f>
        <v>0</v>
      </c>
      <c r="H78" s="1082">
        <f>H43</f>
        <v>28366.5</v>
      </c>
      <c r="I78" s="1079">
        <f>I43</f>
        <v>28366.5</v>
      </c>
      <c r="J78" s="1083">
        <f>J43</f>
        <v>0</v>
      </c>
      <c r="K78" s="1079">
        <f>K66</f>
        <v>0</v>
      </c>
      <c r="L78" s="1079">
        <f>L66</f>
        <v>30930</v>
      </c>
      <c r="M78" s="1079">
        <f>M66</f>
        <v>36483</v>
      </c>
      <c r="N78" s="1083">
        <f>N66</f>
        <v>0</v>
      </c>
      <c r="O78" s="883"/>
      <c r="P78" s="883"/>
      <c r="Q78" s="883"/>
      <c r="R78" s="883"/>
    </row>
    <row r="79" spans="1:18" x14ac:dyDescent="0.15">
      <c r="A79" s="941" t="s">
        <v>519</v>
      </c>
      <c r="B79" s="532"/>
      <c r="C79" s="532"/>
      <c r="D79" s="1079">
        <f t="shared" ref="D79" si="2">D30+D36+D47+D59+D70</f>
        <v>0</v>
      </c>
      <c r="E79" s="1082">
        <f t="shared" ref="E79:G80" si="3">E30</f>
        <v>307754.66666666663</v>
      </c>
      <c r="F79" s="1079">
        <f t="shared" si="3"/>
        <v>153877.33333333331</v>
      </c>
      <c r="G79" s="1083">
        <f t="shared" si="3"/>
        <v>0</v>
      </c>
      <c r="H79" s="1082">
        <v>0</v>
      </c>
      <c r="I79" s="1079">
        <v>0</v>
      </c>
      <c r="J79" s="1083">
        <v>0</v>
      </c>
      <c r="K79" s="1079">
        <f>K70</f>
        <v>0</v>
      </c>
      <c r="L79" s="1079">
        <f>L70</f>
        <v>114706</v>
      </c>
      <c r="M79" s="1079">
        <f>M70</f>
        <v>0</v>
      </c>
      <c r="N79" s="1083">
        <f>N70</f>
        <v>0</v>
      </c>
      <c r="O79" s="883"/>
      <c r="P79" s="883"/>
      <c r="Q79" s="883"/>
      <c r="R79" s="883"/>
    </row>
    <row r="80" spans="1:18" x14ac:dyDescent="0.15">
      <c r="A80" s="941" t="s">
        <v>520</v>
      </c>
      <c r="B80" s="532"/>
      <c r="C80" s="532"/>
      <c r="D80" s="1079">
        <f t="shared" ref="D80" si="4">D31+D37+D48+D60+D71</f>
        <v>0</v>
      </c>
      <c r="E80" s="1082">
        <f t="shared" si="3"/>
        <v>34194.666666666664</v>
      </c>
      <c r="F80" s="1079">
        <f t="shared" si="3"/>
        <v>17097.333333333332</v>
      </c>
      <c r="G80" s="1083">
        <f t="shared" si="3"/>
        <v>0</v>
      </c>
      <c r="H80" s="1082">
        <f>0</f>
        <v>0</v>
      </c>
      <c r="I80" s="1079">
        <v>0</v>
      </c>
      <c r="J80" s="1083">
        <v>0</v>
      </c>
      <c r="K80" s="1079">
        <f>K60</f>
        <v>8496.6666666666661</v>
      </c>
      <c r="L80" s="1079">
        <f>L60</f>
        <v>4248.333333333333</v>
      </c>
      <c r="M80" s="1079">
        <f>M60</f>
        <v>0</v>
      </c>
      <c r="N80" s="1083">
        <f>N60</f>
        <v>0</v>
      </c>
      <c r="O80" s="883"/>
      <c r="P80" s="883"/>
      <c r="Q80" s="883"/>
      <c r="R80" s="883"/>
    </row>
    <row r="81" spans="1:18" x14ac:dyDescent="0.15">
      <c r="A81" s="941" t="s">
        <v>521</v>
      </c>
      <c r="B81" s="532"/>
      <c r="C81" s="532"/>
      <c r="D81" s="1079">
        <f t="shared" ref="D81" si="5">D41+D45+D64+D67+D13</f>
        <v>0</v>
      </c>
      <c r="E81" s="1082">
        <f t="shared" ref="E81:G82" si="6">E13</f>
        <v>153877.33333333331</v>
      </c>
      <c r="F81" s="1079">
        <f t="shared" si="6"/>
        <v>76938.666666666657</v>
      </c>
      <c r="G81" s="1083">
        <f t="shared" si="6"/>
        <v>0</v>
      </c>
      <c r="H81" s="1082">
        <v>0</v>
      </c>
      <c r="I81" s="1079">
        <v>0</v>
      </c>
      <c r="J81" s="1083">
        <v>0</v>
      </c>
      <c r="K81" s="1079">
        <f>K64</f>
        <v>0</v>
      </c>
      <c r="L81" s="1079">
        <f>L64</f>
        <v>57353</v>
      </c>
      <c r="M81" s="1079">
        <f>M64</f>
        <v>0</v>
      </c>
      <c r="N81" s="1083">
        <f>N64</f>
        <v>0</v>
      </c>
      <c r="O81" s="883"/>
      <c r="P81" s="883"/>
      <c r="Q81" s="883"/>
      <c r="R81" s="883"/>
    </row>
    <row r="82" spans="1:18" x14ac:dyDescent="0.15">
      <c r="A82" s="941" t="s">
        <v>522</v>
      </c>
      <c r="B82" s="532"/>
      <c r="C82" s="532"/>
      <c r="D82" s="1079">
        <f t="shared" ref="D82" si="7">D14+D42+D68</f>
        <v>0</v>
      </c>
      <c r="E82" s="1082">
        <f t="shared" si="6"/>
        <v>17097.333333333332</v>
      </c>
      <c r="F82" s="1079">
        <f t="shared" si="6"/>
        <v>8548.6666666666661</v>
      </c>
      <c r="G82" s="1083">
        <f t="shared" si="6"/>
        <v>0</v>
      </c>
      <c r="H82" s="1082">
        <v>0</v>
      </c>
      <c r="I82" s="1079">
        <v>0</v>
      </c>
      <c r="J82" s="1083">
        <v>0</v>
      </c>
      <c r="K82" s="1079">
        <f>K68</f>
        <v>6373</v>
      </c>
      <c r="L82" s="1079">
        <f>L68</f>
        <v>0</v>
      </c>
      <c r="M82" s="1079">
        <f>M68</f>
        <v>0</v>
      </c>
      <c r="N82" s="1083">
        <f>N68</f>
        <v>0</v>
      </c>
      <c r="O82" s="883"/>
      <c r="P82" s="883"/>
      <c r="Q82" s="883"/>
      <c r="R82" s="883"/>
    </row>
    <row r="83" spans="1:18" x14ac:dyDescent="0.15">
      <c r="A83" s="1270" t="s">
        <v>308</v>
      </c>
      <c r="B83" s="532"/>
      <c r="C83" s="532"/>
      <c r="D83" s="1079">
        <f t="shared" ref="D83" si="8">D21+D50+D61+D69</f>
        <v>0</v>
      </c>
      <c r="E83" s="1082">
        <v>0</v>
      </c>
      <c r="F83" s="1079">
        <v>0</v>
      </c>
      <c r="G83" s="1083">
        <v>0</v>
      </c>
      <c r="H83" s="1082">
        <v>0</v>
      </c>
      <c r="I83" s="1079">
        <v>0</v>
      </c>
      <c r="J83" s="1083">
        <v>0</v>
      </c>
      <c r="K83" s="1079">
        <v>0</v>
      </c>
      <c r="L83" s="1079">
        <v>0</v>
      </c>
      <c r="M83" s="1079">
        <v>0</v>
      </c>
      <c r="N83" s="1083">
        <v>0</v>
      </c>
      <c r="O83" s="883"/>
      <c r="P83" s="883"/>
      <c r="Q83" s="883"/>
      <c r="R83" s="883"/>
    </row>
    <row r="84" spans="1:18" x14ac:dyDescent="0.15">
      <c r="A84" s="941" t="s">
        <v>461</v>
      </c>
      <c r="B84" s="532"/>
      <c r="C84" s="532"/>
      <c r="D84" s="1079">
        <f>D8+D19+D40+D51+D53</f>
        <v>0</v>
      </c>
      <c r="E84" s="1082">
        <f>E8</f>
        <v>0</v>
      </c>
      <c r="F84" s="1079">
        <f>F8</f>
        <v>38884</v>
      </c>
      <c r="G84" s="1083">
        <f>G8</f>
        <v>0</v>
      </c>
      <c r="H84" s="1082">
        <f>H40</f>
        <v>0</v>
      </c>
      <c r="I84" s="1079">
        <f>I40</f>
        <v>210336</v>
      </c>
      <c r="J84" s="1083">
        <f>J40</f>
        <v>0</v>
      </c>
      <c r="K84" s="1079">
        <f>K69</f>
        <v>291170</v>
      </c>
      <c r="L84" s="1079">
        <f>L69</f>
        <v>291176</v>
      </c>
      <c r="M84" s="1079">
        <f>M69</f>
        <v>145588</v>
      </c>
      <c r="N84" s="1083">
        <f>N69</f>
        <v>0</v>
      </c>
      <c r="O84" s="883"/>
      <c r="P84" s="883"/>
      <c r="Q84" s="883"/>
      <c r="R84" s="883"/>
    </row>
    <row r="85" spans="1:18" x14ac:dyDescent="0.15">
      <c r="A85" s="941" t="s">
        <v>92</v>
      </c>
      <c r="B85" s="532"/>
      <c r="C85" s="532"/>
      <c r="D85" s="1079">
        <f>D11+D16+D29+D39+D44+D55+D65</f>
        <v>0</v>
      </c>
      <c r="E85" s="1082">
        <f>E11</f>
        <v>51349</v>
      </c>
      <c r="F85" s="1079">
        <f>F11</f>
        <v>38994</v>
      </c>
      <c r="G85" s="1083">
        <f>G11</f>
        <v>0</v>
      </c>
      <c r="H85" s="1082">
        <f>H39</f>
        <v>28366.5</v>
      </c>
      <c r="I85" s="1079">
        <f>I39</f>
        <v>28366.5</v>
      </c>
      <c r="J85" s="1083">
        <f>J39</f>
        <v>0</v>
      </c>
      <c r="K85" s="1079">
        <f>K65</f>
        <v>39408</v>
      </c>
      <c r="L85" s="1079">
        <f>L65</f>
        <v>30930</v>
      </c>
      <c r="M85" s="1079">
        <f>M65</f>
        <v>36483</v>
      </c>
      <c r="N85" s="1083">
        <f>N65</f>
        <v>0</v>
      </c>
      <c r="O85" s="883"/>
      <c r="P85" s="883"/>
      <c r="Q85" s="883"/>
      <c r="R85" s="883"/>
    </row>
    <row r="86" spans="1:18" x14ac:dyDescent="0.15">
      <c r="A86" s="941" t="s">
        <v>93</v>
      </c>
      <c r="B86" s="532"/>
      <c r="C86" s="532"/>
      <c r="D86" s="1079">
        <v>0</v>
      </c>
      <c r="E86" s="1082">
        <f>E10</f>
        <v>0</v>
      </c>
      <c r="F86" s="1079">
        <f>F10</f>
        <v>0</v>
      </c>
      <c r="G86" s="1083">
        <v>14395</v>
      </c>
      <c r="H86" s="1082">
        <f>0</f>
        <v>0</v>
      </c>
      <c r="I86" s="1079">
        <v>0</v>
      </c>
      <c r="J86" s="1083">
        <v>0</v>
      </c>
      <c r="K86" s="1079">
        <v>0</v>
      </c>
      <c r="L86" s="1079">
        <v>0</v>
      </c>
      <c r="M86" s="1079">
        <v>0</v>
      </c>
      <c r="N86" s="1083">
        <v>0</v>
      </c>
      <c r="O86" s="883"/>
      <c r="P86" s="883"/>
      <c r="Q86" s="883"/>
      <c r="R86" s="883"/>
    </row>
    <row r="87" spans="1:18" x14ac:dyDescent="0.15">
      <c r="A87" s="941" t="s">
        <v>307</v>
      </c>
      <c r="B87" s="532"/>
      <c r="C87" s="532"/>
      <c r="D87" s="1079">
        <f>D33+D56+D74</f>
        <v>0</v>
      </c>
      <c r="E87" s="1082">
        <f>E33</f>
        <v>118043.33333333333</v>
      </c>
      <c r="F87" s="1079">
        <f>F33</f>
        <v>59021.666666666664</v>
      </c>
      <c r="G87" s="1083">
        <f>G33</f>
        <v>0</v>
      </c>
      <c r="H87" s="1082">
        <f>H56</f>
        <v>177065</v>
      </c>
      <c r="I87" s="1079">
        <f>I56</f>
        <v>0</v>
      </c>
      <c r="J87" s="1083">
        <f>J56</f>
        <v>0</v>
      </c>
      <c r="K87" s="1079">
        <f>K74</f>
        <v>0</v>
      </c>
      <c r="L87" s="1079">
        <f>L74</f>
        <v>0</v>
      </c>
      <c r="M87" s="1079">
        <f>M74</f>
        <v>177065</v>
      </c>
      <c r="N87" s="1083">
        <f>N74</f>
        <v>0</v>
      </c>
      <c r="O87" s="883"/>
      <c r="P87" s="883"/>
      <c r="Q87" s="883"/>
      <c r="R87" s="883"/>
    </row>
    <row r="88" spans="1:18" x14ac:dyDescent="0.15">
      <c r="A88" s="941" t="s">
        <v>457</v>
      </c>
      <c r="B88" s="532"/>
      <c r="C88" s="532"/>
      <c r="D88" s="1079">
        <f t="shared" ref="D88:G88" si="9">D22</f>
        <v>0</v>
      </c>
      <c r="E88" s="1082">
        <f>E22</f>
        <v>46445.333333333328</v>
      </c>
      <c r="F88" s="1079">
        <f>F22</f>
        <v>23222.666666666664</v>
      </c>
      <c r="G88" s="1083">
        <f t="shared" si="9"/>
        <v>0</v>
      </c>
      <c r="H88" s="1082">
        <v>0</v>
      </c>
      <c r="I88" s="1079">
        <v>0</v>
      </c>
      <c r="J88" s="1083">
        <v>0</v>
      </c>
      <c r="K88" s="1079">
        <v>0</v>
      </c>
      <c r="L88" s="1079">
        <v>0</v>
      </c>
      <c r="M88" s="1079">
        <v>0</v>
      </c>
      <c r="N88" s="1083">
        <v>0</v>
      </c>
      <c r="O88" s="883"/>
      <c r="P88" s="883"/>
      <c r="Q88" s="883"/>
      <c r="R88" s="883"/>
    </row>
    <row r="89" spans="1:18" x14ac:dyDescent="0.15">
      <c r="A89" s="941" t="s">
        <v>497</v>
      </c>
      <c r="B89" s="532"/>
      <c r="C89" s="532"/>
      <c r="D89" s="1079">
        <f t="shared" ref="D89:F89" si="10">D23</f>
        <v>0</v>
      </c>
      <c r="E89" s="1082">
        <f t="shared" si="10"/>
        <v>53743.333333333328</v>
      </c>
      <c r="F89" s="1079">
        <f t="shared" si="10"/>
        <v>26871.666666666664</v>
      </c>
      <c r="G89" s="1083">
        <f>G23</f>
        <v>0</v>
      </c>
      <c r="H89" s="1082">
        <f>H55</f>
        <v>53743.333333333328</v>
      </c>
      <c r="I89" s="1079">
        <f>I55</f>
        <v>26871.666666666664</v>
      </c>
      <c r="J89" s="1083">
        <f>J55</f>
        <v>0</v>
      </c>
      <c r="K89" s="1079">
        <f>K61</f>
        <v>53743.333333333328</v>
      </c>
      <c r="L89" s="1079">
        <f>L61</f>
        <v>26871.666666666664</v>
      </c>
      <c r="M89" s="1079">
        <f>M61</f>
        <v>0</v>
      </c>
      <c r="N89" s="1083">
        <f>N61</f>
        <v>0</v>
      </c>
      <c r="O89" s="883"/>
      <c r="P89" s="883"/>
      <c r="Q89" s="883"/>
      <c r="R89" s="883"/>
    </row>
    <row r="90" spans="1:18" x14ac:dyDescent="0.15">
      <c r="A90" s="941" t="s">
        <v>487</v>
      </c>
      <c r="B90" s="532"/>
      <c r="C90" s="532"/>
      <c r="D90" s="1079">
        <f t="shared" ref="D90:G90" si="11">D25</f>
        <v>0</v>
      </c>
      <c r="E90" s="1082">
        <f t="shared" si="11"/>
        <v>0</v>
      </c>
      <c r="F90" s="1079">
        <f t="shared" si="11"/>
        <v>10565</v>
      </c>
      <c r="G90" s="1083">
        <f t="shared" si="11"/>
        <v>0</v>
      </c>
      <c r="H90" s="1082">
        <v>0</v>
      </c>
      <c r="I90" s="1079">
        <v>0</v>
      </c>
      <c r="J90" s="1083">
        <v>0</v>
      </c>
      <c r="K90" s="1079">
        <v>0</v>
      </c>
      <c r="L90" s="1079">
        <v>0</v>
      </c>
      <c r="M90" s="1079">
        <v>0</v>
      </c>
      <c r="N90" s="1083">
        <v>0</v>
      </c>
      <c r="O90" s="883"/>
      <c r="P90" s="883"/>
      <c r="Q90" s="883"/>
      <c r="R90" s="883"/>
    </row>
    <row r="91" spans="1:18" x14ac:dyDescent="0.15">
      <c r="A91" s="941" t="s">
        <v>460</v>
      </c>
      <c r="B91" s="532"/>
      <c r="C91" s="532"/>
      <c r="D91" s="1079">
        <v>0</v>
      </c>
      <c r="E91" s="1082">
        <f>E24</f>
        <v>2498</v>
      </c>
      <c r="F91" s="1079">
        <f>F24</f>
        <v>0</v>
      </c>
      <c r="G91" s="1083">
        <f>G24</f>
        <v>0</v>
      </c>
      <c r="H91" s="1082">
        <v>0</v>
      </c>
      <c r="I91" s="1079">
        <v>0</v>
      </c>
      <c r="J91" s="1083">
        <v>0</v>
      </c>
      <c r="K91" s="1079">
        <v>0</v>
      </c>
      <c r="L91" s="1079">
        <v>0</v>
      </c>
      <c r="M91" s="1079">
        <v>0</v>
      </c>
      <c r="N91" s="1083">
        <v>0</v>
      </c>
      <c r="O91" s="883"/>
      <c r="P91" s="883"/>
      <c r="Q91" s="883"/>
      <c r="R91" s="883"/>
    </row>
    <row r="92" spans="1:18" ht="14" thickBot="1" x14ac:dyDescent="0.2">
      <c r="A92" s="882" t="s">
        <v>500</v>
      </c>
      <c r="B92" s="883"/>
      <c r="C92" s="883"/>
      <c r="D92" s="885">
        <f>D15+D24</f>
        <v>0</v>
      </c>
      <c r="E92" s="1315">
        <f t="shared" ref="E92:G92" si="12">E15</f>
        <v>54594</v>
      </c>
      <c r="F92" s="1062">
        <f t="shared" si="12"/>
        <v>21480</v>
      </c>
      <c r="G92" s="1184">
        <f t="shared" si="12"/>
        <v>0</v>
      </c>
      <c r="H92" s="1189">
        <f>H44</f>
        <v>11083</v>
      </c>
      <c r="I92" s="1291">
        <f>I44</f>
        <v>0</v>
      </c>
      <c r="J92" s="1291">
        <f>J44</f>
        <v>0</v>
      </c>
      <c r="K92" s="885">
        <f>K73</f>
        <v>0</v>
      </c>
      <c r="L92" s="885">
        <f>L73</f>
        <v>36396</v>
      </c>
      <c r="M92" s="885">
        <f>M73</f>
        <v>18198</v>
      </c>
      <c r="N92" s="885">
        <f>N73</f>
        <v>0</v>
      </c>
      <c r="O92" s="883"/>
      <c r="P92" s="883"/>
      <c r="Q92" s="883"/>
      <c r="R92" s="883"/>
    </row>
    <row r="93" spans="1:18" ht="14" thickBot="1" x14ac:dyDescent="0.2">
      <c r="A93" s="989" t="s">
        <v>32</v>
      </c>
      <c r="B93" s="1052"/>
      <c r="C93" s="1052"/>
      <c r="D93" s="1316">
        <f t="shared" ref="D93:N93" si="13">SUM(D77:D91)</f>
        <v>0</v>
      </c>
      <c r="E93" s="1317">
        <f t="shared" si="13"/>
        <v>836352.00000000012</v>
      </c>
      <c r="F93" s="1316">
        <f t="shared" si="13"/>
        <v>493015.00000000006</v>
      </c>
      <c r="G93" s="1318">
        <f t="shared" si="13"/>
        <v>14395</v>
      </c>
      <c r="H93" s="1317">
        <f t="shared" si="13"/>
        <v>452541.33333333331</v>
      </c>
      <c r="I93" s="1316">
        <f t="shared" si="13"/>
        <v>293940.66666666669</v>
      </c>
      <c r="J93" s="1318">
        <f t="shared" si="13"/>
        <v>0</v>
      </c>
      <c r="K93" s="1317">
        <f t="shared" si="13"/>
        <v>399191</v>
      </c>
      <c r="L93" s="1316">
        <f t="shared" si="13"/>
        <v>556215</v>
      </c>
      <c r="M93" s="1316">
        <f t="shared" si="13"/>
        <v>395619</v>
      </c>
      <c r="N93" s="1318">
        <f t="shared" si="13"/>
        <v>0</v>
      </c>
      <c r="O93" s="883"/>
      <c r="P93" s="883"/>
      <c r="Q93" s="883"/>
      <c r="R93" s="883"/>
    </row>
    <row r="94" spans="1:18" x14ac:dyDescent="0.15">
      <c r="B94" s="883"/>
      <c r="C94" s="883"/>
      <c r="D94" s="883"/>
      <c r="E94" s="1324"/>
      <c r="F94" s="1324"/>
      <c r="G94" s="1324"/>
      <c r="H94" s="1324"/>
      <c r="I94" s="1324"/>
      <c r="J94" s="1324"/>
      <c r="K94" s="1324"/>
      <c r="L94" s="1324"/>
      <c r="M94" s="1324"/>
      <c r="N94" s="1324"/>
      <c r="O94" s="883"/>
      <c r="P94" s="883"/>
      <c r="Q94" s="883"/>
      <c r="R94" s="883"/>
    </row>
    <row r="95" spans="1:18" x14ac:dyDescent="0.15">
      <c r="B95" s="883"/>
      <c r="C95" s="883"/>
      <c r="D95" s="883"/>
      <c r="E95" s="1325"/>
      <c r="F95" s="1325"/>
      <c r="G95" s="1325"/>
      <c r="H95" s="1325"/>
      <c r="I95" s="1325"/>
      <c r="J95" s="1325"/>
      <c r="K95" s="1325"/>
      <c r="L95" s="1325"/>
      <c r="M95" s="1325"/>
      <c r="N95" s="1325"/>
      <c r="O95" s="883"/>
      <c r="P95" s="883"/>
      <c r="Q95" s="883"/>
      <c r="R95" s="883"/>
    </row>
    <row r="96" spans="1:18" x14ac:dyDescent="0.15">
      <c r="B96" s="883"/>
      <c r="C96" s="883"/>
      <c r="D96" s="883"/>
      <c r="E96" s="1325"/>
      <c r="F96" s="1325"/>
      <c r="G96" s="1325"/>
      <c r="H96" s="1325"/>
      <c r="I96" s="1325"/>
      <c r="J96" s="1325"/>
      <c r="K96" s="1325"/>
      <c r="L96" s="1325"/>
      <c r="M96" s="1325"/>
      <c r="N96" s="1325"/>
      <c r="O96" s="883"/>
      <c r="P96" s="883"/>
      <c r="Q96" s="883"/>
      <c r="R96" s="883"/>
    </row>
    <row r="97" spans="2:18" x14ac:dyDescent="0.15">
      <c r="B97" s="883"/>
      <c r="C97" s="883"/>
      <c r="D97" s="883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532"/>
      <c r="P97" s="883"/>
      <c r="Q97" s="883"/>
      <c r="R97" s="883"/>
    </row>
    <row r="98" spans="2:18" x14ac:dyDescent="0.15">
      <c r="B98" s="883"/>
      <c r="C98" s="883"/>
      <c r="D98" s="883"/>
      <c r="E98" s="1101"/>
      <c r="F98" s="1101"/>
      <c r="G98" s="1101"/>
      <c r="H98" s="1101"/>
      <c r="I98" s="1101"/>
      <c r="J98" s="1101"/>
      <c r="K98" s="1101"/>
      <c r="L98" s="1101"/>
      <c r="M98" s="1101"/>
      <c r="N98" s="1101"/>
      <c r="O98" s="532"/>
      <c r="P98" s="883"/>
      <c r="Q98" s="883"/>
      <c r="R98" s="883"/>
    </row>
    <row r="99" spans="2:18" x14ac:dyDescent="0.15">
      <c r="B99" s="883"/>
      <c r="C99" s="883"/>
      <c r="D99" s="883"/>
      <c r="E99" s="1324"/>
      <c r="F99" s="1324"/>
      <c r="G99" s="1324"/>
      <c r="H99" s="1324"/>
      <c r="I99" s="1324"/>
      <c r="J99" s="1324"/>
      <c r="K99" s="1324"/>
      <c r="L99" s="1324"/>
      <c r="M99" s="1324"/>
      <c r="N99" s="1324"/>
      <c r="O99" s="883"/>
      <c r="P99" s="883"/>
      <c r="Q99" s="883"/>
      <c r="R99" s="883"/>
    </row>
    <row r="100" spans="2:18" x14ac:dyDescent="0.15">
      <c r="B100" s="883"/>
      <c r="C100" s="883"/>
      <c r="D100" s="883"/>
      <c r="E100" s="883"/>
      <c r="F100" s="883"/>
      <c r="G100" s="883"/>
      <c r="H100" s="883"/>
      <c r="I100" s="883"/>
      <c r="J100" s="883"/>
      <c r="K100" s="883"/>
      <c r="L100" s="883"/>
      <c r="M100" s="883"/>
      <c r="N100" s="883"/>
      <c r="O100" s="883"/>
      <c r="P100" s="883"/>
      <c r="Q100" s="883"/>
      <c r="R100" s="883"/>
    </row>
    <row r="101" spans="2:18" x14ac:dyDescent="0.15">
      <c r="B101" s="883"/>
      <c r="C101" s="883"/>
      <c r="D101" s="883"/>
      <c r="E101" s="883"/>
      <c r="F101" s="883"/>
      <c r="G101" s="883"/>
      <c r="H101" s="883"/>
      <c r="I101" s="883"/>
      <c r="J101" s="883"/>
      <c r="K101" s="883"/>
      <c r="L101" s="883"/>
      <c r="M101" s="883"/>
      <c r="N101" s="883"/>
      <c r="O101" s="883"/>
      <c r="P101" s="883"/>
      <c r="Q101" s="883"/>
      <c r="R101" s="883"/>
    </row>
    <row r="102" spans="2:18" x14ac:dyDescent="0.15">
      <c r="B102" s="883"/>
      <c r="C102" s="883"/>
      <c r="D102" s="883"/>
      <c r="E102" s="883"/>
      <c r="F102" s="883"/>
      <c r="G102" s="883"/>
      <c r="H102" s="883"/>
      <c r="I102" s="883"/>
      <c r="J102" s="883"/>
      <c r="K102" s="883"/>
      <c r="L102" s="883"/>
      <c r="M102" s="883"/>
      <c r="N102" s="883"/>
      <c r="O102" s="883"/>
      <c r="P102" s="883"/>
      <c r="Q102" s="883"/>
      <c r="R102" s="883"/>
    </row>
    <row r="103" spans="2:18" x14ac:dyDescent="0.15">
      <c r="B103" s="883"/>
      <c r="C103" s="883"/>
      <c r="D103" s="883"/>
      <c r="E103" s="883"/>
      <c r="F103" s="883"/>
      <c r="G103" s="883"/>
      <c r="H103" s="883"/>
      <c r="I103" s="883"/>
      <c r="J103" s="883"/>
      <c r="K103" s="883"/>
      <c r="L103" s="883"/>
      <c r="M103" s="883"/>
      <c r="N103" s="883"/>
      <c r="O103" s="883"/>
      <c r="P103" s="883"/>
      <c r="Q103" s="883"/>
      <c r="R103" s="883"/>
    </row>
    <row r="104" spans="2:18" x14ac:dyDescent="0.15">
      <c r="B104" s="883"/>
      <c r="C104" s="883"/>
      <c r="D104" s="883"/>
      <c r="E104" s="883"/>
      <c r="F104" s="883"/>
      <c r="G104" s="883"/>
      <c r="H104" s="883"/>
      <c r="I104" s="883"/>
      <c r="J104" s="883"/>
      <c r="K104" s="883"/>
      <c r="L104" s="883"/>
      <c r="M104" s="883"/>
      <c r="N104" s="883"/>
      <c r="O104" s="883"/>
      <c r="P104" s="883"/>
      <c r="Q104" s="883"/>
      <c r="R104" s="883"/>
    </row>
    <row r="105" spans="2:18" x14ac:dyDescent="0.15">
      <c r="B105" s="883"/>
      <c r="C105" s="883"/>
      <c r="D105" s="883"/>
      <c r="E105" s="883"/>
      <c r="F105" s="883"/>
      <c r="G105" s="883"/>
      <c r="H105" s="883"/>
      <c r="I105" s="883"/>
      <c r="J105" s="883"/>
      <c r="K105" s="883"/>
      <c r="L105" s="883"/>
      <c r="M105" s="883"/>
      <c r="N105" s="883"/>
      <c r="O105" s="883"/>
      <c r="P105" s="883"/>
      <c r="Q105" s="883"/>
      <c r="R105" s="883"/>
    </row>
    <row r="106" spans="2:18" x14ac:dyDescent="0.15">
      <c r="B106" s="883"/>
      <c r="C106" s="883"/>
      <c r="D106" s="883"/>
      <c r="E106" s="883"/>
      <c r="F106" s="883"/>
      <c r="G106" s="883"/>
      <c r="H106" s="883"/>
      <c r="I106" s="883"/>
      <c r="J106" s="883"/>
      <c r="K106" s="883"/>
      <c r="L106" s="883"/>
      <c r="M106" s="883"/>
      <c r="N106" s="883"/>
      <c r="O106" s="883"/>
      <c r="P106" s="883"/>
      <c r="Q106" s="883"/>
      <c r="R106" s="883"/>
    </row>
    <row r="107" spans="2:18" x14ac:dyDescent="0.15">
      <c r="B107" s="883"/>
      <c r="C107" s="883"/>
      <c r="D107" s="883"/>
      <c r="E107" s="883"/>
      <c r="F107" s="883"/>
      <c r="G107" s="883"/>
      <c r="H107" s="883"/>
      <c r="I107" s="883"/>
      <c r="J107" s="883"/>
      <c r="K107" s="883"/>
      <c r="L107" s="883"/>
      <c r="M107" s="883"/>
      <c r="N107" s="883"/>
      <c r="O107" s="883"/>
      <c r="P107" s="883"/>
      <c r="Q107" s="883"/>
      <c r="R107" s="883"/>
    </row>
    <row r="108" spans="2:18" x14ac:dyDescent="0.15">
      <c r="B108" s="883"/>
      <c r="C108" s="883"/>
      <c r="D108" s="883"/>
      <c r="E108" s="883"/>
      <c r="F108" s="883"/>
      <c r="G108" s="883"/>
      <c r="H108" s="883"/>
      <c r="I108" s="883"/>
      <c r="J108" s="883"/>
      <c r="K108" s="883"/>
      <c r="L108" s="883"/>
      <c r="M108" s="883"/>
      <c r="N108" s="883"/>
      <c r="O108" s="883"/>
      <c r="P108" s="883"/>
      <c r="Q108" s="883"/>
      <c r="R108" s="883"/>
    </row>
    <row r="109" spans="2:18" x14ac:dyDescent="0.15">
      <c r="B109" s="883"/>
      <c r="C109" s="883"/>
      <c r="D109" s="883"/>
      <c r="E109" s="883"/>
      <c r="F109" s="883"/>
      <c r="G109" s="883"/>
      <c r="H109" s="883"/>
      <c r="I109" s="883"/>
      <c r="J109" s="883"/>
      <c r="K109" s="883"/>
      <c r="L109" s="883"/>
      <c r="M109" s="883"/>
      <c r="N109" s="883"/>
      <c r="O109" s="883"/>
      <c r="P109" s="883"/>
      <c r="Q109" s="883"/>
      <c r="R109" s="883"/>
    </row>
    <row r="110" spans="2:18" x14ac:dyDescent="0.15">
      <c r="B110" s="883"/>
      <c r="C110" s="883"/>
      <c r="D110" s="883"/>
      <c r="E110" s="883"/>
      <c r="F110" s="883"/>
      <c r="G110" s="883"/>
      <c r="H110" s="883"/>
      <c r="I110" s="883"/>
      <c r="J110" s="883"/>
      <c r="K110" s="883"/>
      <c r="L110" s="883"/>
      <c r="M110" s="883"/>
      <c r="N110" s="883"/>
      <c r="O110" s="883"/>
      <c r="P110" s="883"/>
      <c r="Q110" s="883"/>
      <c r="R110" s="883"/>
    </row>
    <row r="111" spans="2:18" x14ac:dyDescent="0.15">
      <c r="B111" s="883"/>
      <c r="C111" s="883"/>
      <c r="D111" s="883"/>
      <c r="E111" s="883"/>
      <c r="F111" s="883"/>
      <c r="G111" s="883"/>
      <c r="H111" s="883"/>
      <c r="I111" s="883"/>
      <c r="J111" s="883"/>
      <c r="K111" s="883"/>
      <c r="L111" s="883"/>
      <c r="M111" s="883"/>
      <c r="N111" s="883"/>
      <c r="O111" s="883"/>
      <c r="P111" s="883"/>
      <c r="Q111" s="883"/>
      <c r="R111" s="883"/>
    </row>
    <row r="112" spans="2:18" x14ac:dyDescent="0.15">
      <c r="B112" s="883"/>
      <c r="C112" s="883"/>
      <c r="D112" s="883"/>
      <c r="E112" s="883"/>
      <c r="F112" s="883"/>
      <c r="G112" s="883"/>
      <c r="H112" s="883"/>
      <c r="I112" s="883"/>
      <c r="J112" s="883"/>
      <c r="K112" s="883"/>
      <c r="L112" s="883"/>
      <c r="M112" s="883"/>
      <c r="N112" s="883"/>
      <c r="O112" s="883"/>
      <c r="P112" s="883"/>
      <c r="Q112" s="883"/>
      <c r="R112" s="883"/>
    </row>
    <row r="113" spans="2:18" x14ac:dyDescent="0.15">
      <c r="B113" s="883"/>
      <c r="C113" s="883"/>
      <c r="D113" s="883"/>
      <c r="E113" s="883"/>
      <c r="F113" s="883"/>
      <c r="G113" s="883"/>
      <c r="H113" s="883"/>
      <c r="I113" s="883"/>
      <c r="J113" s="883"/>
      <c r="K113" s="883"/>
      <c r="L113" s="883"/>
      <c r="M113" s="883"/>
      <c r="N113" s="883"/>
      <c r="O113" s="883"/>
      <c r="P113" s="883"/>
      <c r="Q113" s="883"/>
      <c r="R113" s="883"/>
    </row>
    <row r="114" spans="2:18" x14ac:dyDescent="0.15">
      <c r="B114" s="883"/>
      <c r="C114" s="883"/>
      <c r="D114" s="883"/>
      <c r="E114" s="883"/>
      <c r="F114" s="883"/>
      <c r="G114" s="883"/>
      <c r="H114" s="883"/>
      <c r="I114" s="883"/>
      <c r="J114" s="883"/>
      <c r="K114" s="883"/>
      <c r="L114" s="883"/>
      <c r="M114" s="883"/>
      <c r="N114" s="883"/>
      <c r="O114" s="883"/>
      <c r="P114" s="883"/>
      <c r="Q114" s="883"/>
      <c r="R114" s="883"/>
    </row>
    <row r="115" spans="2:18" x14ac:dyDescent="0.15">
      <c r="B115" s="883"/>
      <c r="C115" s="883"/>
      <c r="D115" s="883"/>
      <c r="E115" s="883"/>
      <c r="F115" s="883"/>
      <c r="G115" s="883"/>
      <c r="H115" s="883"/>
      <c r="I115" s="883"/>
      <c r="J115" s="883"/>
      <c r="K115" s="883"/>
      <c r="L115" s="883"/>
      <c r="M115" s="883"/>
      <c r="N115" s="883"/>
      <c r="O115" s="883"/>
      <c r="P115" s="883"/>
      <c r="Q115" s="883"/>
      <c r="R115" s="883"/>
    </row>
    <row r="116" spans="2:18" x14ac:dyDescent="0.15">
      <c r="B116" s="883"/>
      <c r="C116" s="883"/>
      <c r="D116" s="883"/>
      <c r="E116" s="883"/>
      <c r="F116" s="883"/>
      <c r="G116" s="883"/>
      <c r="H116" s="883"/>
      <c r="I116" s="883"/>
      <c r="J116" s="883"/>
      <c r="K116" s="883"/>
      <c r="L116" s="883"/>
      <c r="M116" s="883"/>
      <c r="N116" s="883"/>
      <c r="O116" s="883"/>
      <c r="P116" s="883"/>
      <c r="Q116" s="883"/>
      <c r="R116" s="883"/>
    </row>
    <row r="117" spans="2:18" x14ac:dyDescent="0.15">
      <c r="B117" s="883"/>
      <c r="C117" s="883"/>
      <c r="D117" s="883"/>
      <c r="E117" s="883"/>
      <c r="F117" s="883"/>
      <c r="G117" s="883"/>
      <c r="H117" s="883"/>
      <c r="I117" s="883"/>
      <c r="J117" s="883"/>
      <c r="K117" s="883"/>
      <c r="L117" s="883"/>
      <c r="M117" s="883"/>
      <c r="N117" s="883"/>
      <c r="O117" s="883"/>
      <c r="P117" s="883"/>
      <c r="Q117" s="883"/>
      <c r="R117" s="883"/>
    </row>
    <row r="118" spans="2:18" x14ac:dyDescent="0.15">
      <c r="B118" s="883"/>
      <c r="C118" s="883"/>
      <c r="D118" s="883"/>
      <c r="E118" s="883"/>
      <c r="F118" s="883"/>
      <c r="G118" s="883"/>
      <c r="H118" s="883"/>
      <c r="I118" s="883"/>
      <c r="J118" s="883"/>
      <c r="K118" s="883"/>
      <c r="L118" s="883"/>
      <c r="M118" s="883"/>
      <c r="N118" s="883"/>
      <c r="O118" s="883"/>
      <c r="P118" s="883"/>
      <c r="Q118" s="883"/>
      <c r="R118" s="883"/>
    </row>
    <row r="119" spans="2:18" x14ac:dyDescent="0.15">
      <c r="B119" s="883"/>
      <c r="C119" s="883"/>
      <c r="D119" s="883"/>
      <c r="E119" s="883"/>
      <c r="F119" s="883"/>
      <c r="G119" s="883"/>
      <c r="H119" s="883"/>
      <c r="I119" s="883"/>
      <c r="J119" s="883"/>
      <c r="K119" s="883"/>
      <c r="L119" s="883"/>
      <c r="M119" s="883"/>
      <c r="N119" s="883"/>
      <c r="O119" s="883"/>
      <c r="P119" s="883"/>
      <c r="Q119" s="883"/>
      <c r="R119" s="883"/>
    </row>
    <row r="120" spans="2:18" x14ac:dyDescent="0.15">
      <c r="B120" s="883"/>
      <c r="C120" s="883"/>
      <c r="D120" s="883"/>
      <c r="E120" s="883"/>
      <c r="F120" s="883"/>
      <c r="G120" s="883"/>
      <c r="H120" s="883"/>
      <c r="I120" s="883"/>
      <c r="J120" s="883"/>
      <c r="K120" s="883"/>
      <c r="L120" s="883"/>
      <c r="M120" s="883"/>
      <c r="N120" s="883"/>
      <c r="O120" s="883"/>
      <c r="P120" s="883"/>
      <c r="Q120" s="883"/>
      <c r="R120" s="883"/>
    </row>
    <row r="121" spans="2:18" x14ac:dyDescent="0.15">
      <c r="B121" s="883"/>
      <c r="C121" s="883"/>
      <c r="D121" s="883"/>
      <c r="E121" s="883"/>
      <c r="F121" s="883"/>
      <c r="G121" s="883"/>
      <c r="H121" s="883"/>
      <c r="I121" s="883"/>
      <c r="J121" s="883"/>
      <c r="K121" s="883"/>
      <c r="L121" s="883"/>
      <c r="M121" s="883"/>
      <c r="N121" s="883"/>
      <c r="O121" s="883"/>
      <c r="P121" s="883"/>
      <c r="Q121" s="883"/>
      <c r="R121" s="883"/>
    </row>
    <row r="122" spans="2:18" x14ac:dyDescent="0.15">
      <c r="B122" s="883"/>
      <c r="C122" s="883"/>
      <c r="D122" s="883"/>
      <c r="E122" s="883"/>
      <c r="F122" s="883"/>
      <c r="G122" s="883"/>
      <c r="H122" s="883"/>
      <c r="I122" s="883"/>
      <c r="J122" s="883"/>
      <c r="K122" s="883"/>
      <c r="L122" s="883"/>
      <c r="M122" s="883"/>
      <c r="N122" s="883"/>
      <c r="O122" s="883"/>
      <c r="P122" s="883"/>
      <c r="Q122" s="883"/>
      <c r="R122" s="883"/>
    </row>
    <row r="123" spans="2:18" x14ac:dyDescent="0.15">
      <c r="B123" s="883"/>
      <c r="C123" s="883"/>
      <c r="D123" s="883"/>
      <c r="E123" s="883"/>
      <c r="F123" s="883"/>
      <c r="G123" s="883"/>
      <c r="H123" s="883"/>
      <c r="I123" s="883"/>
      <c r="J123" s="883"/>
      <c r="K123" s="883"/>
      <c r="L123" s="883"/>
      <c r="M123" s="883"/>
      <c r="N123" s="883"/>
      <c r="O123" s="883"/>
      <c r="P123" s="883"/>
      <c r="Q123" s="883"/>
      <c r="R123" s="883"/>
    </row>
    <row r="124" spans="2:18" x14ac:dyDescent="0.15">
      <c r="B124" s="883"/>
      <c r="C124" s="883"/>
      <c r="D124" s="883"/>
      <c r="E124" s="883"/>
      <c r="F124" s="883"/>
      <c r="G124" s="883"/>
      <c r="H124" s="883"/>
      <c r="I124" s="883"/>
      <c r="J124" s="883"/>
      <c r="K124" s="883"/>
      <c r="L124" s="883"/>
      <c r="M124" s="883"/>
      <c r="N124" s="883"/>
      <c r="O124" s="883"/>
      <c r="P124" s="883"/>
      <c r="Q124" s="883"/>
      <c r="R124" s="883"/>
    </row>
    <row r="125" spans="2:18" x14ac:dyDescent="0.15">
      <c r="B125" s="883"/>
      <c r="C125" s="883"/>
      <c r="D125" s="883"/>
      <c r="E125" s="883"/>
      <c r="F125" s="883"/>
      <c r="G125" s="883"/>
      <c r="H125" s="883"/>
      <c r="I125" s="883"/>
      <c r="J125" s="883"/>
      <c r="K125" s="883"/>
      <c r="L125" s="883"/>
      <c r="M125" s="883"/>
      <c r="N125" s="883"/>
      <c r="O125" s="883"/>
      <c r="P125" s="883"/>
      <c r="Q125" s="883"/>
      <c r="R125" s="883"/>
    </row>
    <row r="126" spans="2:18" x14ac:dyDescent="0.15">
      <c r="B126" s="883"/>
      <c r="C126" s="883"/>
      <c r="D126" s="883"/>
      <c r="E126" s="883"/>
      <c r="F126" s="883"/>
      <c r="G126" s="883"/>
      <c r="H126" s="883"/>
      <c r="I126" s="883"/>
      <c r="J126" s="883"/>
      <c r="K126" s="883"/>
      <c r="L126" s="883"/>
      <c r="M126" s="883"/>
      <c r="N126" s="883"/>
      <c r="O126" s="883"/>
      <c r="P126" s="883"/>
      <c r="Q126" s="883"/>
      <c r="R126" s="883"/>
    </row>
    <row r="127" spans="2:18" x14ac:dyDescent="0.15">
      <c r="B127" s="883"/>
      <c r="C127" s="883"/>
      <c r="D127" s="883"/>
      <c r="E127" s="883"/>
      <c r="F127" s="883"/>
      <c r="G127" s="883"/>
      <c r="H127" s="883"/>
      <c r="I127" s="883"/>
      <c r="J127" s="883"/>
      <c r="K127" s="883"/>
      <c r="L127" s="883"/>
      <c r="M127" s="883"/>
      <c r="N127" s="883"/>
      <c r="O127" s="883"/>
      <c r="P127" s="883"/>
      <c r="Q127" s="883"/>
      <c r="R127" s="883"/>
    </row>
    <row r="128" spans="2:18" x14ac:dyDescent="0.15">
      <c r="B128" s="883"/>
      <c r="C128" s="883"/>
      <c r="D128" s="883"/>
      <c r="E128" s="883"/>
      <c r="F128" s="883"/>
      <c r="G128" s="883"/>
      <c r="H128" s="883"/>
      <c r="I128" s="883"/>
      <c r="J128" s="883"/>
      <c r="K128" s="883"/>
      <c r="L128" s="883"/>
      <c r="M128" s="883"/>
      <c r="N128" s="883"/>
      <c r="O128" s="883"/>
      <c r="P128" s="883"/>
      <c r="Q128" s="883"/>
      <c r="R128" s="883"/>
    </row>
    <row r="129" spans="2:18" x14ac:dyDescent="0.15">
      <c r="B129" s="883"/>
      <c r="C129" s="883"/>
      <c r="D129" s="883"/>
      <c r="E129" s="883"/>
      <c r="F129" s="883"/>
      <c r="G129" s="883"/>
      <c r="H129" s="883"/>
      <c r="I129" s="883"/>
      <c r="J129" s="883"/>
      <c r="K129" s="883"/>
      <c r="L129" s="883"/>
      <c r="M129" s="883"/>
      <c r="N129" s="883"/>
      <c r="O129" s="883"/>
      <c r="P129" s="883"/>
      <c r="Q129" s="883"/>
      <c r="R129" s="883"/>
    </row>
    <row r="130" spans="2:18" x14ac:dyDescent="0.15">
      <c r="B130" s="883"/>
      <c r="C130" s="883"/>
      <c r="D130" s="883"/>
      <c r="E130" s="883"/>
      <c r="F130" s="883"/>
      <c r="G130" s="883"/>
      <c r="H130" s="883"/>
      <c r="I130" s="883"/>
      <c r="J130" s="883"/>
      <c r="K130" s="883"/>
      <c r="L130" s="883"/>
      <c r="M130" s="883"/>
      <c r="N130" s="883"/>
      <c r="O130" s="883"/>
      <c r="P130" s="883"/>
      <c r="Q130" s="883"/>
      <c r="R130" s="883"/>
    </row>
    <row r="131" spans="2:18" x14ac:dyDescent="0.15">
      <c r="B131" s="883"/>
      <c r="C131" s="883"/>
      <c r="D131" s="883"/>
      <c r="E131" s="883"/>
      <c r="F131" s="883"/>
      <c r="G131" s="883"/>
      <c r="H131" s="883"/>
      <c r="I131" s="883"/>
      <c r="J131" s="883"/>
      <c r="K131" s="883"/>
      <c r="L131" s="883"/>
      <c r="M131" s="883"/>
      <c r="N131" s="883"/>
      <c r="O131" s="883"/>
      <c r="P131" s="883"/>
      <c r="Q131" s="883"/>
      <c r="R131" s="883"/>
    </row>
    <row r="132" spans="2:18" x14ac:dyDescent="0.15">
      <c r="B132" s="883"/>
      <c r="C132" s="883"/>
      <c r="D132" s="883"/>
      <c r="E132" s="883"/>
      <c r="F132" s="883"/>
      <c r="G132" s="883"/>
      <c r="H132" s="883"/>
      <c r="I132" s="883"/>
      <c r="J132" s="883"/>
      <c r="K132" s="883"/>
      <c r="L132" s="883"/>
      <c r="M132" s="883"/>
      <c r="N132" s="883"/>
      <c r="O132" s="883"/>
      <c r="P132" s="883"/>
      <c r="Q132" s="883"/>
      <c r="R132" s="883"/>
    </row>
    <row r="133" spans="2:18" x14ac:dyDescent="0.15">
      <c r="B133" s="883"/>
      <c r="C133" s="883"/>
      <c r="D133" s="883"/>
      <c r="E133" s="883"/>
      <c r="F133" s="883"/>
      <c r="G133" s="883"/>
      <c r="H133" s="883"/>
      <c r="I133" s="883"/>
      <c r="J133" s="883"/>
      <c r="K133" s="883"/>
      <c r="L133" s="883"/>
      <c r="M133" s="883"/>
      <c r="N133" s="883"/>
      <c r="O133" s="883"/>
      <c r="P133" s="883"/>
      <c r="Q133" s="883"/>
      <c r="R133" s="883"/>
    </row>
    <row r="134" spans="2:18" x14ac:dyDescent="0.15">
      <c r="B134" s="883"/>
      <c r="C134" s="883"/>
      <c r="D134" s="883"/>
      <c r="E134" s="883"/>
      <c r="F134" s="883"/>
      <c r="G134" s="883"/>
      <c r="H134" s="883"/>
      <c r="I134" s="883"/>
      <c r="J134" s="883"/>
      <c r="K134" s="883"/>
      <c r="L134" s="883"/>
      <c r="M134" s="883"/>
      <c r="N134" s="883"/>
      <c r="O134" s="883"/>
      <c r="P134" s="883"/>
      <c r="Q134" s="883"/>
      <c r="R134" s="883"/>
    </row>
    <row r="135" spans="2:18" x14ac:dyDescent="0.15">
      <c r="B135" s="883"/>
      <c r="C135" s="883"/>
      <c r="D135" s="883"/>
      <c r="E135" s="883"/>
      <c r="F135" s="883"/>
      <c r="G135" s="883"/>
      <c r="H135" s="883"/>
      <c r="I135" s="883"/>
      <c r="J135" s="883"/>
      <c r="K135" s="883"/>
      <c r="L135" s="883"/>
      <c r="M135" s="883"/>
      <c r="N135" s="883"/>
      <c r="O135" s="883"/>
      <c r="P135" s="883"/>
      <c r="Q135" s="883"/>
      <c r="R135" s="883"/>
    </row>
    <row r="136" spans="2:18" x14ac:dyDescent="0.15">
      <c r="B136" s="883"/>
      <c r="C136" s="883"/>
      <c r="D136" s="883"/>
      <c r="E136" s="883"/>
      <c r="F136" s="883"/>
      <c r="G136" s="883"/>
      <c r="H136" s="883"/>
      <c r="I136" s="883"/>
      <c r="J136" s="883"/>
      <c r="K136" s="883"/>
      <c r="L136" s="883"/>
      <c r="M136" s="883"/>
      <c r="N136" s="883"/>
      <c r="O136" s="883"/>
      <c r="P136" s="883"/>
      <c r="Q136" s="883"/>
      <c r="R136" s="883"/>
    </row>
    <row r="137" spans="2:18" x14ac:dyDescent="0.15">
      <c r="B137" s="883"/>
      <c r="C137" s="883"/>
      <c r="D137" s="883"/>
      <c r="E137" s="883"/>
      <c r="F137" s="883"/>
      <c r="G137" s="883"/>
      <c r="H137" s="883"/>
      <c r="I137" s="883"/>
      <c r="J137" s="883"/>
      <c r="K137" s="883"/>
      <c r="L137" s="883"/>
      <c r="M137" s="883"/>
      <c r="N137" s="883"/>
      <c r="O137" s="883"/>
      <c r="P137" s="883"/>
      <c r="Q137" s="883"/>
      <c r="R137" s="883"/>
    </row>
    <row r="138" spans="2:18" x14ac:dyDescent="0.15">
      <c r="B138" s="883"/>
      <c r="C138" s="883"/>
      <c r="D138" s="883"/>
      <c r="E138" s="883"/>
      <c r="F138" s="883"/>
      <c r="G138" s="883"/>
      <c r="H138" s="883"/>
      <c r="I138" s="883"/>
      <c r="J138" s="883"/>
      <c r="K138" s="883"/>
      <c r="L138" s="883"/>
      <c r="M138" s="883"/>
      <c r="N138" s="883"/>
      <c r="O138" s="883"/>
      <c r="P138" s="883"/>
      <c r="Q138" s="883"/>
      <c r="R138" s="883"/>
    </row>
    <row r="139" spans="2:18" x14ac:dyDescent="0.15">
      <c r="B139" s="883"/>
      <c r="C139" s="883"/>
      <c r="D139" s="883"/>
      <c r="E139" s="883"/>
      <c r="F139" s="883"/>
      <c r="G139" s="883"/>
      <c r="H139" s="883"/>
      <c r="I139" s="883"/>
      <c r="J139" s="883"/>
      <c r="K139" s="883"/>
      <c r="L139" s="883"/>
      <c r="M139" s="883"/>
      <c r="N139" s="883"/>
      <c r="O139" s="883"/>
      <c r="P139" s="883"/>
      <c r="Q139" s="883"/>
      <c r="R139" s="883"/>
    </row>
    <row r="140" spans="2:18" x14ac:dyDescent="0.15">
      <c r="B140" s="883"/>
      <c r="C140" s="883"/>
      <c r="D140" s="883"/>
      <c r="E140" s="883"/>
      <c r="F140" s="883"/>
      <c r="G140" s="883"/>
      <c r="H140" s="883"/>
      <c r="I140" s="883"/>
      <c r="J140" s="883"/>
      <c r="K140" s="883"/>
      <c r="L140" s="883"/>
      <c r="M140" s="883"/>
      <c r="N140" s="883"/>
      <c r="O140" s="883"/>
      <c r="P140" s="883"/>
      <c r="Q140" s="883"/>
      <c r="R140" s="883"/>
    </row>
    <row r="141" spans="2:18" x14ac:dyDescent="0.15">
      <c r="B141" s="883"/>
      <c r="C141" s="883"/>
      <c r="D141" s="883"/>
      <c r="E141" s="883"/>
      <c r="F141" s="883"/>
      <c r="G141" s="883"/>
      <c r="H141" s="883"/>
      <c r="I141" s="883"/>
      <c r="J141" s="883"/>
      <c r="K141" s="883"/>
      <c r="L141" s="883"/>
      <c r="M141" s="883"/>
      <c r="N141" s="883"/>
      <c r="O141" s="883"/>
      <c r="P141" s="883"/>
      <c r="Q141" s="883"/>
      <c r="R141" s="883"/>
    </row>
    <row r="142" spans="2:18" x14ac:dyDescent="0.15">
      <c r="B142" s="883"/>
      <c r="C142" s="883"/>
      <c r="D142" s="883"/>
      <c r="E142" s="883"/>
      <c r="F142" s="883"/>
      <c r="G142" s="883"/>
      <c r="H142" s="883"/>
      <c r="I142" s="883"/>
      <c r="J142" s="883"/>
      <c r="K142" s="883"/>
      <c r="L142" s="883"/>
      <c r="M142" s="883"/>
      <c r="N142" s="883"/>
      <c r="O142" s="883"/>
      <c r="P142" s="883"/>
      <c r="Q142" s="883"/>
      <c r="R142" s="883"/>
    </row>
    <row r="143" spans="2:18" x14ac:dyDescent="0.15">
      <c r="B143" s="883"/>
      <c r="C143" s="883"/>
      <c r="D143" s="883"/>
      <c r="E143" s="883"/>
      <c r="F143" s="883"/>
      <c r="G143" s="883"/>
      <c r="H143" s="883"/>
      <c r="I143" s="883"/>
      <c r="J143" s="883"/>
      <c r="K143" s="883"/>
      <c r="L143" s="883"/>
      <c r="M143" s="883"/>
      <c r="N143" s="883"/>
      <c r="O143" s="883"/>
      <c r="P143" s="883"/>
      <c r="Q143" s="883"/>
      <c r="R143" s="883"/>
    </row>
    <row r="144" spans="2:18" x14ac:dyDescent="0.15">
      <c r="B144" s="883"/>
      <c r="C144" s="883"/>
      <c r="D144" s="883"/>
      <c r="E144" s="883"/>
      <c r="F144" s="883"/>
      <c r="G144" s="883"/>
      <c r="H144" s="883"/>
      <c r="I144" s="883"/>
      <c r="J144" s="883"/>
      <c r="K144" s="883"/>
      <c r="L144" s="883"/>
      <c r="M144" s="883"/>
      <c r="N144" s="883"/>
      <c r="O144" s="883"/>
      <c r="P144" s="883"/>
      <c r="Q144" s="883"/>
      <c r="R144" s="883"/>
    </row>
    <row r="145" spans="2:18" x14ac:dyDescent="0.15">
      <c r="B145" s="883"/>
      <c r="C145" s="883"/>
      <c r="D145" s="883"/>
      <c r="E145" s="883"/>
      <c r="F145" s="883"/>
      <c r="G145" s="883"/>
      <c r="H145" s="883"/>
      <c r="I145" s="883"/>
      <c r="J145" s="883"/>
      <c r="K145" s="883"/>
      <c r="L145" s="883"/>
      <c r="M145" s="883"/>
      <c r="N145" s="883"/>
      <c r="O145" s="883"/>
      <c r="P145" s="883"/>
      <c r="Q145" s="883"/>
      <c r="R145" s="883"/>
    </row>
    <row r="146" spans="2:18" x14ac:dyDescent="0.15">
      <c r="B146" s="883"/>
      <c r="C146" s="883"/>
      <c r="D146" s="883"/>
      <c r="E146" s="883"/>
      <c r="F146" s="883"/>
      <c r="G146" s="883"/>
      <c r="H146" s="883"/>
      <c r="I146" s="883"/>
      <c r="J146" s="883"/>
      <c r="K146" s="883"/>
      <c r="L146" s="883"/>
      <c r="M146" s="883"/>
      <c r="N146" s="883"/>
      <c r="O146" s="883"/>
      <c r="P146" s="883"/>
      <c r="Q146" s="883"/>
      <c r="R146" s="883"/>
    </row>
    <row r="147" spans="2:18" x14ac:dyDescent="0.15">
      <c r="B147" s="883"/>
      <c r="C147" s="883"/>
      <c r="D147" s="883"/>
      <c r="E147" s="883"/>
      <c r="F147" s="883"/>
      <c r="G147" s="883"/>
      <c r="H147" s="883"/>
      <c r="I147" s="883"/>
      <c r="J147" s="883"/>
      <c r="K147" s="883"/>
      <c r="L147" s="883"/>
      <c r="M147" s="883"/>
      <c r="N147" s="883"/>
      <c r="O147" s="883"/>
      <c r="P147" s="883"/>
      <c r="Q147" s="883"/>
      <c r="R147" s="883"/>
    </row>
    <row r="148" spans="2:18" x14ac:dyDescent="0.15">
      <c r="B148" s="883"/>
      <c r="C148" s="883"/>
      <c r="D148" s="883"/>
      <c r="E148" s="883"/>
      <c r="F148" s="883"/>
      <c r="G148" s="883"/>
      <c r="H148" s="883"/>
      <c r="I148" s="883"/>
      <c r="J148" s="883"/>
      <c r="K148" s="883"/>
      <c r="L148" s="883"/>
      <c r="M148" s="883"/>
      <c r="N148" s="883"/>
      <c r="O148" s="883"/>
      <c r="P148" s="883"/>
      <c r="Q148" s="883"/>
      <c r="R148" s="883"/>
    </row>
    <row r="149" spans="2:18" x14ac:dyDescent="0.15">
      <c r="B149" s="883"/>
      <c r="C149" s="883"/>
      <c r="D149" s="883"/>
      <c r="E149" s="883"/>
      <c r="F149" s="883"/>
      <c r="G149" s="883"/>
      <c r="H149" s="883"/>
      <c r="I149" s="883"/>
      <c r="J149" s="883"/>
      <c r="K149" s="883"/>
      <c r="L149" s="883"/>
      <c r="M149" s="883"/>
      <c r="N149" s="883"/>
      <c r="O149" s="883"/>
      <c r="P149" s="883"/>
      <c r="Q149" s="883"/>
      <c r="R149" s="883"/>
    </row>
    <row r="150" spans="2:18" x14ac:dyDescent="0.15">
      <c r="B150" s="883"/>
      <c r="C150" s="883"/>
      <c r="D150" s="883"/>
      <c r="E150" s="883"/>
      <c r="F150" s="883"/>
      <c r="G150" s="883"/>
      <c r="H150" s="883"/>
      <c r="I150" s="883"/>
      <c r="J150" s="883"/>
      <c r="K150" s="883"/>
      <c r="L150" s="883"/>
      <c r="M150" s="883"/>
      <c r="N150" s="883"/>
      <c r="O150" s="883"/>
      <c r="P150" s="883"/>
      <c r="Q150" s="883"/>
      <c r="R150" s="883"/>
    </row>
    <row r="151" spans="2:18" x14ac:dyDescent="0.15">
      <c r="B151" s="883"/>
      <c r="C151" s="883"/>
      <c r="D151" s="883"/>
      <c r="E151" s="883"/>
      <c r="F151" s="883"/>
      <c r="G151" s="883"/>
      <c r="H151" s="883"/>
      <c r="I151" s="883"/>
      <c r="J151" s="883"/>
      <c r="K151" s="883"/>
      <c r="L151" s="883"/>
      <c r="M151" s="883"/>
      <c r="N151" s="883"/>
      <c r="O151" s="883"/>
      <c r="P151" s="883"/>
      <c r="Q151" s="883"/>
      <c r="R151" s="883"/>
    </row>
    <row r="152" spans="2:18" x14ac:dyDescent="0.15">
      <c r="B152" s="883"/>
      <c r="C152" s="883"/>
      <c r="D152" s="883"/>
      <c r="E152" s="883"/>
      <c r="F152" s="883"/>
      <c r="G152" s="883"/>
      <c r="H152" s="883"/>
      <c r="I152" s="883"/>
      <c r="J152" s="883"/>
      <c r="K152" s="883"/>
      <c r="L152" s="883"/>
      <c r="M152" s="883"/>
      <c r="N152" s="883"/>
      <c r="O152" s="883"/>
      <c r="P152" s="883"/>
      <c r="Q152" s="883"/>
      <c r="R152" s="883"/>
    </row>
    <row r="153" spans="2:18" x14ac:dyDescent="0.15">
      <c r="B153" s="883"/>
      <c r="C153" s="883"/>
      <c r="D153" s="883"/>
      <c r="E153" s="883"/>
      <c r="F153" s="883"/>
      <c r="G153" s="883"/>
      <c r="H153" s="883"/>
      <c r="I153" s="883"/>
      <c r="J153" s="883"/>
      <c r="K153" s="883"/>
      <c r="L153" s="883"/>
      <c r="M153" s="883"/>
      <c r="N153" s="883"/>
      <c r="O153" s="883"/>
      <c r="P153" s="883"/>
      <c r="Q153" s="883"/>
      <c r="R153" s="883"/>
    </row>
    <row r="154" spans="2:18" x14ac:dyDescent="0.15">
      <c r="B154" s="883"/>
      <c r="C154" s="883"/>
      <c r="D154" s="883"/>
      <c r="E154" s="883"/>
      <c r="F154" s="883"/>
      <c r="G154" s="883"/>
      <c r="H154" s="883"/>
      <c r="I154" s="883"/>
      <c r="J154" s="883"/>
      <c r="K154" s="883"/>
      <c r="L154" s="883"/>
      <c r="M154" s="883"/>
      <c r="N154" s="883"/>
      <c r="O154" s="883"/>
      <c r="P154" s="883"/>
      <c r="Q154" s="883"/>
      <c r="R154" s="883"/>
    </row>
    <row r="155" spans="2:18" x14ac:dyDescent="0.15">
      <c r="B155" s="883"/>
      <c r="C155" s="883"/>
      <c r="D155" s="883"/>
      <c r="E155" s="883"/>
      <c r="F155" s="883"/>
      <c r="G155" s="883"/>
      <c r="H155" s="883"/>
      <c r="I155" s="883"/>
      <c r="J155" s="883"/>
      <c r="K155" s="883"/>
      <c r="L155" s="883"/>
      <c r="M155" s="883"/>
      <c r="N155" s="883"/>
      <c r="O155" s="883"/>
      <c r="P155" s="883"/>
      <c r="Q155" s="883"/>
      <c r="R155" s="883"/>
    </row>
    <row r="156" spans="2:18" x14ac:dyDescent="0.15">
      <c r="B156" s="883"/>
      <c r="C156" s="883"/>
      <c r="D156" s="883"/>
      <c r="E156" s="883"/>
      <c r="F156" s="883"/>
      <c r="G156" s="883"/>
      <c r="H156" s="883"/>
      <c r="I156" s="883"/>
      <c r="J156" s="883"/>
      <c r="K156" s="883"/>
      <c r="L156" s="883"/>
      <c r="M156" s="883"/>
      <c r="N156" s="883"/>
      <c r="O156" s="883"/>
      <c r="P156" s="883"/>
      <c r="Q156" s="883"/>
      <c r="R156" s="883"/>
    </row>
    <row r="157" spans="2:18" x14ac:dyDescent="0.15">
      <c r="B157" s="883"/>
      <c r="C157" s="883"/>
      <c r="D157" s="883"/>
      <c r="E157" s="883"/>
      <c r="F157" s="883"/>
      <c r="G157" s="883"/>
      <c r="H157" s="883"/>
      <c r="I157" s="883"/>
      <c r="J157" s="883"/>
      <c r="K157" s="883"/>
      <c r="L157" s="883"/>
      <c r="M157" s="883"/>
      <c r="N157" s="883"/>
      <c r="O157" s="883"/>
      <c r="P157" s="883"/>
      <c r="Q157" s="883"/>
      <c r="R157" s="883"/>
    </row>
    <row r="158" spans="2:18" x14ac:dyDescent="0.15">
      <c r="B158" s="883"/>
      <c r="C158" s="883"/>
      <c r="D158" s="883"/>
      <c r="E158" s="883"/>
      <c r="F158" s="883"/>
      <c r="G158" s="883"/>
      <c r="H158" s="883"/>
      <c r="I158" s="883"/>
      <c r="J158" s="883"/>
      <c r="K158" s="883"/>
      <c r="L158" s="883"/>
      <c r="M158" s="883"/>
      <c r="N158" s="883"/>
      <c r="O158" s="883"/>
      <c r="P158" s="883"/>
      <c r="Q158" s="883"/>
      <c r="R158" s="883"/>
    </row>
    <row r="159" spans="2:18" x14ac:dyDescent="0.15">
      <c r="B159" s="883"/>
      <c r="C159" s="883"/>
      <c r="D159" s="883"/>
      <c r="E159" s="883"/>
      <c r="F159" s="883"/>
      <c r="G159" s="883"/>
      <c r="H159" s="883"/>
      <c r="I159" s="883"/>
      <c r="J159" s="883"/>
      <c r="K159" s="883"/>
      <c r="L159" s="883"/>
      <c r="M159" s="883"/>
      <c r="N159" s="883"/>
      <c r="O159" s="883"/>
      <c r="P159" s="883"/>
      <c r="Q159" s="883"/>
      <c r="R159" s="883"/>
    </row>
    <row r="160" spans="2:18" x14ac:dyDescent="0.15">
      <c r="B160" s="883"/>
      <c r="C160" s="883"/>
      <c r="D160" s="883"/>
      <c r="E160" s="883"/>
      <c r="F160" s="883"/>
      <c r="G160" s="883"/>
      <c r="H160" s="883"/>
      <c r="I160" s="883"/>
      <c r="J160" s="883"/>
      <c r="K160" s="883"/>
      <c r="L160" s="883"/>
      <c r="M160" s="883"/>
      <c r="N160" s="883"/>
      <c r="O160" s="883"/>
      <c r="P160" s="883"/>
      <c r="Q160" s="883"/>
      <c r="R160" s="883"/>
    </row>
    <row r="161" spans="2:18" x14ac:dyDescent="0.15">
      <c r="B161" s="883"/>
      <c r="C161" s="883"/>
      <c r="D161" s="883"/>
      <c r="E161" s="883"/>
      <c r="F161" s="883"/>
      <c r="G161" s="883"/>
      <c r="H161" s="883"/>
      <c r="I161" s="883"/>
      <c r="J161" s="883"/>
      <c r="K161" s="883"/>
      <c r="L161" s="883"/>
      <c r="M161" s="883"/>
      <c r="N161" s="883"/>
      <c r="O161" s="883"/>
      <c r="P161" s="883"/>
      <c r="Q161" s="883"/>
      <c r="R161" s="883"/>
    </row>
    <row r="162" spans="2:18" x14ac:dyDescent="0.15">
      <c r="B162" s="883"/>
      <c r="C162" s="883"/>
      <c r="D162" s="883"/>
      <c r="E162" s="883"/>
      <c r="F162" s="883"/>
      <c r="G162" s="883"/>
      <c r="H162" s="883"/>
      <c r="I162" s="883"/>
      <c r="J162" s="883"/>
      <c r="K162" s="883"/>
      <c r="L162" s="883"/>
      <c r="M162" s="883"/>
      <c r="N162" s="883"/>
      <c r="O162" s="883"/>
      <c r="P162" s="883"/>
      <c r="Q162" s="883"/>
      <c r="R162" s="883"/>
    </row>
    <row r="163" spans="2:18" x14ac:dyDescent="0.15">
      <c r="B163" s="883"/>
      <c r="C163" s="883"/>
      <c r="D163" s="883"/>
      <c r="E163" s="883"/>
      <c r="F163" s="883"/>
      <c r="G163" s="883"/>
      <c r="H163" s="883"/>
      <c r="I163" s="883"/>
      <c r="J163" s="883"/>
      <c r="K163" s="883"/>
      <c r="L163" s="883"/>
      <c r="M163" s="883"/>
      <c r="N163" s="883"/>
      <c r="O163" s="883"/>
      <c r="P163" s="883"/>
      <c r="Q163" s="883"/>
      <c r="R163" s="883"/>
    </row>
    <row r="164" spans="2:18" x14ac:dyDescent="0.15">
      <c r="B164" s="883"/>
      <c r="C164" s="883"/>
      <c r="D164" s="883"/>
      <c r="E164" s="883"/>
      <c r="F164" s="883"/>
      <c r="G164" s="883"/>
      <c r="H164" s="883"/>
      <c r="I164" s="883"/>
      <c r="J164" s="883"/>
      <c r="K164" s="883"/>
      <c r="L164" s="883"/>
      <c r="M164" s="883"/>
      <c r="N164" s="883"/>
      <c r="O164" s="883"/>
      <c r="P164" s="883"/>
      <c r="Q164" s="883"/>
      <c r="R164" s="883"/>
    </row>
    <row r="165" spans="2:18" x14ac:dyDescent="0.15">
      <c r="B165" s="883"/>
      <c r="C165" s="883"/>
      <c r="D165" s="883"/>
      <c r="E165" s="883"/>
      <c r="F165" s="883"/>
      <c r="G165" s="883"/>
      <c r="H165" s="883"/>
      <c r="I165" s="883"/>
      <c r="J165" s="883"/>
      <c r="K165" s="883"/>
      <c r="L165" s="883"/>
      <c r="M165" s="883"/>
      <c r="N165" s="883"/>
      <c r="O165" s="883"/>
      <c r="P165" s="883"/>
      <c r="Q165" s="883"/>
      <c r="R165" s="883"/>
    </row>
    <row r="166" spans="2:18" x14ac:dyDescent="0.15">
      <c r="B166" s="883"/>
      <c r="C166" s="883"/>
      <c r="D166" s="883"/>
      <c r="E166" s="883"/>
      <c r="F166" s="883"/>
      <c r="G166" s="883"/>
      <c r="H166" s="883"/>
      <c r="I166" s="883"/>
      <c r="J166" s="883"/>
      <c r="K166" s="883"/>
      <c r="L166" s="883"/>
      <c r="M166" s="883"/>
      <c r="N166" s="883"/>
      <c r="O166" s="883"/>
      <c r="P166" s="883"/>
      <c r="Q166" s="883"/>
      <c r="R166" s="883"/>
    </row>
    <row r="167" spans="2:18" x14ac:dyDescent="0.15">
      <c r="B167" s="883"/>
      <c r="C167" s="883"/>
      <c r="D167" s="883"/>
      <c r="E167" s="883"/>
      <c r="F167" s="883"/>
      <c r="G167" s="883"/>
      <c r="H167" s="883"/>
      <c r="I167" s="883"/>
      <c r="J167" s="883"/>
      <c r="K167" s="883"/>
      <c r="L167" s="883"/>
      <c r="M167" s="883"/>
      <c r="N167" s="883"/>
      <c r="O167" s="883"/>
      <c r="P167" s="883"/>
      <c r="Q167" s="883"/>
      <c r="R167" s="883"/>
    </row>
    <row r="168" spans="2:18" x14ac:dyDescent="0.15">
      <c r="B168" s="883"/>
      <c r="C168" s="883"/>
      <c r="D168" s="883"/>
      <c r="E168" s="883"/>
      <c r="F168" s="883"/>
      <c r="G168" s="883"/>
      <c r="H168" s="883"/>
      <c r="I168" s="883"/>
      <c r="J168" s="883"/>
      <c r="K168" s="883"/>
      <c r="L168" s="883"/>
      <c r="M168" s="883"/>
      <c r="N168" s="883"/>
      <c r="O168" s="883"/>
      <c r="P168" s="883"/>
      <c r="Q168" s="883"/>
      <c r="R168" s="883"/>
    </row>
    <row r="169" spans="2:18" x14ac:dyDescent="0.15">
      <c r="B169" s="883"/>
      <c r="C169" s="883"/>
      <c r="D169" s="883"/>
      <c r="E169" s="883"/>
      <c r="F169" s="883"/>
      <c r="G169" s="883"/>
      <c r="H169" s="883"/>
      <c r="I169" s="883"/>
      <c r="J169" s="883"/>
      <c r="K169" s="883"/>
      <c r="L169" s="883"/>
      <c r="M169" s="883"/>
      <c r="N169" s="883"/>
      <c r="O169" s="883"/>
      <c r="P169" s="883"/>
      <c r="Q169" s="883"/>
      <c r="R169" s="883"/>
    </row>
    <row r="170" spans="2:18" x14ac:dyDescent="0.15">
      <c r="B170" s="883"/>
      <c r="C170" s="883"/>
      <c r="D170" s="883"/>
      <c r="E170" s="883"/>
      <c r="F170" s="883"/>
      <c r="G170" s="883"/>
      <c r="H170" s="883"/>
      <c r="I170" s="883"/>
      <c r="J170" s="883"/>
      <c r="K170" s="883"/>
      <c r="L170" s="883"/>
      <c r="M170" s="883"/>
      <c r="N170" s="883"/>
      <c r="O170" s="883"/>
      <c r="P170" s="883"/>
      <c r="Q170" s="883"/>
      <c r="R170" s="883"/>
    </row>
    <row r="171" spans="2:18" x14ac:dyDescent="0.15">
      <c r="B171" s="883"/>
      <c r="C171" s="883"/>
      <c r="D171" s="883"/>
      <c r="E171" s="883"/>
      <c r="F171" s="883"/>
      <c r="G171" s="883"/>
      <c r="H171" s="883"/>
      <c r="I171" s="883"/>
      <c r="J171" s="883"/>
      <c r="K171" s="883"/>
      <c r="L171" s="883"/>
      <c r="M171" s="883"/>
      <c r="N171" s="883"/>
      <c r="O171" s="883"/>
      <c r="P171" s="883"/>
      <c r="Q171" s="883"/>
      <c r="R171" s="883"/>
    </row>
    <row r="172" spans="2:18" x14ac:dyDescent="0.15">
      <c r="B172" s="883"/>
      <c r="C172" s="883"/>
      <c r="D172" s="883"/>
      <c r="E172" s="883"/>
      <c r="F172" s="883"/>
      <c r="G172" s="883"/>
      <c r="H172" s="883"/>
      <c r="I172" s="883"/>
      <c r="J172" s="883"/>
      <c r="K172" s="883"/>
      <c r="L172" s="883"/>
      <c r="M172" s="883"/>
      <c r="N172" s="883"/>
      <c r="O172" s="883"/>
      <c r="P172" s="883"/>
      <c r="Q172" s="883"/>
      <c r="R172" s="883"/>
    </row>
    <row r="173" spans="2:18" x14ac:dyDescent="0.15">
      <c r="B173" s="883"/>
      <c r="C173" s="883"/>
      <c r="D173" s="883"/>
      <c r="E173" s="883"/>
      <c r="F173" s="883"/>
      <c r="G173" s="883"/>
      <c r="H173" s="883"/>
      <c r="I173" s="883"/>
      <c r="J173" s="883"/>
      <c r="K173" s="883"/>
      <c r="L173" s="883"/>
      <c r="M173" s="883"/>
      <c r="N173" s="883"/>
      <c r="O173" s="883"/>
      <c r="P173" s="883"/>
      <c r="Q173" s="883"/>
      <c r="R173" s="883"/>
    </row>
    <row r="174" spans="2:18" x14ac:dyDescent="0.15">
      <c r="B174" s="883"/>
      <c r="C174" s="883"/>
      <c r="D174" s="883"/>
      <c r="E174" s="883"/>
      <c r="F174" s="883"/>
      <c r="G174" s="883"/>
      <c r="H174" s="883"/>
      <c r="I174" s="883"/>
      <c r="J174" s="883"/>
      <c r="K174" s="883"/>
      <c r="L174" s="883"/>
      <c r="M174" s="883"/>
      <c r="N174" s="883"/>
      <c r="O174" s="883"/>
      <c r="P174" s="883"/>
      <c r="Q174" s="883"/>
      <c r="R174" s="883"/>
    </row>
    <row r="175" spans="2:18" x14ac:dyDescent="0.15">
      <c r="B175" s="883"/>
      <c r="C175" s="883"/>
      <c r="D175" s="883"/>
      <c r="E175" s="883"/>
      <c r="F175" s="883"/>
      <c r="G175" s="883"/>
      <c r="H175" s="883"/>
      <c r="I175" s="883"/>
      <c r="J175" s="883"/>
      <c r="K175" s="883"/>
      <c r="L175" s="883"/>
      <c r="M175" s="883"/>
      <c r="N175" s="883"/>
      <c r="O175" s="883"/>
      <c r="P175" s="883"/>
      <c r="Q175" s="883"/>
      <c r="R175" s="883"/>
    </row>
    <row r="176" spans="2:18" x14ac:dyDescent="0.15">
      <c r="B176" s="883"/>
      <c r="C176" s="883"/>
      <c r="D176" s="883"/>
      <c r="E176" s="883"/>
      <c r="F176" s="883"/>
      <c r="G176" s="883"/>
      <c r="H176" s="883"/>
      <c r="I176" s="883"/>
      <c r="J176" s="883"/>
      <c r="K176" s="883"/>
      <c r="L176" s="883"/>
      <c r="M176" s="883"/>
      <c r="N176" s="883"/>
      <c r="O176" s="883"/>
      <c r="P176" s="883"/>
      <c r="Q176" s="883"/>
      <c r="R176" s="883"/>
    </row>
    <row r="177" spans="2:18" x14ac:dyDescent="0.15">
      <c r="B177" s="883"/>
      <c r="C177" s="883"/>
      <c r="D177" s="883"/>
      <c r="E177" s="883"/>
      <c r="F177" s="883"/>
      <c r="G177" s="883"/>
      <c r="H177" s="883"/>
      <c r="I177" s="883"/>
      <c r="J177" s="883"/>
      <c r="K177" s="883"/>
      <c r="L177" s="883"/>
      <c r="M177" s="883"/>
      <c r="N177" s="883"/>
      <c r="O177" s="883"/>
      <c r="P177" s="883"/>
      <c r="Q177" s="883"/>
      <c r="R177" s="883"/>
    </row>
    <row r="178" spans="2:18" x14ac:dyDescent="0.15">
      <c r="B178" s="883"/>
      <c r="C178" s="883"/>
      <c r="D178" s="883"/>
      <c r="E178" s="883"/>
      <c r="F178" s="883"/>
      <c r="G178" s="883"/>
      <c r="H178" s="883"/>
      <c r="I178" s="883"/>
      <c r="J178" s="883"/>
      <c r="K178" s="883"/>
      <c r="L178" s="883"/>
      <c r="M178" s="883"/>
      <c r="N178" s="883"/>
      <c r="O178" s="883"/>
      <c r="P178" s="883"/>
      <c r="Q178" s="883"/>
      <c r="R178" s="883"/>
    </row>
    <row r="179" spans="2:18" x14ac:dyDescent="0.15">
      <c r="B179" s="883"/>
      <c r="C179" s="883"/>
      <c r="D179" s="883"/>
      <c r="E179" s="883"/>
      <c r="F179" s="883"/>
      <c r="G179" s="883"/>
      <c r="H179" s="883"/>
      <c r="I179" s="883"/>
      <c r="J179" s="883"/>
      <c r="K179" s="883"/>
      <c r="L179" s="883"/>
      <c r="M179" s="883"/>
      <c r="N179" s="883"/>
      <c r="O179" s="883"/>
      <c r="P179" s="883"/>
      <c r="Q179" s="883"/>
      <c r="R179" s="883"/>
    </row>
    <row r="180" spans="2:18" x14ac:dyDescent="0.15">
      <c r="B180" s="883"/>
      <c r="C180" s="883"/>
      <c r="D180" s="883"/>
      <c r="E180" s="883"/>
      <c r="F180" s="883"/>
      <c r="G180" s="883"/>
      <c r="H180" s="883"/>
      <c r="I180" s="883"/>
      <c r="J180" s="883"/>
      <c r="K180" s="883"/>
      <c r="L180" s="883"/>
      <c r="M180" s="883"/>
      <c r="N180" s="883"/>
      <c r="O180" s="883"/>
      <c r="P180" s="883"/>
      <c r="Q180" s="883"/>
      <c r="R180" s="883"/>
    </row>
    <row r="181" spans="2:18" x14ac:dyDescent="0.15">
      <c r="B181" s="883"/>
      <c r="C181" s="883"/>
      <c r="D181" s="883"/>
      <c r="E181" s="883"/>
      <c r="F181" s="883"/>
      <c r="G181" s="883"/>
      <c r="H181" s="883"/>
      <c r="I181" s="883"/>
      <c r="J181" s="883"/>
      <c r="K181" s="883"/>
      <c r="L181" s="883"/>
      <c r="M181" s="883"/>
      <c r="N181" s="883"/>
      <c r="O181" s="883"/>
      <c r="P181" s="883"/>
      <c r="Q181" s="883"/>
      <c r="R181" s="883"/>
    </row>
    <row r="182" spans="2:18" x14ac:dyDescent="0.15">
      <c r="B182" s="883"/>
      <c r="C182" s="883"/>
      <c r="D182" s="883"/>
      <c r="E182" s="883"/>
      <c r="F182" s="883"/>
      <c r="G182" s="883"/>
      <c r="H182" s="883"/>
      <c r="I182" s="883"/>
      <c r="J182" s="883"/>
      <c r="K182" s="883"/>
      <c r="L182" s="883"/>
      <c r="M182" s="883"/>
      <c r="N182" s="883"/>
      <c r="O182" s="883"/>
      <c r="P182" s="883"/>
      <c r="Q182" s="883"/>
      <c r="R182" s="883"/>
    </row>
    <row r="183" spans="2:18" x14ac:dyDescent="0.15">
      <c r="B183" s="883"/>
      <c r="C183" s="883"/>
      <c r="D183" s="883"/>
      <c r="E183" s="883"/>
      <c r="F183" s="883"/>
      <c r="G183" s="883"/>
      <c r="H183" s="883"/>
      <c r="I183" s="883"/>
      <c r="J183" s="883"/>
      <c r="K183" s="883"/>
      <c r="L183" s="883"/>
      <c r="M183" s="883"/>
      <c r="N183" s="883"/>
      <c r="O183" s="883"/>
      <c r="P183" s="883"/>
      <c r="Q183" s="883"/>
      <c r="R183" s="883"/>
    </row>
    <row r="184" spans="2:18" x14ac:dyDescent="0.15">
      <c r="B184" s="883"/>
      <c r="C184" s="883"/>
      <c r="D184" s="883"/>
      <c r="E184" s="883"/>
      <c r="F184" s="883"/>
      <c r="G184" s="883"/>
      <c r="H184" s="883"/>
      <c r="I184" s="883"/>
      <c r="J184" s="883"/>
      <c r="K184" s="883"/>
      <c r="L184" s="883"/>
      <c r="M184" s="883"/>
      <c r="N184" s="883"/>
      <c r="O184" s="883"/>
      <c r="P184" s="883"/>
      <c r="Q184" s="883"/>
      <c r="R184" s="883"/>
    </row>
    <row r="185" spans="2:18" x14ac:dyDescent="0.15">
      <c r="B185" s="883"/>
      <c r="C185" s="883"/>
      <c r="D185" s="883"/>
      <c r="E185" s="883"/>
      <c r="F185" s="883"/>
      <c r="G185" s="883"/>
      <c r="H185" s="883"/>
      <c r="I185" s="883"/>
      <c r="J185" s="883"/>
      <c r="K185" s="883"/>
      <c r="L185" s="883"/>
      <c r="M185" s="883"/>
      <c r="N185" s="883"/>
      <c r="O185" s="883"/>
      <c r="P185" s="883"/>
      <c r="Q185" s="883"/>
      <c r="R185" s="883"/>
    </row>
    <row r="186" spans="2:18" x14ac:dyDescent="0.15">
      <c r="B186" s="883"/>
      <c r="C186" s="883"/>
      <c r="D186" s="883"/>
      <c r="E186" s="883"/>
      <c r="F186" s="883"/>
      <c r="G186" s="883"/>
      <c r="H186" s="883"/>
      <c r="I186" s="883"/>
      <c r="J186" s="883"/>
      <c r="K186" s="883"/>
      <c r="L186" s="883"/>
      <c r="M186" s="883"/>
      <c r="N186" s="883"/>
      <c r="O186" s="883"/>
      <c r="P186" s="883"/>
      <c r="Q186" s="883"/>
      <c r="R186" s="883"/>
    </row>
    <row r="187" spans="2:18" x14ac:dyDescent="0.15">
      <c r="B187" s="883"/>
      <c r="C187" s="883"/>
      <c r="D187" s="883"/>
      <c r="E187" s="883"/>
      <c r="F187" s="883"/>
      <c r="G187" s="883"/>
      <c r="H187" s="883"/>
      <c r="I187" s="883"/>
      <c r="J187" s="883"/>
      <c r="K187" s="883"/>
      <c r="L187" s="883"/>
      <c r="M187" s="883"/>
      <c r="N187" s="883"/>
      <c r="O187" s="883"/>
      <c r="P187" s="883"/>
      <c r="Q187" s="883"/>
      <c r="R187" s="883"/>
    </row>
    <row r="188" spans="2:18" x14ac:dyDescent="0.15">
      <c r="B188" s="883"/>
      <c r="C188" s="883"/>
      <c r="D188" s="883"/>
      <c r="E188" s="883"/>
      <c r="F188" s="883"/>
      <c r="G188" s="883"/>
      <c r="H188" s="883"/>
      <c r="I188" s="883"/>
      <c r="J188" s="883"/>
      <c r="K188" s="883"/>
      <c r="L188" s="883"/>
      <c r="M188" s="883"/>
      <c r="N188" s="883"/>
      <c r="O188" s="883"/>
      <c r="P188" s="883"/>
      <c r="Q188" s="883"/>
      <c r="R188" s="883"/>
    </row>
    <row r="189" spans="2:18" x14ac:dyDescent="0.15">
      <c r="B189" s="883"/>
      <c r="C189" s="883"/>
      <c r="D189" s="883"/>
      <c r="E189" s="883"/>
      <c r="F189" s="883"/>
      <c r="G189" s="883"/>
      <c r="H189" s="883"/>
      <c r="I189" s="883"/>
      <c r="J189" s="883"/>
      <c r="K189" s="883"/>
      <c r="L189" s="883"/>
      <c r="M189" s="883"/>
      <c r="N189" s="883"/>
      <c r="O189" s="883"/>
      <c r="P189" s="883"/>
      <c r="Q189" s="883"/>
      <c r="R189" s="883"/>
    </row>
    <row r="190" spans="2:18" x14ac:dyDescent="0.15">
      <c r="B190" s="883"/>
      <c r="C190" s="883"/>
      <c r="D190" s="883"/>
      <c r="E190" s="883"/>
      <c r="F190" s="883"/>
      <c r="G190" s="883"/>
      <c r="H190" s="883"/>
      <c r="I190" s="883"/>
      <c r="J190" s="883"/>
      <c r="K190" s="883"/>
      <c r="L190" s="883"/>
      <c r="M190" s="883"/>
      <c r="N190" s="883"/>
      <c r="O190" s="883"/>
      <c r="P190" s="883"/>
      <c r="Q190" s="883"/>
      <c r="R190" s="883"/>
    </row>
    <row r="191" spans="2:18" x14ac:dyDescent="0.15">
      <c r="B191" s="883"/>
      <c r="C191" s="883"/>
      <c r="D191" s="883"/>
      <c r="E191" s="883"/>
      <c r="F191" s="883"/>
      <c r="G191" s="883"/>
      <c r="H191" s="883"/>
      <c r="I191" s="883"/>
      <c r="J191" s="883"/>
      <c r="K191" s="883"/>
      <c r="L191" s="883"/>
      <c r="M191" s="883"/>
      <c r="N191" s="883"/>
      <c r="O191" s="883"/>
      <c r="P191" s="883"/>
      <c r="Q191" s="883"/>
      <c r="R191" s="883"/>
    </row>
    <row r="192" spans="2:18" x14ac:dyDescent="0.15">
      <c r="B192" s="883"/>
      <c r="C192" s="883"/>
      <c r="D192" s="883"/>
      <c r="E192" s="883"/>
      <c r="F192" s="883"/>
      <c r="G192" s="883"/>
      <c r="H192" s="883"/>
      <c r="I192" s="883"/>
      <c r="J192" s="883"/>
      <c r="K192" s="883"/>
      <c r="L192" s="883"/>
      <c r="M192" s="883"/>
      <c r="N192" s="883"/>
      <c r="O192" s="883"/>
      <c r="P192" s="883"/>
      <c r="Q192" s="883"/>
      <c r="R192" s="883"/>
    </row>
    <row r="193" spans="2:18" x14ac:dyDescent="0.15">
      <c r="B193" s="883"/>
      <c r="C193" s="883"/>
      <c r="D193" s="883"/>
      <c r="E193" s="883"/>
      <c r="F193" s="883"/>
      <c r="G193" s="883"/>
      <c r="H193" s="883"/>
      <c r="I193" s="883"/>
      <c r="J193" s="883"/>
      <c r="K193" s="883"/>
      <c r="L193" s="883"/>
      <c r="M193" s="883"/>
      <c r="N193" s="883"/>
      <c r="O193" s="883"/>
      <c r="P193" s="883"/>
      <c r="Q193" s="883"/>
      <c r="R193" s="883"/>
    </row>
    <row r="194" spans="2:18" x14ac:dyDescent="0.15">
      <c r="B194" s="883"/>
      <c r="C194" s="883"/>
      <c r="D194" s="883"/>
      <c r="E194" s="883"/>
      <c r="F194" s="883"/>
      <c r="G194" s="883"/>
      <c r="H194" s="883"/>
      <c r="I194" s="883"/>
      <c r="J194" s="883"/>
      <c r="K194" s="883"/>
      <c r="L194" s="883"/>
      <c r="M194" s="883"/>
      <c r="N194" s="883"/>
      <c r="O194" s="883"/>
      <c r="P194" s="883"/>
      <c r="Q194" s="883"/>
      <c r="R194" s="883"/>
    </row>
    <row r="195" spans="2:18" x14ac:dyDescent="0.15">
      <c r="B195" s="883"/>
      <c r="C195" s="883"/>
      <c r="D195" s="883"/>
      <c r="E195" s="883"/>
      <c r="F195" s="883"/>
      <c r="G195" s="883"/>
      <c r="H195" s="883"/>
      <c r="I195" s="883"/>
      <c r="J195" s="883"/>
      <c r="K195" s="883"/>
      <c r="L195" s="883"/>
      <c r="M195" s="883"/>
      <c r="N195" s="883"/>
      <c r="O195" s="883"/>
      <c r="P195" s="883"/>
      <c r="Q195" s="883"/>
      <c r="R195" s="883"/>
    </row>
    <row r="196" spans="2:18" x14ac:dyDescent="0.15">
      <c r="B196" s="883"/>
      <c r="C196" s="883"/>
      <c r="D196" s="883"/>
      <c r="E196" s="883"/>
      <c r="F196" s="883"/>
      <c r="G196" s="883"/>
      <c r="H196" s="883"/>
      <c r="I196" s="883"/>
      <c r="J196" s="883"/>
      <c r="K196" s="883"/>
      <c r="L196" s="883"/>
      <c r="M196" s="883"/>
      <c r="N196" s="883"/>
      <c r="O196" s="883"/>
      <c r="P196" s="883"/>
      <c r="Q196" s="883"/>
      <c r="R196" s="883"/>
    </row>
    <row r="197" spans="2:18" x14ac:dyDescent="0.15">
      <c r="B197" s="883"/>
      <c r="C197" s="883"/>
      <c r="D197" s="883"/>
      <c r="E197" s="883"/>
      <c r="F197" s="883"/>
      <c r="G197" s="883"/>
      <c r="H197" s="883"/>
      <c r="I197" s="883"/>
      <c r="J197" s="883"/>
      <c r="K197" s="883"/>
      <c r="L197" s="883"/>
      <c r="M197" s="883"/>
      <c r="N197" s="883"/>
      <c r="O197" s="883"/>
      <c r="P197" s="883"/>
      <c r="Q197" s="883"/>
      <c r="R197" s="883"/>
    </row>
    <row r="198" spans="2:18" x14ac:dyDescent="0.15">
      <c r="B198" s="883"/>
      <c r="C198" s="883"/>
      <c r="D198" s="883"/>
      <c r="E198" s="883"/>
      <c r="F198" s="883"/>
      <c r="G198" s="883"/>
      <c r="H198" s="883"/>
      <c r="I198" s="883"/>
      <c r="J198" s="883"/>
      <c r="K198" s="883"/>
      <c r="L198" s="883"/>
      <c r="M198" s="883"/>
      <c r="N198" s="883"/>
      <c r="O198" s="883"/>
      <c r="P198" s="883"/>
      <c r="Q198" s="883"/>
      <c r="R198" s="883"/>
    </row>
    <row r="199" spans="2:18" x14ac:dyDescent="0.15">
      <c r="B199" s="883"/>
      <c r="C199" s="883"/>
      <c r="D199" s="883"/>
      <c r="E199" s="883"/>
      <c r="F199" s="883"/>
      <c r="G199" s="883"/>
      <c r="H199" s="883"/>
      <c r="I199" s="883"/>
      <c r="J199" s="883"/>
      <c r="K199" s="883"/>
      <c r="L199" s="883"/>
      <c r="M199" s="883"/>
      <c r="N199" s="883"/>
      <c r="O199" s="883"/>
      <c r="P199" s="883"/>
      <c r="Q199" s="883"/>
      <c r="R199" s="883"/>
    </row>
    <row r="200" spans="2:18" x14ac:dyDescent="0.15">
      <c r="B200" s="883"/>
      <c r="C200" s="883"/>
      <c r="D200" s="883"/>
      <c r="E200" s="883"/>
      <c r="F200" s="883"/>
      <c r="G200" s="883"/>
      <c r="H200" s="883"/>
      <c r="I200" s="883"/>
      <c r="J200" s="883"/>
      <c r="K200" s="883"/>
      <c r="L200" s="883"/>
      <c r="M200" s="883"/>
      <c r="N200" s="883"/>
      <c r="O200" s="883"/>
      <c r="P200" s="883"/>
      <c r="Q200" s="883"/>
      <c r="R200" s="883"/>
    </row>
    <row r="201" spans="2:18" x14ac:dyDescent="0.15">
      <c r="B201" s="883"/>
      <c r="C201" s="883"/>
      <c r="D201" s="883"/>
      <c r="E201" s="883"/>
      <c r="F201" s="883"/>
      <c r="G201" s="883"/>
      <c r="H201" s="883"/>
      <c r="I201" s="883"/>
      <c r="J201" s="883"/>
      <c r="K201" s="883"/>
      <c r="L201" s="883"/>
      <c r="M201" s="883"/>
      <c r="N201" s="883"/>
      <c r="O201" s="883"/>
      <c r="P201" s="883"/>
      <c r="Q201" s="883"/>
      <c r="R201" s="883"/>
    </row>
  </sheetData>
  <phoneticPr fontId="3" type="noConversion"/>
  <printOptions horizontalCentered="1"/>
  <pageMargins left="0.2" right="0.2" top="0.25" bottom="0.25" header="0.3" footer="0.3"/>
  <pageSetup scale="48" orientation="landscape" r:id="rId1"/>
  <ignoredErrors>
    <ignoredError sqref="M73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K19"/>
  <sheetViews>
    <sheetView workbookViewId="0">
      <selection activeCell="J1" sqref="J1:K1"/>
    </sheetView>
  </sheetViews>
  <sheetFormatPr baseColWidth="10" defaultColWidth="9.1640625" defaultRowHeight="13" x14ac:dyDescent="0.15"/>
  <cols>
    <col min="1" max="1" width="6.1640625" style="882" customWidth="1"/>
    <col min="2" max="2" width="14.6640625" style="882" customWidth="1"/>
    <col min="3" max="3" width="13.5" style="882" customWidth="1"/>
    <col min="4" max="4" width="10" style="882" customWidth="1"/>
    <col min="5" max="5" width="9.1640625" style="882"/>
    <col min="6" max="9" width="12.6640625" style="882" customWidth="1"/>
    <col min="10" max="10" width="13.5" style="882" bestFit="1" customWidth="1"/>
    <col min="11" max="16384" width="9.1640625" style="882"/>
  </cols>
  <sheetData>
    <row r="1" spans="1:11" ht="14" thickBot="1" x14ac:dyDescent="0.2">
      <c r="J1" s="633" t="s">
        <v>96</v>
      </c>
      <c r="K1" s="634">
        <v>183690</v>
      </c>
    </row>
    <row r="2" spans="1:11" x14ac:dyDescent="0.15">
      <c r="A2" s="1464" t="s">
        <v>82</v>
      </c>
      <c r="B2" s="1486"/>
      <c r="C2" s="1486"/>
      <c r="D2" s="1486"/>
      <c r="E2" s="1486"/>
      <c r="F2" s="1486"/>
      <c r="G2" s="1486"/>
      <c r="H2" s="1486"/>
      <c r="I2" s="1486"/>
      <c r="J2" s="1486"/>
      <c r="K2" s="1487"/>
    </row>
    <row r="3" spans="1:11" ht="14" thickBot="1" x14ac:dyDescent="0.2">
      <c r="A3" s="1467" t="s">
        <v>213</v>
      </c>
      <c r="B3" s="1488"/>
      <c r="C3" s="1488"/>
      <c r="D3" s="1488"/>
      <c r="E3" s="1488"/>
      <c r="F3" s="1488"/>
      <c r="G3" s="1488"/>
      <c r="H3" s="1488"/>
      <c r="I3" s="1488"/>
      <c r="J3" s="1488"/>
      <c r="K3" s="1489"/>
    </row>
    <row r="4" spans="1:11" x14ac:dyDescent="0.15">
      <c r="A4" s="1326"/>
      <c r="B4" s="1327" t="s">
        <v>202</v>
      </c>
      <c r="C4" s="1327" t="s">
        <v>204</v>
      </c>
      <c r="D4" s="1328" t="s">
        <v>205</v>
      </c>
      <c r="E4" s="1329"/>
      <c r="F4" s="1328"/>
      <c r="G4" s="1329"/>
      <c r="H4" s="1327"/>
      <c r="I4" s="1328"/>
      <c r="J4" s="1330" t="s">
        <v>32</v>
      </c>
      <c r="K4" s="1330" t="s">
        <v>183</v>
      </c>
    </row>
    <row r="5" spans="1:11" ht="14" thickBot="1" x14ac:dyDescent="0.2">
      <c r="A5" s="1053" t="s">
        <v>201</v>
      </c>
      <c r="B5" s="945" t="s">
        <v>203</v>
      </c>
      <c r="C5" s="945" t="s">
        <v>183</v>
      </c>
      <c r="D5" s="1010" t="s">
        <v>98</v>
      </c>
      <c r="E5" s="1331"/>
      <c r="F5" s="1010"/>
      <c r="G5" s="1331"/>
      <c r="H5" s="945"/>
      <c r="I5" s="1010"/>
      <c r="J5" s="1332" t="s">
        <v>183</v>
      </c>
      <c r="K5" s="1332" t="s">
        <v>187</v>
      </c>
    </row>
    <row r="6" spans="1:11" x14ac:dyDescent="0.15">
      <c r="A6" s="941" t="s">
        <v>208</v>
      </c>
      <c r="B6" s="532"/>
      <c r="C6" s="1028">
        <f>'Land Values'!D16</f>
        <v>15806939.15</v>
      </c>
      <c r="D6" s="1083">
        <f>'Land Values'!E16</f>
        <v>86071</v>
      </c>
      <c r="E6" s="1082"/>
      <c r="F6" s="1029"/>
      <c r="G6" s="1027"/>
      <c r="H6" s="1028"/>
      <c r="I6" s="1029"/>
      <c r="J6" s="1333">
        <f>C6</f>
        <v>15806939.15</v>
      </c>
      <c r="K6" s="1334">
        <f>J6/D6</f>
        <v>183.65</v>
      </c>
    </row>
    <row r="7" spans="1:11" x14ac:dyDescent="0.15">
      <c r="A7" s="941" t="s">
        <v>363</v>
      </c>
      <c r="B7" s="532"/>
      <c r="C7" s="1041">
        <f>'Land Values'!D20</f>
        <v>22620905.100000001</v>
      </c>
      <c r="D7" s="1083">
        <f>'Land Values'!E20</f>
        <v>123174</v>
      </c>
      <c r="E7" s="1082"/>
      <c r="F7" s="1042"/>
      <c r="G7" s="1040"/>
      <c r="H7" s="1041"/>
      <c r="I7" s="1042"/>
      <c r="J7" s="1335">
        <f>C7</f>
        <v>22620905.100000001</v>
      </c>
      <c r="K7" s="1336">
        <f>J7/D7</f>
        <v>183.65</v>
      </c>
    </row>
    <row r="8" spans="1:11" x14ac:dyDescent="0.15">
      <c r="A8" s="941" t="s">
        <v>207</v>
      </c>
      <c r="B8" s="532"/>
      <c r="C8" s="1041">
        <f>'Land Values'!D12</f>
        <v>30465514.850000001</v>
      </c>
      <c r="D8" s="1083">
        <f>'Land Values'!E12</f>
        <v>165889</v>
      </c>
      <c r="E8" s="1082"/>
      <c r="F8" s="1042"/>
      <c r="G8" s="1040"/>
      <c r="H8" s="1041"/>
      <c r="I8" s="1042"/>
      <c r="J8" s="1335">
        <f>C8</f>
        <v>30465514.850000001</v>
      </c>
      <c r="K8" s="1336">
        <f>J8/D8</f>
        <v>183.65</v>
      </c>
    </row>
    <row r="9" spans="1:11" ht="14" thickBot="1" x14ac:dyDescent="0.2">
      <c r="A9" s="1053" t="s">
        <v>32</v>
      </c>
      <c r="B9" s="1062"/>
      <c r="C9" s="1035">
        <f>SUM(C6:C8)</f>
        <v>68893359.099999994</v>
      </c>
      <c r="D9" s="1337">
        <f>SUM(D6:D8)</f>
        <v>375134</v>
      </c>
      <c r="E9" s="1338"/>
      <c r="F9" s="1036"/>
      <c r="G9" s="1034"/>
      <c r="H9" s="1035"/>
      <c r="I9" s="1036"/>
      <c r="J9" s="1339">
        <f>SUM(J6:J8)</f>
        <v>68893359.099999994</v>
      </c>
      <c r="K9" s="1340">
        <f>J9/D9</f>
        <v>183.64999999999998</v>
      </c>
    </row>
    <row r="10" spans="1:11" x14ac:dyDescent="0.15">
      <c r="B10" s="883"/>
      <c r="C10" s="884"/>
      <c r="D10" s="885"/>
      <c r="E10" s="885"/>
      <c r="F10" s="884"/>
      <c r="G10" s="884"/>
      <c r="H10" s="884"/>
      <c r="I10" s="884"/>
      <c r="J10" s="884"/>
      <c r="K10" s="914"/>
    </row>
    <row r="11" spans="1:11" x14ac:dyDescent="0.15">
      <c r="B11" s="883"/>
      <c r="C11" s="884"/>
      <c r="D11" s="885"/>
      <c r="E11" s="885"/>
      <c r="F11" s="884"/>
      <c r="G11" s="884"/>
      <c r="H11" s="884"/>
      <c r="I11" s="884"/>
      <c r="J11" s="884"/>
      <c r="K11" s="914"/>
    </row>
    <row r="12" spans="1:11" ht="14" thickBot="1" x14ac:dyDescent="0.2">
      <c r="B12" s="883"/>
      <c r="C12" s="884"/>
      <c r="D12" s="885"/>
      <c r="E12" s="885"/>
      <c r="F12" s="884"/>
      <c r="G12" s="884"/>
      <c r="H12" s="884"/>
      <c r="I12" s="884"/>
      <c r="J12" s="884"/>
      <c r="K12" s="914"/>
    </row>
    <row r="13" spans="1:11" ht="14" thickBot="1" x14ac:dyDescent="0.2">
      <c r="A13" s="1478" t="s">
        <v>209</v>
      </c>
      <c r="B13" s="1480"/>
      <c r="C13" s="1490"/>
      <c r="D13" s="1491"/>
      <c r="E13" s="1491"/>
      <c r="F13" s="1492"/>
      <c r="G13" s="884"/>
      <c r="H13" s="884"/>
      <c r="I13" s="884"/>
      <c r="J13" s="884"/>
      <c r="K13" s="914"/>
    </row>
    <row r="14" spans="1:11" x14ac:dyDescent="0.15">
      <c r="A14" s="933" t="s">
        <v>412</v>
      </c>
      <c r="B14" s="1065"/>
      <c r="C14" s="1341"/>
      <c r="D14" s="1320"/>
      <c r="E14" s="1320"/>
      <c r="F14" s="1342">
        <f>D9</f>
        <v>375134</v>
      </c>
      <c r="G14" s="884"/>
      <c r="H14" s="884"/>
      <c r="I14" s="884"/>
      <c r="J14" s="884"/>
      <c r="K14" s="914"/>
    </row>
    <row r="15" spans="1:11" x14ac:dyDescent="0.15">
      <c r="A15" s="1289" t="s">
        <v>413</v>
      </c>
      <c r="B15" s="1343"/>
      <c r="C15" s="1343"/>
      <c r="D15" s="1343"/>
      <c r="E15" s="1343"/>
      <c r="F15" s="1290">
        <f>'Land Values'!E8</f>
        <v>488001</v>
      </c>
    </row>
    <row r="16" spans="1:11" x14ac:dyDescent="0.15">
      <c r="A16" s="988" t="s">
        <v>210</v>
      </c>
      <c r="B16" s="1059"/>
      <c r="C16" s="1059"/>
      <c r="D16" s="1059"/>
      <c r="E16" s="1059"/>
      <c r="F16" s="1344">
        <f>F15+D6+D7+D8</f>
        <v>863135</v>
      </c>
    </row>
    <row r="17" spans="1:6" x14ac:dyDescent="0.15">
      <c r="A17" s="1289" t="s">
        <v>525</v>
      </c>
      <c r="B17" s="1343"/>
      <c r="C17" s="1343"/>
      <c r="D17" s="1343"/>
      <c r="E17" s="1345"/>
      <c r="F17" s="1346">
        <v>4</v>
      </c>
    </row>
    <row r="18" spans="1:6" ht="16" thickBot="1" x14ac:dyDescent="0.2">
      <c r="A18" s="1053" t="s">
        <v>557</v>
      </c>
      <c r="B18" s="1054"/>
      <c r="C18" s="1054"/>
      <c r="D18" s="1054"/>
      <c r="E18" s="1054"/>
      <c r="F18" s="1036">
        <f>F16*F17</f>
        <v>3452540</v>
      </c>
    </row>
    <row r="19" spans="1:6" x14ac:dyDescent="0.15">
      <c r="A19" s="882" t="s">
        <v>212</v>
      </c>
    </row>
  </sheetData>
  <phoneticPr fontId="3" type="noConversion"/>
  <printOptions horizontalCentered="1"/>
  <pageMargins left="0.25" right="0.25" top="0.75" bottom="0.75" header="0.3" footer="0.3"/>
  <pageSetup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J34"/>
  <sheetViews>
    <sheetView zoomScale="85" zoomScaleNormal="85" zoomScalePageLayoutView="85" workbookViewId="0">
      <selection activeCell="A29" sqref="A29:C29"/>
    </sheetView>
  </sheetViews>
  <sheetFormatPr baseColWidth="10" defaultColWidth="9.1640625" defaultRowHeight="13" x14ac:dyDescent="0.15"/>
  <cols>
    <col min="1" max="1" width="16" style="882" customWidth="1"/>
    <col min="2" max="2" width="13.1640625" style="882" customWidth="1"/>
    <col min="3" max="3" width="22.1640625" style="882" customWidth="1"/>
    <col min="4" max="4" width="16.33203125" style="882" bestFit="1" customWidth="1"/>
    <col min="5" max="5" width="10.83203125" style="882" bestFit="1" customWidth="1"/>
    <col min="6" max="6" width="16.5" style="882" bestFit="1" customWidth="1"/>
    <col min="7" max="7" width="11.5" style="882" bestFit="1" customWidth="1"/>
    <col min="8" max="16384" width="9.1640625" style="882"/>
  </cols>
  <sheetData>
    <row r="1" spans="1:10" ht="14" thickBot="1" x14ac:dyDescent="0.2">
      <c r="F1" s="633" t="s">
        <v>96</v>
      </c>
      <c r="G1" s="634">
        <v>183690</v>
      </c>
    </row>
    <row r="2" spans="1:10" s="998" customFormat="1" x14ac:dyDescent="0.15">
      <c r="A2" s="1464" t="s">
        <v>82</v>
      </c>
      <c r="B2" s="1482"/>
      <c r="C2" s="1482"/>
      <c r="D2" s="1482"/>
      <c r="E2" s="1486"/>
      <c r="F2" s="1486"/>
      <c r="G2" s="1487"/>
      <c r="H2" s="882"/>
      <c r="I2" s="882"/>
      <c r="J2" s="882"/>
    </row>
    <row r="3" spans="1:10" s="998" customFormat="1" ht="14" thickBot="1" x14ac:dyDescent="0.2">
      <c r="A3" s="1467" t="s">
        <v>178</v>
      </c>
      <c r="B3" s="1484"/>
      <c r="C3" s="1484"/>
      <c r="D3" s="1484"/>
      <c r="E3" s="1488"/>
      <c r="F3" s="1488"/>
      <c r="G3" s="1489"/>
      <c r="H3" s="882"/>
      <c r="I3" s="882"/>
      <c r="J3" s="882"/>
    </row>
    <row r="4" spans="1:10" s="998" customFormat="1" x14ac:dyDescent="0.15">
      <c r="A4" s="1347"/>
      <c r="B4" s="1327" t="s">
        <v>179</v>
      </c>
      <c r="C4" s="1327" t="s">
        <v>180</v>
      </c>
      <c r="D4" s="1329" t="s">
        <v>181</v>
      </c>
      <c r="E4" s="1328" t="s">
        <v>32</v>
      </c>
      <c r="F4" s="1330" t="s">
        <v>32</v>
      </c>
      <c r="G4" s="1328" t="s">
        <v>183</v>
      </c>
      <c r="H4" s="882"/>
      <c r="I4" s="882"/>
      <c r="J4" s="882"/>
    </row>
    <row r="5" spans="1:10" s="998" customFormat="1" ht="14" thickBot="1" x14ac:dyDescent="0.2">
      <c r="A5" s="1100" t="s">
        <v>184</v>
      </c>
      <c r="B5" s="945" t="s">
        <v>185</v>
      </c>
      <c r="C5" s="945" t="s">
        <v>186</v>
      </c>
      <c r="D5" s="1331" t="s">
        <v>183</v>
      </c>
      <c r="E5" s="1010" t="s">
        <v>98</v>
      </c>
      <c r="F5" s="1332" t="s">
        <v>183</v>
      </c>
      <c r="G5" s="1010" t="s">
        <v>187</v>
      </c>
      <c r="H5" s="882"/>
      <c r="I5" s="882"/>
      <c r="J5" s="882"/>
    </row>
    <row r="6" spans="1:10" s="998" customFormat="1" ht="4.5" customHeight="1" x14ac:dyDescent="0.15">
      <c r="A6" s="941"/>
      <c r="B6" s="1059"/>
      <c r="C6" s="1059"/>
      <c r="D6" s="941"/>
      <c r="E6" s="1073"/>
      <c r="F6" s="1348"/>
      <c r="G6" s="1073"/>
      <c r="H6" s="882"/>
      <c r="I6" s="882"/>
      <c r="J6" s="882"/>
    </row>
    <row r="7" spans="1:10" s="998" customFormat="1" x14ac:dyDescent="0.15">
      <c r="A7" s="1071" t="s">
        <v>188</v>
      </c>
      <c r="B7" s="1349"/>
      <c r="C7" s="1349"/>
      <c r="D7" s="1071"/>
      <c r="E7" s="1073"/>
      <c r="F7" s="1348"/>
      <c r="G7" s="1073"/>
      <c r="H7" s="882"/>
      <c r="I7" s="882"/>
      <c r="J7" s="882"/>
    </row>
    <row r="8" spans="1:10" s="998" customFormat="1" x14ac:dyDescent="0.15">
      <c r="A8" s="941"/>
      <c r="B8" s="532"/>
      <c r="C8" s="532"/>
      <c r="D8" s="1027">
        <f>E8*G8</f>
        <v>89621383.650000006</v>
      </c>
      <c r="E8" s="1083">
        <v>488001</v>
      </c>
      <c r="F8" s="1333">
        <f>D8</f>
        <v>89621383.650000006</v>
      </c>
      <c r="G8" s="1285">
        <v>183.65</v>
      </c>
      <c r="H8" s="882"/>
      <c r="I8" s="882"/>
      <c r="J8" s="882"/>
    </row>
    <row r="9" spans="1:10" s="998" customFormat="1" ht="14" thickBot="1" x14ac:dyDescent="0.2">
      <c r="A9" s="1350" t="s">
        <v>189</v>
      </c>
      <c r="B9" s="1061"/>
      <c r="C9" s="1061"/>
      <c r="D9" s="1034">
        <f>SUM(D8:D8)</f>
        <v>89621383.650000006</v>
      </c>
      <c r="E9" s="1337">
        <f>SUM(E8:E8)</f>
        <v>488001</v>
      </c>
      <c r="F9" s="1339">
        <f>SUM(F8:F8)</f>
        <v>89621383.650000006</v>
      </c>
      <c r="G9" s="1351">
        <f>F9/E9</f>
        <v>183.65</v>
      </c>
      <c r="H9" s="882"/>
      <c r="I9" s="882"/>
      <c r="J9" s="882"/>
    </row>
    <row r="10" spans="1:10" s="998" customFormat="1" ht="4.5" customHeight="1" x14ac:dyDescent="0.15">
      <c r="A10" s="941"/>
      <c r="B10" s="1059"/>
      <c r="C10" s="1059"/>
      <c r="D10" s="941"/>
      <c r="E10" s="1073"/>
      <c r="F10" s="1348"/>
      <c r="G10" s="1073"/>
      <c r="H10" s="882"/>
      <c r="I10" s="882"/>
      <c r="J10" s="882"/>
    </row>
    <row r="11" spans="1:10" s="998" customFormat="1" x14ac:dyDescent="0.15">
      <c r="A11" s="1071" t="s">
        <v>190</v>
      </c>
      <c r="B11" s="1349"/>
      <c r="C11" s="1349"/>
      <c r="D11" s="1071"/>
      <c r="E11" s="1073"/>
      <c r="F11" s="1348"/>
      <c r="G11" s="1073"/>
      <c r="H11" s="882"/>
      <c r="I11" s="882"/>
      <c r="J11" s="882"/>
    </row>
    <row r="12" spans="1:10" s="998" customFormat="1" x14ac:dyDescent="0.15">
      <c r="A12" s="941"/>
      <c r="B12" s="532"/>
      <c r="C12" s="532"/>
      <c r="D12" s="1027">
        <f>E12*G12</f>
        <v>30465514.850000001</v>
      </c>
      <c r="E12" s="1083">
        <v>165889</v>
      </c>
      <c r="F12" s="1333">
        <f>D12</f>
        <v>30465514.850000001</v>
      </c>
      <c r="G12" s="1285">
        <v>183.65</v>
      </c>
      <c r="H12" s="882"/>
      <c r="I12" s="882"/>
      <c r="J12" s="882"/>
    </row>
    <row r="13" spans="1:10" s="998" customFormat="1" ht="14" thickBot="1" x14ac:dyDescent="0.2">
      <c r="A13" s="1350" t="s">
        <v>191</v>
      </c>
      <c r="B13" s="1061"/>
      <c r="C13" s="1061"/>
      <c r="D13" s="1034">
        <f>SUM(D12:D12)</f>
        <v>30465514.850000001</v>
      </c>
      <c r="E13" s="1337">
        <f>SUM(E12:E12)</f>
        <v>165889</v>
      </c>
      <c r="F13" s="1339">
        <f>SUM(F12:F12)</f>
        <v>30465514.850000001</v>
      </c>
      <c r="G13" s="1351">
        <f>F13/E13</f>
        <v>183.65</v>
      </c>
      <c r="H13" s="882"/>
      <c r="I13" s="882"/>
      <c r="J13" s="882"/>
    </row>
    <row r="14" spans="1:10" s="998" customFormat="1" ht="4.5" customHeight="1" x14ac:dyDescent="0.15">
      <c r="A14" s="941"/>
      <c r="B14" s="1059"/>
      <c r="C14" s="1059"/>
      <c r="D14" s="941"/>
      <c r="E14" s="1073"/>
      <c r="F14" s="1348"/>
      <c r="G14" s="1073"/>
      <c r="H14" s="882"/>
      <c r="I14" s="882"/>
      <c r="J14" s="882"/>
    </row>
    <row r="15" spans="1:10" s="998" customFormat="1" x14ac:dyDescent="0.15">
      <c r="A15" s="1071" t="s">
        <v>192</v>
      </c>
      <c r="B15" s="1349"/>
      <c r="C15" s="1349"/>
      <c r="D15" s="1071"/>
      <c r="E15" s="1073"/>
      <c r="F15" s="1348"/>
      <c r="G15" s="1073"/>
      <c r="H15" s="882"/>
      <c r="I15" s="882"/>
      <c r="J15" s="882"/>
    </row>
    <row r="16" spans="1:10" s="998" customFormat="1" x14ac:dyDescent="0.15">
      <c r="A16" s="941"/>
      <c r="B16" s="532"/>
      <c r="C16" s="532"/>
      <c r="D16" s="1027">
        <f>E16*G16</f>
        <v>15806939.15</v>
      </c>
      <c r="E16" s="1083">
        <v>86071</v>
      </c>
      <c r="F16" s="1333">
        <f>D16</f>
        <v>15806939.15</v>
      </c>
      <c r="G16" s="1285">
        <v>183.65</v>
      </c>
      <c r="H16" s="882"/>
      <c r="I16" s="882"/>
      <c r="J16" s="882"/>
    </row>
    <row r="17" spans="1:10" s="998" customFormat="1" ht="14" thickBot="1" x14ac:dyDescent="0.2">
      <c r="A17" s="1350" t="s">
        <v>193</v>
      </c>
      <c r="B17" s="1061"/>
      <c r="C17" s="1061"/>
      <c r="D17" s="1034">
        <f>SUM(D16:D16)</f>
        <v>15806939.15</v>
      </c>
      <c r="E17" s="1337">
        <f>SUM(E16:E16)</f>
        <v>86071</v>
      </c>
      <c r="F17" s="1339">
        <f>SUM(F16:F16)</f>
        <v>15806939.15</v>
      </c>
      <c r="G17" s="1351">
        <f>F17/E17</f>
        <v>183.65</v>
      </c>
      <c r="H17" s="882"/>
      <c r="I17" s="882"/>
      <c r="J17" s="882"/>
    </row>
    <row r="18" spans="1:10" s="998" customFormat="1" ht="4.5" customHeight="1" x14ac:dyDescent="0.15">
      <c r="A18" s="941"/>
      <c r="B18" s="1059"/>
      <c r="C18" s="1059"/>
      <c r="D18" s="941"/>
      <c r="E18" s="1073"/>
      <c r="F18" s="1348"/>
      <c r="G18" s="1073"/>
      <c r="H18" s="882"/>
      <c r="I18" s="882"/>
      <c r="J18" s="882"/>
    </row>
    <row r="19" spans="1:10" s="998" customFormat="1" x14ac:dyDescent="0.15">
      <c r="A19" s="1071" t="s">
        <v>400</v>
      </c>
      <c r="B19" s="1349"/>
      <c r="C19" s="1349"/>
      <c r="D19" s="1071"/>
      <c r="E19" s="1073"/>
      <c r="F19" s="1348"/>
      <c r="G19" s="1073"/>
      <c r="H19" s="882"/>
      <c r="I19" s="882"/>
      <c r="J19" s="882"/>
    </row>
    <row r="20" spans="1:10" s="998" customFormat="1" x14ac:dyDescent="0.15">
      <c r="A20" s="941"/>
      <c r="B20" s="532"/>
      <c r="C20" s="532"/>
      <c r="D20" s="1027">
        <f>E20*G20</f>
        <v>22620905.100000001</v>
      </c>
      <c r="E20" s="1083">
        <v>123174</v>
      </c>
      <c r="F20" s="1333">
        <f>D20</f>
        <v>22620905.100000001</v>
      </c>
      <c r="G20" s="1285">
        <v>183.65</v>
      </c>
      <c r="H20" s="882"/>
      <c r="I20" s="882"/>
      <c r="J20" s="882"/>
    </row>
    <row r="21" spans="1:10" s="998" customFormat="1" x14ac:dyDescent="0.15">
      <c r="A21" s="941"/>
      <c r="B21" s="532"/>
      <c r="C21" s="532"/>
      <c r="D21" s="1027">
        <f>E21*G20</f>
        <v>0</v>
      </c>
      <c r="E21" s="1083"/>
      <c r="F21" s="1333">
        <f>E21*G20</f>
        <v>0</v>
      </c>
      <c r="G21" s="1285"/>
      <c r="H21" s="882"/>
      <c r="I21" s="882"/>
      <c r="J21" s="882"/>
    </row>
    <row r="22" spans="1:10" s="998" customFormat="1" ht="14" thickBot="1" x14ac:dyDescent="0.2">
      <c r="A22" s="1350" t="s">
        <v>401</v>
      </c>
      <c r="B22" s="1061"/>
      <c r="C22" s="1061"/>
      <c r="D22" s="1034">
        <f>D20-D21</f>
        <v>22620905.100000001</v>
      </c>
      <c r="E22" s="1337">
        <f>E20-E21</f>
        <v>123174</v>
      </c>
      <c r="F22" s="1339">
        <f>F20-F21</f>
        <v>22620905.100000001</v>
      </c>
      <c r="G22" s="1351">
        <f>F22/E22</f>
        <v>183.65</v>
      </c>
      <c r="H22" s="882"/>
      <c r="I22" s="882"/>
      <c r="J22" s="882"/>
    </row>
    <row r="23" spans="1:10" s="998" customFormat="1" ht="4.5" customHeight="1" thickBot="1" x14ac:dyDescent="0.2">
      <c r="A23" s="1352"/>
      <c r="B23" s="1353"/>
      <c r="C23" s="1353"/>
      <c r="D23" s="1352"/>
      <c r="E23" s="1354"/>
      <c r="F23" s="1355"/>
      <c r="G23" s="1354"/>
      <c r="H23" s="882"/>
      <c r="I23" s="882"/>
      <c r="J23" s="882"/>
    </row>
    <row r="24" spans="1:10" s="998" customFormat="1" ht="4.5" customHeight="1" x14ac:dyDescent="0.15">
      <c r="A24" s="1356"/>
      <c r="B24" s="1183"/>
      <c r="C24" s="1183"/>
      <c r="D24" s="1357"/>
      <c r="E24" s="1358"/>
      <c r="F24" s="1359"/>
      <c r="G24" s="1360"/>
      <c r="H24" s="882"/>
      <c r="I24" s="882"/>
      <c r="J24" s="882"/>
    </row>
    <row r="25" spans="1:10" s="998" customFormat="1" ht="14" thickBot="1" x14ac:dyDescent="0.2">
      <c r="A25" s="1350" t="s">
        <v>194</v>
      </c>
      <c r="B25" s="1061"/>
      <c r="C25" s="1061"/>
      <c r="D25" s="1034">
        <f>SUM(D9,D13,D17,D22,)</f>
        <v>158514742.75</v>
      </c>
      <c r="E25" s="1337">
        <f>SUM(E9,E13,E17,E22,)</f>
        <v>863135</v>
      </c>
      <c r="F25" s="1339">
        <f>SUM(F9,F13,F17,F22,)</f>
        <v>158514742.75</v>
      </c>
      <c r="G25" s="1351">
        <f>F25/E25</f>
        <v>183.65</v>
      </c>
      <c r="H25" s="882"/>
      <c r="I25" s="882"/>
      <c r="J25" s="882"/>
    </row>
    <row r="26" spans="1:10" s="998" customFormat="1" x14ac:dyDescent="0.15">
      <c r="A26" s="882"/>
      <c r="B26" s="882"/>
      <c r="C26" s="882"/>
      <c r="D26" s="882"/>
      <c r="E26" s="882"/>
      <c r="F26" s="882"/>
      <c r="G26" s="882"/>
      <c r="H26" s="882"/>
      <c r="I26" s="882"/>
      <c r="J26" s="882"/>
    </row>
    <row r="27" spans="1:10" s="998" customFormat="1" x14ac:dyDescent="0.15">
      <c r="A27" s="882"/>
      <c r="B27" s="882"/>
      <c r="C27" s="882"/>
      <c r="D27" s="882"/>
      <c r="E27" s="882"/>
      <c r="F27" s="882"/>
      <c r="G27" s="882"/>
      <c r="H27" s="882"/>
      <c r="I27" s="882"/>
      <c r="J27" s="882"/>
    </row>
    <row r="28" spans="1:10" s="998" customFormat="1" ht="14" thickBot="1" x14ac:dyDescent="0.2">
      <c r="A28" s="882"/>
      <c r="B28" s="882"/>
      <c r="C28" s="882"/>
      <c r="D28" s="882"/>
      <c r="E28" s="882"/>
      <c r="F28" s="882"/>
      <c r="G28" s="882"/>
      <c r="H28" s="882"/>
      <c r="I28" s="882"/>
      <c r="J28" s="882"/>
    </row>
    <row r="29" spans="1:10" s="998" customFormat="1" ht="14" thickBot="1" x14ac:dyDescent="0.2">
      <c r="A29" s="1478" t="s">
        <v>15</v>
      </c>
      <c r="B29" s="1480"/>
      <c r="C29" s="1481"/>
      <c r="D29" s="882"/>
      <c r="E29" s="882"/>
      <c r="F29" s="882"/>
      <c r="G29" s="882"/>
      <c r="H29" s="882"/>
      <c r="I29" s="882"/>
      <c r="J29" s="882"/>
    </row>
    <row r="30" spans="1:10" s="998" customFormat="1" x14ac:dyDescent="0.15">
      <c r="A30" s="933" t="s">
        <v>172</v>
      </c>
      <c r="B30" s="1183"/>
      <c r="C30" s="1342">
        <v>200</v>
      </c>
      <c r="D30" s="882"/>
      <c r="E30" s="1098"/>
      <c r="F30" s="882"/>
      <c r="G30" s="882"/>
      <c r="H30" s="882"/>
      <c r="I30" s="882"/>
      <c r="J30" s="882"/>
    </row>
    <row r="31" spans="1:10" s="998" customFormat="1" x14ac:dyDescent="0.15">
      <c r="A31" s="941" t="s">
        <v>195</v>
      </c>
      <c r="B31" s="1059"/>
      <c r="C31" s="1285">
        <v>2.5</v>
      </c>
      <c r="D31" s="882"/>
      <c r="E31" s="882"/>
      <c r="F31" s="882"/>
      <c r="G31" s="882"/>
      <c r="H31" s="882"/>
      <c r="I31" s="882"/>
      <c r="J31" s="882"/>
    </row>
    <row r="32" spans="1:10" s="998" customFormat="1" x14ac:dyDescent="0.15">
      <c r="A32" s="941" t="s">
        <v>196</v>
      </c>
      <c r="B32" s="1059"/>
      <c r="C32" s="1361">
        <v>0.75</v>
      </c>
      <c r="D32" s="882"/>
      <c r="E32" s="882"/>
      <c r="F32" s="882"/>
      <c r="G32" s="882"/>
      <c r="H32" s="882"/>
      <c r="I32" s="882"/>
      <c r="J32" s="882"/>
    </row>
    <row r="33" spans="1:10" s="998" customFormat="1" ht="14" thickBot="1" x14ac:dyDescent="0.2">
      <c r="A33" s="947" t="s">
        <v>404</v>
      </c>
      <c r="B33" s="1061"/>
      <c r="C33" s="1362">
        <v>0.1</v>
      </c>
      <c r="D33" s="882"/>
      <c r="E33" s="882"/>
      <c r="F33" s="882"/>
      <c r="G33" s="882"/>
      <c r="H33" s="882"/>
      <c r="I33" s="882"/>
      <c r="J33" s="882"/>
    </row>
    <row r="34" spans="1:10" s="998" customFormat="1" x14ac:dyDescent="0.15">
      <c r="A34" s="882"/>
      <c r="B34" s="882"/>
      <c r="C34" s="882"/>
      <c r="D34" s="882"/>
      <c r="E34" s="882"/>
      <c r="F34" s="882"/>
      <c r="G34" s="882"/>
      <c r="H34" s="882"/>
      <c r="I34" s="882"/>
      <c r="J34" s="882"/>
    </row>
  </sheetData>
  <phoneticPr fontId="3" type="noConversion"/>
  <printOptions horizontalCentered="1"/>
  <pageMargins left="0.45" right="0.45" top="0.5" bottom="0.5" header="0.3" footer="0.3"/>
  <pageSetup scale="67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P159"/>
  <sheetViews>
    <sheetView showGridLines="0" tabSelected="1" view="pageBreakPreview" zoomScale="60" zoomScaleNormal="60" zoomScaleSheetLayoutView="70" zoomScalePageLayoutView="60" workbookViewId="0">
      <selection activeCell="L49" sqref="L49"/>
    </sheetView>
  </sheetViews>
  <sheetFormatPr baseColWidth="10" defaultColWidth="9.1640625" defaultRowHeight="16" x14ac:dyDescent="0.2"/>
  <cols>
    <col min="1" max="1" width="19.33203125" style="18" customWidth="1"/>
    <col min="2" max="2" width="33.83203125" style="18" customWidth="1"/>
    <col min="3" max="3" width="21.83203125" style="18" customWidth="1"/>
    <col min="4" max="4" width="20.5" style="9" customWidth="1"/>
    <col min="5" max="5" width="20.5" style="18" customWidth="1"/>
    <col min="6" max="6" width="22.6640625" style="18" customWidth="1"/>
    <col min="7" max="11" width="20.5" style="18" customWidth="1"/>
    <col min="12" max="12" width="21" style="18" customWidth="1"/>
    <col min="13" max="13" width="21.5" style="18" customWidth="1"/>
    <col min="14" max="14" width="27" style="18" customWidth="1"/>
    <col min="15" max="15" width="9.1640625" style="18"/>
    <col min="16" max="16" width="19.33203125" style="18" customWidth="1"/>
    <col min="17" max="16384" width="9.1640625" style="18"/>
  </cols>
  <sheetData>
    <row r="1" spans="1:14" ht="16" customHeight="1" x14ac:dyDescent="0.2">
      <c r="A1" s="1409" t="s">
        <v>546</v>
      </c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</row>
    <row r="2" spans="1:14" ht="16" customHeight="1" x14ac:dyDescent="0.2">
      <c r="A2" s="1409"/>
      <c r="B2" s="1409"/>
      <c r="C2" s="1409"/>
      <c r="D2" s="1409"/>
      <c r="E2" s="1409"/>
      <c r="F2" s="1409"/>
      <c r="G2" s="1409"/>
      <c r="H2" s="1409"/>
      <c r="I2" s="1409"/>
      <c r="J2" s="1409"/>
      <c r="K2" s="1409"/>
      <c r="L2" s="1409"/>
      <c r="M2" s="1409"/>
      <c r="N2" s="1409"/>
    </row>
    <row r="3" spans="1:14" ht="16" customHeight="1" x14ac:dyDescent="0.2">
      <c r="A3" s="1409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</row>
    <row r="4" spans="1:14" ht="16" customHeight="1" x14ac:dyDescent="0.2">
      <c r="A4" s="1409"/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</row>
    <row r="5" spans="1:14" ht="16" customHeight="1" x14ac:dyDescent="0.2">
      <c r="A5" s="1409"/>
      <c r="B5" s="1409"/>
      <c r="C5" s="1409"/>
      <c r="D5" s="1409"/>
      <c r="E5" s="1409"/>
      <c r="F5" s="1409"/>
      <c r="G5" s="1409"/>
      <c r="H5" s="1409"/>
      <c r="I5" s="1409"/>
      <c r="J5" s="1409"/>
      <c r="K5" s="1409"/>
      <c r="L5" s="1409"/>
      <c r="M5" s="1409"/>
      <c r="N5" s="1409"/>
    </row>
    <row r="6" spans="1:14" ht="16" customHeight="1" x14ac:dyDescent="0.2">
      <c r="A6" s="1409"/>
      <c r="B6" s="1409"/>
      <c r="C6" s="1409"/>
      <c r="D6" s="1409"/>
      <c r="E6" s="1409"/>
      <c r="F6" s="1409"/>
      <c r="G6" s="1409"/>
      <c r="H6" s="1409"/>
      <c r="I6" s="1409"/>
      <c r="J6" s="1409"/>
      <c r="K6" s="1409"/>
      <c r="L6" s="1409"/>
      <c r="M6" s="1409"/>
      <c r="N6" s="1409"/>
    </row>
    <row r="7" spans="1:14" ht="25" customHeight="1" thickBot="1" x14ac:dyDescent="0.3">
      <c r="A7" s="1408" t="s">
        <v>454</v>
      </c>
      <c r="B7" s="1408"/>
      <c r="C7" s="1408"/>
      <c r="D7" s="1408"/>
      <c r="E7" s="1408"/>
      <c r="F7" s="1408"/>
      <c r="G7" s="1408"/>
      <c r="H7" s="1408"/>
      <c r="I7" s="1408"/>
      <c r="J7" s="1408"/>
      <c r="K7" s="1408"/>
      <c r="L7" s="1408"/>
      <c r="M7" s="1408"/>
      <c r="N7" s="1408"/>
    </row>
    <row r="8" spans="1:14" ht="19" thickBot="1" x14ac:dyDescent="0.25">
      <c r="A8" s="548" t="s">
        <v>63</v>
      </c>
      <c r="B8" s="549"/>
      <c r="C8" s="549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1"/>
    </row>
    <row r="9" spans="1:14" ht="17" thickBot="1" x14ac:dyDescent="0.25">
      <c r="A9" s="300"/>
      <c r="B9" s="301"/>
      <c r="C9" s="301"/>
      <c r="D9" s="302" t="s">
        <v>58</v>
      </c>
      <c r="E9" s="160" t="s">
        <v>37</v>
      </c>
      <c r="F9" s="164"/>
      <c r="G9" s="161"/>
      <c r="H9" s="160" t="s">
        <v>79</v>
      </c>
      <c r="I9" s="162"/>
      <c r="J9" s="161"/>
      <c r="K9" s="163" t="s">
        <v>80</v>
      </c>
      <c r="L9" s="163"/>
      <c r="M9" s="164"/>
      <c r="N9" s="161"/>
    </row>
    <row r="10" spans="1:14" ht="17" thickBot="1" x14ac:dyDescent="0.25">
      <c r="A10" s="1"/>
      <c r="B10" s="2"/>
      <c r="C10" s="2"/>
      <c r="D10" s="3" t="s">
        <v>362</v>
      </c>
      <c r="E10" s="31">
        <v>2020</v>
      </c>
      <c r="F10" s="3">
        <f>E10+1</f>
        <v>2021</v>
      </c>
      <c r="G10" s="4">
        <f t="shared" ref="G10:L10" si="0">F10+1</f>
        <v>2022</v>
      </c>
      <c r="H10" s="31">
        <f t="shared" si="0"/>
        <v>2023</v>
      </c>
      <c r="I10" s="3">
        <f t="shared" si="0"/>
        <v>2024</v>
      </c>
      <c r="J10" s="4">
        <f t="shared" si="0"/>
        <v>2025</v>
      </c>
      <c r="K10" s="3">
        <f t="shared" si="0"/>
        <v>2026</v>
      </c>
      <c r="L10" s="3">
        <f t="shared" si="0"/>
        <v>2027</v>
      </c>
      <c r="M10" s="3">
        <f>L10+1</f>
        <v>2028</v>
      </c>
      <c r="N10" s="4">
        <f>M10+1</f>
        <v>2029</v>
      </c>
    </row>
    <row r="11" spans="1:14" ht="17" thickBot="1" x14ac:dyDescent="0.25">
      <c r="A11" s="25" t="s">
        <v>0</v>
      </c>
      <c r="B11" s="26"/>
      <c r="C11" s="26"/>
      <c r="D11" s="14"/>
      <c r="E11" s="215"/>
      <c r="F11" s="15"/>
      <c r="G11" s="21"/>
      <c r="H11" s="215"/>
      <c r="I11" s="15"/>
      <c r="J11" s="21"/>
      <c r="K11" s="15"/>
      <c r="L11" s="15"/>
      <c r="M11" s="15"/>
      <c r="N11" s="21"/>
    </row>
    <row r="12" spans="1:14" x14ac:dyDescent="0.2">
      <c r="A12" s="246" t="s">
        <v>64</v>
      </c>
      <c r="B12" s="265"/>
      <c r="C12" s="265"/>
      <c r="D12" s="411">
        <f>'2.Market-Rate Rental Housing'!C60</f>
        <v>0</v>
      </c>
      <c r="E12" s="251">
        <f>'2.Market-Rate Rental Housing'!D60</f>
        <v>0</v>
      </c>
      <c r="F12" s="272">
        <f>'2.Market-Rate Rental Housing'!E60</f>
        <v>0</v>
      </c>
      <c r="G12" s="273">
        <f>'2.Market-Rate Rental Housing'!F60</f>
        <v>3568454.1018719999</v>
      </c>
      <c r="H12" s="251">
        <f>'2.Market-Rate Rental Housing'!G60</f>
        <v>9089720.5998170879</v>
      </c>
      <c r="I12" s="272">
        <f>'2.Market-Rate Rental Housing'!H60</f>
        <v>11719837.157790137</v>
      </c>
      <c r="J12" s="273">
        <f>'2.Market-Rate Rental Housing'!I60</f>
        <v>11954233.900945939</v>
      </c>
      <c r="K12" s="272">
        <f>'2.Market-Rate Rental Housing'!J60</f>
        <v>13153751.206760036</v>
      </c>
      <c r="L12" s="272">
        <f>'2.Market-Rate Rental Housing'!K60</f>
        <v>14886288.151421856</v>
      </c>
      <c r="M12" s="272">
        <f>'2.Market-Rate Rental Housing'!L60</f>
        <v>15835688.33137949</v>
      </c>
      <c r="N12" s="273">
        <f>'2.Market-Rate Rental Housing'!M60</f>
        <v>16152402.098007083</v>
      </c>
    </row>
    <row r="13" spans="1:14" x14ac:dyDescent="0.2">
      <c r="A13" s="246" t="s">
        <v>65</v>
      </c>
      <c r="B13" s="265"/>
      <c r="C13" s="265"/>
      <c r="D13" s="412">
        <f>'3.Market-Rate For-Sale Housing'!C37</f>
        <v>0</v>
      </c>
      <c r="E13" s="413">
        <f>'3.Market-Rate For-Sale Housing'!D37</f>
        <v>0</v>
      </c>
      <c r="F13" s="412">
        <f>'3.Market-Rate For-Sale Housing'!E37</f>
        <v>52466958.902937584</v>
      </c>
      <c r="G13" s="274">
        <f>'3.Market-Rate For-Sale Housing'!F37</f>
        <v>53516298.080996335</v>
      </c>
      <c r="H13" s="413">
        <f>'3.Market-Rate For-Sale Housing'!G37</f>
        <v>54586624.042616263</v>
      </c>
      <c r="I13" s="412">
        <f>'3.Market-Rate For-Sale Housing'!H37</f>
        <v>0</v>
      </c>
      <c r="J13" s="274">
        <f>'3.Market-Rate For-Sale Housing'!I37</f>
        <v>0</v>
      </c>
      <c r="K13" s="412">
        <f>'3.Market-Rate For-Sale Housing'!J37</f>
        <v>0</v>
      </c>
      <c r="L13" s="412">
        <f>'3.Market-Rate For-Sale Housing'!K37</f>
        <v>0</v>
      </c>
      <c r="M13" s="412">
        <f>'3.Market-Rate For-Sale Housing'!L37</f>
        <v>22324785.707225975</v>
      </c>
      <c r="N13" s="274">
        <f>'3.Market-Rate For-Sale Housing'!M37</f>
        <v>22771281.421370499</v>
      </c>
    </row>
    <row r="14" spans="1:14" x14ac:dyDescent="0.2">
      <c r="A14" s="246" t="s">
        <v>66</v>
      </c>
      <c r="B14" s="265"/>
      <c r="C14" s="265"/>
      <c r="D14" s="412">
        <f>'4.Affordable Rental Housing'!C40</f>
        <v>0</v>
      </c>
      <c r="E14" s="252">
        <f>'4.Affordable Rental Housing'!D40</f>
        <v>0</v>
      </c>
      <c r="F14" s="275">
        <f>'4.Affordable Rental Housing'!E40</f>
        <v>305807.68511999998</v>
      </c>
      <c r="G14" s="276">
        <f>'4.Affordable Rental Housing'!F40</f>
        <v>757529.32285439991</v>
      </c>
      <c r="H14" s="252">
        <f>'4.Affordable Rental Housing'!G40</f>
        <v>1030239.8790819842</v>
      </c>
      <c r="I14" s="275">
        <f>'4.Affordable Rental Housing'!H40</f>
        <v>1128112.6675947725</v>
      </c>
      <c r="J14" s="276">
        <f>'4.Affordable Rental Housing'!I40</f>
        <v>1276776.282146303</v>
      </c>
      <c r="K14" s="275">
        <f>'4.Affordable Rental Housing'!J40</f>
        <v>1366623.5020010425</v>
      </c>
      <c r="L14" s="275">
        <f>'4.Affordable Rental Housing'!K40</f>
        <v>1393955.9720410635</v>
      </c>
      <c r="M14" s="275">
        <f>'4.Affordable Rental Housing'!L40</f>
        <v>1421835.0914818849</v>
      </c>
      <c r="N14" s="276">
        <f>'4.Affordable Rental Housing'!M40</f>
        <v>1450271.7933115226</v>
      </c>
    </row>
    <row r="15" spans="1:14" x14ac:dyDescent="0.2">
      <c r="A15" s="246" t="s">
        <v>330</v>
      </c>
      <c r="B15" s="265"/>
      <c r="C15" s="265"/>
      <c r="D15" s="412">
        <f>'5.Affordable For-Sale Housing '!C37</f>
        <v>0</v>
      </c>
      <c r="E15" s="252">
        <f>'5.Affordable For-Sale Housing '!D37</f>
        <v>0</v>
      </c>
      <c r="F15" s="275">
        <f>'5.Affordable For-Sale Housing '!E37</f>
        <v>3314180.6747999997</v>
      </c>
      <c r="G15" s="276">
        <f>'5.Affordable For-Sale Housing '!F37</f>
        <v>3098758.9309379999</v>
      </c>
      <c r="H15" s="252">
        <f>'5.Affordable For-Sale Housing '!G37</f>
        <v>3160734.1095567602</v>
      </c>
      <c r="I15" s="275">
        <f>'5.Affordable For-Sale Housing '!H37</f>
        <v>0</v>
      </c>
      <c r="J15" s="276">
        <f>'5.Affordable For-Sale Housing '!I37</f>
        <v>0</v>
      </c>
      <c r="K15" s="275">
        <f>'5.Affordable For-Sale Housing '!J37</f>
        <v>0</v>
      </c>
      <c r="L15" s="275">
        <f>'5.Affordable For-Sale Housing '!K37</f>
        <v>0</v>
      </c>
      <c r="M15" s="275">
        <f>'5.Affordable For-Sale Housing '!L37</f>
        <v>1268983.9470476597</v>
      </c>
      <c r="N15" s="276">
        <f>'5.Affordable For-Sale Housing '!M37</f>
        <v>1294363.6259886131</v>
      </c>
    </row>
    <row r="16" spans="1:14" x14ac:dyDescent="0.2">
      <c r="A16" s="246" t="s">
        <v>67</v>
      </c>
      <c r="B16" s="265"/>
      <c r="C16" s="265"/>
      <c r="D16" s="412">
        <f>'6.Office'!C38</f>
        <v>0</v>
      </c>
      <c r="E16" s="252">
        <f>'6.Office'!D38</f>
        <v>0</v>
      </c>
      <c r="F16" s="275">
        <f>'6.Office'!E38</f>
        <v>0</v>
      </c>
      <c r="G16" s="276">
        <f>'6.Office'!F38</f>
        <v>1254169.7939230986</v>
      </c>
      <c r="H16" s="252">
        <f>'6.Office'!G38</f>
        <v>1279253.1898015607</v>
      </c>
      <c r="I16" s="275">
        <f>'6.Office'!H38</f>
        <v>2165605.0462237615</v>
      </c>
      <c r="J16" s="276">
        <f>'6.Office'!I38</f>
        <v>8530388.4721948281</v>
      </c>
      <c r="K16" s="275">
        <f>'6.Office'!J38</f>
        <v>11800300.704813119</v>
      </c>
      <c r="L16" s="275">
        <f>'6.Office'!K38</f>
        <v>34797598.696462125</v>
      </c>
      <c r="M16" s="275">
        <f>'6.Office'!L38</f>
        <v>35493550.670391366</v>
      </c>
      <c r="N16" s="276">
        <f>'6.Office'!M38</f>
        <v>36203421.683799192</v>
      </c>
    </row>
    <row r="17" spans="1:14" x14ac:dyDescent="0.2">
      <c r="A17" s="246" t="s">
        <v>335</v>
      </c>
      <c r="B17" s="265"/>
      <c r="C17" s="265"/>
      <c r="D17" s="412">
        <f>'7.Industrial &amp; School'!C38</f>
        <v>0</v>
      </c>
      <c r="E17" s="252">
        <f>'7.Industrial &amp; School'!D38</f>
        <v>0</v>
      </c>
      <c r="F17" s="275">
        <f>'7.Industrial &amp; School'!E38</f>
        <v>0</v>
      </c>
      <c r="G17" s="276">
        <f>'7.Industrial &amp; School'!F38</f>
        <v>0</v>
      </c>
      <c r="H17" s="252">
        <f>'7.Industrial &amp; School'!G38</f>
        <v>0</v>
      </c>
      <c r="I17" s="275">
        <f>'7.Industrial &amp; School'!H38</f>
        <v>0</v>
      </c>
      <c r="J17" s="276">
        <f>'7.Industrial &amp; School'!I38</f>
        <v>0</v>
      </c>
      <c r="K17" s="275">
        <f>'7.Industrial &amp; School'!J38</f>
        <v>0</v>
      </c>
      <c r="L17" s="275">
        <f>'7.Industrial &amp; School'!K38</f>
        <v>0</v>
      </c>
      <c r="M17" s="275">
        <f>'7.Industrial &amp; School'!L38</f>
        <v>0</v>
      </c>
      <c r="N17" s="276">
        <f>'7.Industrial &amp; School'!M38</f>
        <v>0</v>
      </c>
    </row>
    <row r="18" spans="1:14" x14ac:dyDescent="0.2">
      <c r="A18" s="246" t="s">
        <v>68</v>
      </c>
      <c r="B18" s="265"/>
      <c r="C18" s="265"/>
      <c r="D18" s="412">
        <f>'8.Market-Rate Retail'!C83</f>
        <v>0</v>
      </c>
      <c r="E18" s="252">
        <f>'8.Market-Rate Retail'!D83</f>
        <v>0</v>
      </c>
      <c r="F18" s="275">
        <f>'8.Market-Rate Retail'!E83</f>
        <v>2018740.98979872</v>
      </c>
      <c r="G18" s="276">
        <f>'8.Market-Rate Retail'!F83</f>
        <v>3075558.3270697822</v>
      </c>
      <c r="H18" s="252">
        <f>'8.Market-Rate Retail'!G83</f>
        <v>3137069.4936111784</v>
      </c>
      <c r="I18" s="275">
        <f>'8.Market-Rate Retail'!H83</f>
        <v>3820207.1341149989</v>
      </c>
      <c r="J18" s="276">
        <f>'8.Market-Rate Retail'!I83</f>
        <v>4309903.4178643506</v>
      </c>
      <c r="K18" s="275">
        <f>'8.Market-Rate Retail'!J83</f>
        <v>4396101.4862216357</v>
      </c>
      <c r="L18" s="275">
        <f>'8.Market-Rate Retail'!K83</f>
        <v>4484023.5159460688</v>
      </c>
      <c r="M18" s="275">
        <f>'8.Market-Rate Retail'!L83</f>
        <v>5371657.8035064749</v>
      </c>
      <c r="N18" s="276">
        <f>'8.Market-Rate Retail'!M83</f>
        <v>6010667.4177911999</v>
      </c>
    </row>
    <row r="19" spans="1:14" x14ac:dyDescent="0.2">
      <c r="A19" s="246" t="s">
        <v>49</v>
      </c>
      <c r="B19" s="265"/>
      <c r="C19" s="265"/>
      <c r="D19" s="412">
        <f>'9.Hotel'!C15</f>
        <v>0</v>
      </c>
      <c r="E19" s="252">
        <f>'9.Hotel'!D15</f>
        <v>0</v>
      </c>
      <c r="F19" s="275">
        <f>'9.Hotel'!E15</f>
        <v>0</v>
      </c>
      <c r="G19" s="276">
        <f>'9.Hotel'!F15</f>
        <v>0</v>
      </c>
      <c r="H19" s="252">
        <f>'9.Hotel'!G15</f>
        <v>0</v>
      </c>
      <c r="I19" s="275">
        <f>'9.Hotel'!H15</f>
        <v>8446772.6138593648</v>
      </c>
      <c r="J19" s="276">
        <f>'9.Hotel'!I15</f>
        <v>8615708.066136552</v>
      </c>
      <c r="K19" s="275">
        <f>'9.Hotel'!J15</f>
        <v>8788022.2274592817</v>
      </c>
      <c r="L19" s="275">
        <f>'9.Hotel'!K15</f>
        <v>8963782.6720084678</v>
      </c>
      <c r="M19" s="275">
        <f>'9.Hotel'!L15</f>
        <v>9143058.325448636</v>
      </c>
      <c r="N19" s="276">
        <f>'9.Hotel'!M15</f>
        <v>9325919.4919576105</v>
      </c>
    </row>
    <row r="20" spans="1:14" x14ac:dyDescent="0.2">
      <c r="A20" s="246" t="s">
        <v>315</v>
      </c>
      <c r="B20" s="265"/>
      <c r="C20" s="265"/>
      <c r="D20" s="412">
        <f>'10.Structured Parking'!C88</f>
        <v>0</v>
      </c>
      <c r="E20" s="252">
        <f>'10.Structured Parking'!D88</f>
        <v>0</v>
      </c>
      <c r="F20" s="275">
        <f>'10.Structured Parking'!E88</f>
        <v>4509777.2884559995</v>
      </c>
      <c r="G20" s="276">
        <f>'10.Structured Parking'!F88</f>
        <v>4599972.8342251182</v>
      </c>
      <c r="H20" s="252">
        <f>'10.Structured Parking'!G88</f>
        <v>4691972.2909096219</v>
      </c>
      <c r="I20" s="275">
        <f>'10.Structured Parking'!H88</f>
        <v>7791174.1583850449</v>
      </c>
      <c r="J20" s="276">
        <f>'10.Structured Parking'!I88</f>
        <v>7946997.6415527454</v>
      </c>
      <c r="K20" s="275">
        <f>'10.Structured Parking'!J88</f>
        <v>8105937.5943837995</v>
      </c>
      <c r="L20" s="275">
        <f>'10.Structured Parking'!K88</f>
        <v>8268056.3462714748</v>
      </c>
      <c r="M20" s="275">
        <f>'10.Structured Parking'!L88</f>
        <v>8433417.4731969032</v>
      </c>
      <c r="N20" s="276">
        <f>'10.Structured Parking'!M88</f>
        <v>14849763.279638557</v>
      </c>
    </row>
    <row r="21" spans="1:14" x14ac:dyDescent="0.2">
      <c r="A21" s="253" t="s">
        <v>51</v>
      </c>
      <c r="B21" s="287"/>
      <c r="C21" s="287"/>
      <c r="D21" s="414">
        <f>'11.Surface Parking'!C65</f>
        <v>0</v>
      </c>
      <c r="E21" s="280">
        <f>'11.Surface Parking'!D65</f>
        <v>-7341.45</v>
      </c>
      <c r="F21" s="281">
        <f>'11.Surface Parking'!E65</f>
        <v>-7488.2789999999995</v>
      </c>
      <c r="G21" s="282">
        <f>'11.Surface Parking'!F65</f>
        <v>400233.53599200002</v>
      </c>
      <c r="H21" s="280">
        <f>'11.Surface Parking'!G65</f>
        <v>408238.20671184006</v>
      </c>
      <c r="I21" s="281">
        <f>'11.Surface Parking'!H65</f>
        <v>416402.97084607685</v>
      </c>
      <c r="J21" s="282">
        <f>'11.Surface Parking'!I65</f>
        <v>424731.03026299842</v>
      </c>
      <c r="K21" s="281">
        <f>'11.Surface Parking'!J65</f>
        <v>433225.65086825832</v>
      </c>
      <c r="L21" s="281">
        <f>'11.Surface Parking'!K65</f>
        <v>441890.16388562345</v>
      </c>
      <c r="M21" s="281">
        <f>'11.Surface Parking'!L65</f>
        <v>450727.96716333588</v>
      </c>
      <c r="N21" s="282">
        <f>'11.Surface Parking'!M65</f>
        <v>459742.52650660265</v>
      </c>
    </row>
    <row r="22" spans="1:14" ht="17" thickBot="1" x14ac:dyDescent="0.25">
      <c r="A22" s="239" t="s">
        <v>1</v>
      </c>
      <c r="B22" s="240"/>
      <c r="C22" s="240"/>
      <c r="D22" s="290">
        <f t="shared" ref="D22:M22" si="1">SUM(D12:D21)</f>
        <v>0</v>
      </c>
      <c r="E22" s="241">
        <f t="shared" si="1"/>
        <v>-7341.45</v>
      </c>
      <c r="F22" s="291">
        <f t="shared" si="1"/>
        <v>62607977.262112305</v>
      </c>
      <c r="G22" s="292">
        <f t="shared" si="1"/>
        <v>70270974.927870721</v>
      </c>
      <c r="H22" s="241">
        <f t="shared" si="1"/>
        <v>77383851.812106296</v>
      </c>
      <c r="I22" s="291">
        <f t="shared" si="1"/>
        <v>35488111.748814158</v>
      </c>
      <c r="J22" s="292">
        <f t="shared" si="1"/>
        <v>43058738.811103724</v>
      </c>
      <c r="K22" s="291">
        <f t="shared" si="1"/>
        <v>48043962.37250717</v>
      </c>
      <c r="L22" s="291">
        <f t="shared" si="1"/>
        <v>73235595.518036678</v>
      </c>
      <c r="M22" s="291">
        <f t="shared" si="1"/>
        <v>99743705.316841736</v>
      </c>
      <c r="N22" s="292">
        <f>SUM(N12:N21)</f>
        <v>108517833.33837087</v>
      </c>
    </row>
    <row r="23" spans="1:14" ht="17" thickBot="1" x14ac:dyDescent="0.25">
      <c r="A23" s="25" t="s">
        <v>2</v>
      </c>
      <c r="B23" s="26"/>
      <c r="C23" s="26"/>
      <c r="D23" s="14"/>
      <c r="E23" s="215"/>
      <c r="F23" s="15"/>
      <c r="G23" s="21"/>
      <c r="H23" s="215"/>
      <c r="I23" s="15"/>
      <c r="J23" s="21"/>
      <c r="K23" s="15"/>
      <c r="L23" s="15"/>
      <c r="M23" s="15"/>
      <c r="N23" s="21"/>
    </row>
    <row r="24" spans="1:14" x14ac:dyDescent="0.2">
      <c r="A24" s="246" t="s">
        <v>64</v>
      </c>
      <c r="B24" s="265"/>
      <c r="C24" s="265"/>
      <c r="D24" s="411">
        <f>'2.Market-Rate Rental Housing'!C66</f>
        <v>0</v>
      </c>
      <c r="E24" s="415">
        <f>'Summary Board'!E18</f>
        <v>90936453.081169918</v>
      </c>
      <c r="F24" s="411">
        <f>'2.Market-Rate Rental Housing'!E66</f>
        <v>46377591.071396656</v>
      </c>
      <c r="G24" s="271">
        <f>'2.Market-Rate Rental Housing'!F66</f>
        <v>0</v>
      </c>
      <c r="H24" s="415">
        <f>'2.Market-Rate Rental Housing'!G66</f>
        <v>0</v>
      </c>
      <c r="I24" s="411">
        <f>'2.Market-Rate Rental Housing'!H66</f>
        <v>0</v>
      </c>
      <c r="J24" s="271">
        <f>'2.Market-Rate Rental Housing'!I66</f>
        <v>0</v>
      </c>
      <c r="K24" s="411">
        <f>'2.Market-Rate Rental Housing'!J66</f>
        <v>0</v>
      </c>
      <c r="L24" s="411">
        <f>'2.Market-Rate Rental Housing'!K66</f>
        <v>38933253.851261474</v>
      </c>
      <c r="M24" s="411">
        <f>'2.Market-Rate Rental Housing'!L66</f>
        <v>0</v>
      </c>
      <c r="N24" s="271">
        <f>'2.Market-Rate Rental Housing'!M66</f>
        <v>0</v>
      </c>
    </row>
    <row r="25" spans="1:14" x14ac:dyDescent="0.2">
      <c r="A25" s="246" t="s">
        <v>65</v>
      </c>
      <c r="B25" s="265"/>
      <c r="C25" s="265"/>
      <c r="D25" s="412">
        <f>'3.Market-Rate For-Sale Housing'!C43</f>
        <v>0</v>
      </c>
      <c r="E25" s="252">
        <f>'Summary Board'!E19</f>
        <v>45468226.540584959</v>
      </c>
      <c r="F25" s="275">
        <f>'3.Market-Rate For-Sale Housing'!E43</f>
        <v>23188795.535698328</v>
      </c>
      <c r="G25" s="276">
        <f>'3.Market-Rate For-Sale Housing'!F43</f>
        <v>0</v>
      </c>
      <c r="H25" s="252">
        <f>'3.Market-Rate For-Sale Housing'!G43</f>
        <v>0</v>
      </c>
      <c r="I25" s="275">
        <f>'3.Market-Rate For-Sale Housing'!H43</f>
        <v>0</v>
      </c>
      <c r="J25" s="276">
        <f>'3.Market-Rate For-Sale Housing'!I43</f>
        <v>0</v>
      </c>
      <c r="K25" s="275">
        <f>'3.Market-Rate For-Sale Housing'!J43</f>
        <v>0</v>
      </c>
      <c r="L25" s="275">
        <f>'3.Market-Rate For-Sale Housing'!K43</f>
        <v>19466626.925630737</v>
      </c>
      <c r="M25" s="275">
        <f>'3.Market-Rate For-Sale Housing'!L43</f>
        <v>0</v>
      </c>
      <c r="N25" s="276">
        <f>'3.Market-Rate For-Sale Housing'!M43</f>
        <v>0</v>
      </c>
    </row>
    <row r="26" spans="1:14" x14ac:dyDescent="0.2">
      <c r="A26" s="246" t="s">
        <v>66</v>
      </c>
      <c r="B26" s="265"/>
      <c r="C26" s="265"/>
      <c r="D26" s="412">
        <f>'4.Affordable Rental Housing'!C46</f>
        <v>0</v>
      </c>
      <c r="E26" s="252">
        <f>'Summary Board'!E20</f>
        <v>10103962.791659521</v>
      </c>
      <c r="F26" s="275">
        <f>'4.Affordable Rental Housing'!E46</f>
        <v>5153021.0237463554</v>
      </c>
      <c r="G26" s="276">
        <f>'4.Affordable Rental Housing'!F46</f>
        <v>0</v>
      </c>
      <c r="H26" s="252">
        <f>'4.Affordable Rental Housing'!G46</f>
        <v>0</v>
      </c>
      <c r="I26" s="275">
        <f>'4.Affordable Rental Housing'!H46</f>
        <v>0</v>
      </c>
      <c r="J26" s="276">
        <f>'4.Affordable Rental Housing'!I46</f>
        <v>0</v>
      </c>
      <c r="K26" s="275">
        <f>'4.Affordable Rental Housing'!J46</f>
        <v>2827372.1447711759</v>
      </c>
      <c r="L26" s="275">
        <f>'4.Affordable Rental Housing'!K46</f>
        <v>1441959.7938332998</v>
      </c>
      <c r="M26" s="275">
        <f>'4.Affordable Rental Housing'!L46</f>
        <v>0</v>
      </c>
      <c r="N26" s="276">
        <f>'4.Affordable Rental Housing'!M46</f>
        <v>0</v>
      </c>
    </row>
    <row r="27" spans="1:14" x14ac:dyDescent="0.2">
      <c r="A27" s="246" t="s">
        <v>330</v>
      </c>
      <c r="B27" s="265"/>
      <c r="C27" s="265"/>
      <c r="D27" s="412">
        <f>'5.Affordable For-Sale Housing '!C43</f>
        <v>0</v>
      </c>
      <c r="E27" s="252">
        <f>'Summary Board'!E21</f>
        <v>5051981.3958297605</v>
      </c>
      <c r="F27" s="275">
        <f>'5.Affordable For-Sale Housing '!E43</f>
        <v>2576510.5118731777</v>
      </c>
      <c r="G27" s="276">
        <f>'5.Affordable For-Sale Housing '!F43</f>
        <v>0</v>
      </c>
      <c r="H27" s="252">
        <f>'5.Affordable For-Sale Housing '!G43</f>
        <v>0</v>
      </c>
      <c r="I27" s="275">
        <f>'5.Affordable For-Sale Housing '!H43</f>
        <v>0</v>
      </c>
      <c r="J27" s="276">
        <f>'5.Affordable For-Sale Housing '!I43</f>
        <v>0</v>
      </c>
      <c r="K27" s="275">
        <f>'5.Affordable For-Sale Housing '!J43</f>
        <v>2120695.4898344497</v>
      </c>
      <c r="L27" s="275">
        <f>'5.Affordable For-Sale Housing '!K43</f>
        <v>0</v>
      </c>
      <c r="M27" s="275">
        <f>'5.Affordable For-Sale Housing '!L43</f>
        <v>0</v>
      </c>
      <c r="N27" s="276">
        <f>'5.Affordable For-Sale Housing '!M43</f>
        <v>0</v>
      </c>
    </row>
    <row r="28" spans="1:14" x14ac:dyDescent="0.2">
      <c r="A28" s="246" t="s">
        <v>67</v>
      </c>
      <c r="B28" s="265"/>
      <c r="C28" s="265"/>
      <c r="D28" s="412">
        <f>'6.Office'!C44</f>
        <v>0</v>
      </c>
      <c r="E28" s="252">
        <f>'6.Office'!D44</f>
        <v>0</v>
      </c>
      <c r="F28" s="275">
        <f>'6.Office'!E44</f>
        <v>10164910.662129484</v>
      </c>
      <c r="G28" s="276">
        <f>'6.Office'!F44</f>
        <v>0</v>
      </c>
      <c r="H28" s="252">
        <f>'6.Office'!G44</f>
        <v>0</v>
      </c>
      <c r="I28" s="275">
        <f>'6.Office'!H44</f>
        <v>58350792.313637353</v>
      </c>
      <c r="J28" s="276">
        <f>'6.Office'!I44</f>
        <v>0</v>
      </c>
      <c r="K28" s="275">
        <f>'6.Office'!J44</f>
        <v>84038853.101511106</v>
      </c>
      <c r="L28" s="275">
        <f>'6.Office'!K44</f>
        <v>85721396.546688572</v>
      </c>
      <c r="M28" s="275">
        <f>'6.Office'!L44</f>
        <v>43717912.23881118</v>
      </c>
      <c r="N28" s="276">
        <f>'6.Office'!M44</f>
        <v>0</v>
      </c>
    </row>
    <row r="29" spans="1:14" x14ac:dyDescent="0.2">
      <c r="A29" s="246" t="s">
        <v>347</v>
      </c>
      <c r="B29" s="265"/>
      <c r="C29" s="265"/>
      <c r="D29" s="412">
        <f>'7.Industrial &amp; School'!C44</f>
        <v>0</v>
      </c>
      <c r="E29" s="252">
        <f>'7.Industrial &amp; School'!D44</f>
        <v>0</v>
      </c>
      <c r="F29" s="275">
        <f>'7.Industrial &amp; School'!E44</f>
        <v>0</v>
      </c>
      <c r="G29" s="276">
        <f>'7.Industrial &amp; School'!F44</f>
        <v>0</v>
      </c>
      <c r="H29" s="252">
        <f>'7.Industrial &amp; School'!G44</f>
        <v>0</v>
      </c>
      <c r="I29" s="275">
        <f>'7.Industrial &amp; School'!H44</f>
        <v>0</v>
      </c>
      <c r="J29" s="276">
        <f>'7.Industrial &amp; School'!I44</f>
        <v>0</v>
      </c>
      <c r="K29" s="275">
        <f>'7.Industrial &amp; School'!J44</f>
        <v>0</v>
      </c>
      <c r="L29" s="275">
        <f>'7.Industrial &amp; School'!K44</f>
        <v>0</v>
      </c>
      <c r="M29" s="275">
        <f>'7.Industrial &amp; School'!L44</f>
        <v>0</v>
      </c>
      <c r="N29" s="276">
        <f>'7.Industrial &amp; School'!M44</f>
        <v>0</v>
      </c>
    </row>
    <row r="30" spans="1:14" x14ac:dyDescent="0.2">
      <c r="A30" s="246" t="s">
        <v>68</v>
      </c>
      <c r="B30" s="265"/>
      <c r="C30" s="265"/>
      <c r="D30" s="412">
        <f>'8.Market-Rate Retail'!C91</f>
        <v>0</v>
      </c>
      <c r="E30" s="252">
        <f>'8.Market-Rate Retail'!D91</f>
        <v>0</v>
      </c>
      <c r="F30" s="275">
        <f>'8.Market-Rate Retail'!E91</f>
        <v>11762486.97033024</v>
      </c>
      <c r="G30" s="276">
        <f>'8.Market-Rate Retail'!F91</f>
        <v>9110980.6473247483</v>
      </c>
      <c r="H30" s="252">
        <f>'8.Market-Rate Retail'!G91</f>
        <v>0</v>
      </c>
      <c r="I30" s="275">
        <f>'8.Market-Rate Retail'!H91</f>
        <v>6895621.8004473485</v>
      </c>
      <c r="J30" s="276">
        <f>'8.Market-Rate Retail'!I91</f>
        <v>7033534.2364562955</v>
      </c>
      <c r="K30" s="275">
        <f>'8.Market-Rate Retail'!J91</f>
        <v>0</v>
      </c>
      <c r="L30" s="275">
        <f>'8.Market-Rate Retail'!K91</f>
        <v>0</v>
      </c>
      <c r="M30" s="275">
        <f>'8.Market-Rate Retail'!L91</f>
        <v>8138573.4512202991</v>
      </c>
      <c r="N30" s="276">
        <f>'8.Market-Rate Retail'!M91</f>
        <v>9791722.1702323798</v>
      </c>
    </row>
    <row r="31" spans="1:14" x14ac:dyDescent="0.2">
      <c r="A31" s="246" t="s">
        <v>49</v>
      </c>
      <c r="B31" s="265"/>
      <c r="C31" s="265"/>
      <c r="D31" s="412">
        <f>'9.Hotel'!C21</f>
        <v>0</v>
      </c>
      <c r="E31" s="252">
        <f>'9.Hotel'!D21</f>
        <v>0</v>
      </c>
      <c r="F31" s="275">
        <f>'9.Hotel'!E21</f>
        <v>0</v>
      </c>
      <c r="G31" s="276">
        <f>'9.Hotel'!F21</f>
        <v>0</v>
      </c>
      <c r="H31" s="252">
        <f>'9.Hotel'!G21</f>
        <v>49007905.570017494</v>
      </c>
      <c r="I31" s="275">
        <f>'9.Hotel'!H21</f>
        <v>0</v>
      </c>
      <c r="J31" s="276">
        <f>'9.Hotel'!I21</f>
        <v>0</v>
      </c>
      <c r="K31" s="275">
        <f>'9.Hotel'!J21</f>
        <v>0</v>
      </c>
      <c r="L31" s="275">
        <f>'9.Hotel'!K21</f>
        <v>0</v>
      </c>
      <c r="M31" s="275">
        <f>'9.Hotel'!L21</f>
        <v>0</v>
      </c>
      <c r="N31" s="276">
        <f>'9.Hotel'!M21</f>
        <v>0</v>
      </c>
    </row>
    <row r="32" spans="1:14" x14ac:dyDescent="0.2">
      <c r="A32" s="246" t="s">
        <v>50</v>
      </c>
      <c r="B32" s="265"/>
      <c r="C32" s="265"/>
      <c r="D32" s="412">
        <f>'10.Structured Parking'!C94</f>
        <v>0</v>
      </c>
      <c r="E32" s="252">
        <f>'Summary Board'!E26</f>
        <v>5292986.6463695997</v>
      </c>
      <c r="F32" s="275">
        <f>'10.Structured Parking'!E94</f>
        <v>4099838.6670491518</v>
      </c>
      <c r="G32" s="276">
        <f>'10.Structured Parking'!F94</f>
        <v>0</v>
      </c>
      <c r="H32" s="252">
        <f>'10.Structured Parking'!G94</f>
        <v>3102952.1393092088</v>
      </c>
      <c r="I32" s="275">
        <f>'10.Structured Parking'!H94</f>
        <v>3165011.1820953931</v>
      </c>
      <c r="J32" s="276">
        <f>'10.Structured Parking'!I94</f>
        <v>0</v>
      </c>
      <c r="K32" s="275">
        <f>'10.Structured Parking'!J94</f>
        <v>4574611.6649865666</v>
      </c>
      <c r="L32" s="275">
        <f>'10.Structured Parking'!K94</f>
        <v>3662266.3818005286</v>
      </c>
      <c r="M32" s="275">
        <f>'10.Structured Parking'!L94</f>
        <v>4406164.6846224787</v>
      </c>
      <c r="N32" s="276">
        <f>'10.Structured Parking'!M94</f>
        <v>0</v>
      </c>
    </row>
    <row r="33" spans="1:16" x14ac:dyDescent="0.2">
      <c r="A33" s="246" t="s">
        <v>51</v>
      </c>
      <c r="B33" s="265"/>
      <c r="C33" s="265"/>
      <c r="D33" s="412">
        <f>'11.Surface Parking'!C71</f>
        <v>0</v>
      </c>
      <c r="E33" s="252">
        <f>'Summary Board'!E27</f>
        <v>0</v>
      </c>
      <c r="F33" s="275">
        <f>'11.Surface Parking'!E71</f>
        <v>0</v>
      </c>
      <c r="G33" s="276">
        <f>'11.Surface Parking'!F71</f>
        <v>381902.22899999993</v>
      </c>
      <c r="H33" s="252">
        <f>'11.Surface Parking'!G71</f>
        <v>0</v>
      </c>
      <c r="I33" s="275">
        <f>'11.Surface Parking'!H71</f>
        <v>0</v>
      </c>
      <c r="J33" s="276">
        <f>'11.Surface Parking'!I71</f>
        <v>0</v>
      </c>
      <c r="K33" s="275">
        <f>'11.Surface Parking'!J71</f>
        <v>0</v>
      </c>
      <c r="L33" s="275">
        <f>'11.Surface Parking'!K71</f>
        <v>0</v>
      </c>
      <c r="M33" s="275">
        <f>'11.Surface Parking'!L71</f>
        <v>0</v>
      </c>
      <c r="N33" s="276">
        <f>'11.Surface Parking'!M71</f>
        <v>0</v>
      </c>
    </row>
    <row r="34" spans="1:16" x14ac:dyDescent="0.2">
      <c r="A34" s="246" t="s">
        <v>69</v>
      </c>
      <c r="B34" s="265"/>
      <c r="C34" s="265"/>
      <c r="D34" s="412">
        <f>'Summary Board'!D28</f>
        <v>158514742.75</v>
      </c>
      <c r="E34" s="252">
        <f>'Summary Board'!E28</f>
        <v>0</v>
      </c>
      <c r="F34" s="275">
        <v>0</v>
      </c>
      <c r="G34" s="276">
        <f t="shared" ref="G34:N36" si="2">F34</f>
        <v>0</v>
      </c>
      <c r="H34" s="252">
        <f t="shared" si="2"/>
        <v>0</v>
      </c>
      <c r="I34" s="275">
        <f t="shared" si="2"/>
        <v>0</v>
      </c>
      <c r="J34" s="276">
        <f t="shared" si="2"/>
        <v>0</v>
      </c>
      <c r="K34" s="275">
        <f t="shared" si="2"/>
        <v>0</v>
      </c>
      <c r="L34" s="275">
        <f t="shared" si="2"/>
        <v>0</v>
      </c>
      <c r="M34" s="275">
        <f t="shared" si="2"/>
        <v>0</v>
      </c>
      <c r="N34" s="276">
        <f t="shared" si="2"/>
        <v>0</v>
      </c>
    </row>
    <row r="35" spans="1:16" x14ac:dyDescent="0.2">
      <c r="A35" s="246" t="s">
        <v>9</v>
      </c>
      <c r="B35" s="265"/>
      <c r="C35" s="265"/>
      <c r="D35" s="412">
        <f>'1.Infrastructure Costs'!D18</f>
        <v>0</v>
      </c>
      <c r="E35" s="252">
        <f>'Summary Board'!E29</f>
        <v>10886028.199999999</v>
      </c>
      <c r="F35" s="275">
        <f>'1.Infrastructure Costs'!F18</f>
        <v>5401207.8155999994</v>
      </c>
      <c r="G35" s="276">
        <f>'1.Infrastructure Costs'!G18</f>
        <v>0</v>
      </c>
      <c r="H35" s="252">
        <f>'1.Infrastructure Costs'!H18</f>
        <v>7979220.6130975671</v>
      </c>
      <c r="I35" s="275">
        <f>'1.Infrastructure Costs'!I18</f>
        <v>735778.58465306868</v>
      </c>
      <c r="J35" s="276">
        <f>'1.Infrastructure Costs'!J18</f>
        <v>0</v>
      </c>
      <c r="K35" s="275">
        <f>'1.Infrastructure Costs'!K18</f>
        <v>1531008.0789461052</v>
      </c>
      <c r="L35" s="275">
        <f>'1.Infrastructure Costs'!L18</f>
        <v>2895942.3758780528</v>
      </c>
      <c r="M35" s="275">
        <f>'1.Infrastructure Costs'!M18</f>
        <v>7638596.4459203184</v>
      </c>
      <c r="N35" s="276">
        <f>'1.Infrastructure Costs'!N18</f>
        <v>0</v>
      </c>
    </row>
    <row r="36" spans="1:16" x14ac:dyDescent="0.2">
      <c r="A36" s="253" t="s">
        <v>214</v>
      </c>
      <c r="B36" s="287"/>
      <c r="C36" s="287"/>
      <c r="D36" s="414">
        <f>'Land Acquisition'!F18</f>
        <v>3452540</v>
      </c>
      <c r="E36" s="280">
        <f>'Summary Board'!E30</f>
        <v>0</v>
      </c>
      <c r="F36" s="281">
        <f>E36</f>
        <v>0</v>
      </c>
      <c r="G36" s="282">
        <f t="shared" si="2"/>
        <v>0</v>
      </c>
      <c r="H36" s="280">
        <f t="shared" si="2"/>
        <v>0</v>
      </c>
      <c r="I36" s="281">
        <f t="shared" si="2"/>
        <v>0</v>
      </c>
      <c r="J36" s="282">
        <f t="shared" si="2"/>
        <v>0</v>
      </c>
      <c r="K36" s="281">
        <f t="shared" si="2"/>
        <v>0</v>
      </c>
      <c r="L36" s="281">
        <f t="shared" si="2"/>
        <v>0</v>
      </c>
      <c r="M36" s="281">
        <f t="shared" si="2"/>
        <v>0</v>
      </c>
      <c r="N36" s="282">
        <f t="shared" si="2"/>
        <v>0</v>
      </c>
    </row>
    <row r="37" spans="1:16" x14ac:dyDescent="0.2">
      <c r="A37" s="246" t="s">
        <v>337</v>
      </c>
      <c r="B37" s="265"/>
      <c r="C37" s="265"/>
      <c r="D37" s="412">
        <f>F90</f>
        <v>5921652</v>
      </c>
      <c r="E37" s="252"/>
      <c r="F37" s="275"/>
      <c r="G37" s="276"/>
      <c r="H37" s="252"/>
      <c r="I37" s="275"/>
      <c r="J37" s="276"/>
      <c r="K37" s="275"/>
      <c r="L37" s="275"/>
      <c r="M37" s="275"/>
      <c r="N37" s="276"/>
    </row>
    <row r="38" spans="1:16" ht="17" thickBot="1" x14ac:dyDescent="0.25">
      <c r="A38" s="239" t="s">
        <v>3</v>
      </c>
      <c r="B38" s="240"/>
      <c r="C38" s="233"/>
      <c r="D38" s="285">
        <f>SUM(D24:D37)</f>
        <v>167888934.75</v>
      </c>
      <c r="E38" s="241">
        <f t="shared" ref="E38:N38" si="3">SUM(E24:E36)</f>
        <v>167739638.65561378</v>
      </c>
      <c r="F38" s="291">
        <f t="shared" si="3"/>
        <v>108724362.25782338</v>
      </c>
      <c r="G38" s="292">
        <f t="shared" si="3"/>
        <v>9492882.8763247486</v>
      </c>
      <c r="H38" s="241">
        <f t="shared" si="3"/>
        <v>60090078.322424263</v>
      </c>
      <c r="I38" s="291">
        <f t="shared" si="3"/>
        <v>69147203.880833164</v>
      </c>
      <c r="J38" s="292">
        <f t="shared" si="3"/>
        <v>7033534.2364562955</v>
      </c>
      <c r="K38" s="288">
        <f t="shared" si="3"/>
        <v>95092540.480049402</v>
      </c>
      <c r="L38" s="288">
        <f t="shared" si="3"/>
        <v>152121445.87509269</v>
      </c>
      <c r="M38" s="288">
        <f t="shared" si="3"/>
        <v>63901246.820574276</v>
      </c>
      <c r="N38" s="289">
        <f t="shared" si="3"/>
        <v>9791722.1702323798</v>
      </c>
    </row>
    <row r="39" spans="1:16" ht="17" thickBot="1" x14ac:dyDescent="0.25">
      <c r="A39" s="25" t="s">
        <v>4</v>
      </c>
      <c r="B39" s="26"/>
      <c r="C39" s="26"/>
      <c r="D39" s="228"/>
      <c r="E39" s="215"/>
      <c r="F39" s="15"/>
      <c r="G39" s="21"/>
      <c r="H39" s="215"/>
      <c r="I39" s="15"/>
      <c r="J39" s="21"/>
      <c r="K39" s="215"/>
      <c r="L39" s="15"/>
      <c r="M39" s="15"/>
      <c r="N39" s="21"/>
      <c r="P39" s="222"/>
    </row>
    <row r="40" spans="1:16" x14ac:dyDescent="0.2">
      <c r="A40" s="269" t="s">
        <v>5</v>
      </c>
      <c r="B40" s="270"/>
      <c r="C40" s="234"/>
      <c r="D40" s="271">
        <f>D22</f>
        <v>0</v>
      </c>
      <c r="E40" s="251">
        <f t="shared" ref="E40:N40" si="4">E22</f>
        <v>-7341.45</v>
      </c>
      <c r="F40" s="272">
        <f t="shared" si="4"/>
        <v>62607977.262112305</v>
      </c>
      <c r="G40" s="273">
        <f t="shared" si="4"/>
        <v>70270974.927870721</v>
      </c>
      <c r="H40" s="251">
        <f t="shared" si="4"/>
        <v>77383851.812106296</v>
      </c>
      <c r="I40" s="272">
        <f t="shared" si="4"/>
        <v>35488111.748814158</v>
      </c>
      <c r="J40" s="273">
        <f t="shared" si="4"/>
        <v>43058738.811103724</v>
      </c>
      <c r="K40" s="251">
        <f t="shared" si="4"/>
        <v>48043962.37250717</v>
      </c>
      <c r="L40" s="272">
        <f t="shared" si="4"/>
        <v>73235595.518036678</v>
      </c>
      <c r="M40" s="272">
        <f t="shared" si="4"/>
        <v>99743705.316841736</v>
      </c>
      <c r="N40" s="273">
        <f t="shared" si="4"/>
        <v>108517833.33837087</v>
      </c>
    </row>
    <row r="41" spans="1:16" x14ac:dyDescent="0.2">
      <c r="A41" s="246" t="s">
        <v>59</v>
      </c>
      <c r="B41" s="256" t="s">
        <v>249</v>
      </c>
      <c r="C41" s="405">
        <f>N40/N41</f>
        <v>6.3964076338202863E-2</v>
      </c>
      <c r="D41" s="274"/>
      <c r="F41" s="496"/>
      <c r="H41" s="252"/>
      <c r="I41" s="275"/>
      <c r="J41" s="276"/>
      <c r="K41" s="252"/>
      <c r="L41" s="277"/>
      <c r="M41" s="278"/>
      <c r="N41" s="276">
        <f>SUM('2.Market-Rate Rental Housing'!M69+'4.Affordable Rental Housing'!M49+'6.Office'!M47+'7.Industrial &amp; School'!M47+'8.Market-Rate Retail'!M94+'9.Hotel'!M24+'10.Structured Parking'!M97+'11.Surface Parking'!M74)</f>
        <v>1696543427.9797151</v>
      </c>
    </row>
    <row r="42" spans="1:16" x14ac:dyDescent="0.2">
      <c r="A42" s="246" t="s">
        <v>29</v>
      </c>
      <c r="B42" s="234"/>
      <c r="C42" s="416">
        <v>0.03</v>
      </c>
      <c r="D42" s="274"/>
      <c r="E42" s="252"/>
      <c r="F42" s="275"/>
      <c r="G42" s="276"/>
      <c r="H42" s="252"/>
      <c r="I42" s="275"/>
      <c r="J42" s="276"/>
      <c r="K42" s="252"/>
      <c r="L42" s="275"/>
      <c r="M42" s="275"/>
      <c r="N42" s="276">
        <f>N41*-C42</f>
        <v>-50896302.839391455</v>
      </c>
    </row>
    <row r="43" spans="1:16" x14ac:dyDescent="0.2">
      <c r="A43" s="253" t="s">
        <v>215</v>
      </c>
      <c r="B43" s="238"/>
      <c r="C43" s="238"/>
      <c r="D43" s="279">
        <f>-D38</f>
        <v>-167888934.75</v>
      </c>
      <c r="E43" s="280">
        <f t="shared" ref="E43:N43" si="5">-E38</f>
        <v>-167739638.65561378</v>
      </c>
      <c r="F43" s="281">
        <f t="shared" si="5"/>
        <v>-108724362.25782338</v>
      </c>
      <c r="G43" s="282">
        <f t="shared" si="5"/>
        <v>-9492882.8763247486</v>
      </c>
      <c r="H43" s="280">
        <f t="shared" si="5"/>
        <v>-60090078.322424263</v>
      </c>
      <c r="I43" s="281">
        <f t="shared" si="5"/>
        <v>-69147203.880833164</v>
      </c>
      <c r="J43" s="282">
        <f t="shared" si="5"/>
        <v>-7033534.2364562955</v>
      </c>
      <c r="K43" s="280">
        <f t="shared" si="5"/>
        <v>-95092540.480049402</v>
      </c>
      <c r="L43" s="281">
        <f t="shared" si="5"/>
        <v>-152121445.87509269</v>
      </c>
      <c r="M43" s="281">
        <f t="shared" si="5"/>
        <v>-63901246.820574276</v>
      </c>
      <c r="N43" s="282">
        <f t="shared" si="5"/>
        <v>-9791722.1702323798</v>
      </c>
    </row>
    <row r="44" spans="1:16" x14ac:dyDescent="0.2">
      <c r="A44" s="246" t="s">
        <v>282</v>
      </c>
      <c r="B44" s="256"/>
      <c r="C44" s="256"/>
      <c r="D44" s="274">
        <f>-Financing!B20</f>
        <v>0</v>
      </c>
      <c r="E44" s="252">
        <f>-Financing!C20</f>
        <v>-10064378.319336826</v>
      </c>
      <c r="F44" s="275">
        <f>-Financing!D20</f>
        <v>-16587840.054806227</v>
      </c>
      <c r="G44" s="276">
        <f>-Financing!E20</f>
        <v>-17157413.027385712</v>
      </c>
      <c r="H44" s="252">
        <f>-Financing!F20</f>
        <v>-20762817.72673117</v>
      </c>
      <c r="I44" s="275">
        <f>-Financing!G20</f>
        <v>-24911649.959581159</v>
      </c>
      <c r="J44" s="276">
        <f>-Financing!H20</f>
        <v>-25333662.013768535</v>
      </c>
      <c r="K44" s="252">
        <f>-Financing!I20</f>
        <v>-31039214.442571498</v>
      </c>
      <c r="L44" s="275">
        <f>-Financing!J20</f>
        <v>-40166501.195077054</v>
      </c>
      <c r="M44" s="275">
        <f>-Financing!K20</f>
        <v>-44000576.004311509</v>
      </c>
      <c r="N44" s="629">
        <f>-Financing!L20</f>
        <v>-44588079.334525459</v>
      </c>
    </row>
    <row r="45" spans="1:16" ht="17" thickBot="1" x14ac:dyDescent="0.25">
      <c r="A45" s="497" t="s">
        <v>6</v>
      </c>
      <c r="B45" s="498"/>
      <c r="C45" s="498"/>
      <c r="D45" s="499">
        <f>SUM(D40:D43)</f>
        <v>-167888934.75</v>
      </c>
      <c r="E45" s="499">
        <f t="shared" ref="E45:N45" si="6">SUM(E40:E43)</f>
        <v>-167746980.10561377</v>
      </c>
      <c r="F45" s="499">
        <f t="shared" si="6"/>
        <v>-46116384.995711073</v>
      </c>
      <c r="G45" s="499">
        <f t="shared" si="6"/>
        <v>60778092.05154597</v>
      </c>
      <c r="H45" s="499">
        <f t="shared" si="6"/>
        <v>17293773.489682034</v>
      </c>
      <c r="I45" s="499">
        <f t="shared" si="6"/>
        <v>-33659092.132019006</v>
      </c>
      <c r="J45" s="499">
        <f t="shared" si="6"/>
        <v>36025204.574647427</v>
      </c>
      <c r="K45" s="499">
        <f t="shared" si="6"/>
        <v>-47048578.107542232</v>
      </c>
      <c r="L45" s="499">
        <f t="shared" si="6"/>
        <v>-78885850.357056007</v>
      </c>
      <c r="M45" s="499">
        <f t="shared" si="6"/>
        <v>35842458.49626746</v>
      </c>
      <c r="N45" s="420">
        <f t="shared" si="6"/>
        <v>1744373236.3084621</v>
      </c>
    </row>
    <row r="46" spans="1:16" ht="17" thickBot="1" x14ac:dyDescent="0.25">
      <c r="A46" s="407" t="s">
        <v>356</v>
      </c>
      <c r="B46" s="256"/>
      <c r="C46" s="256"/>
      <c r="D46" s="412">
        <f>Financing!B35</f>
        <v>-167888934.75</v>
      </c>
      <c r="E46" s="275">
        <f>Financing!C35</f>
        <v>-10071719.769336825</v>
      </c>
      <c r="F46" s="275">
        <f>Financing!D35</f>
        <v>46020137.20730608</v>
      </c>
      <c r="G46" s="275">
        <f>Financing!E35</f>
        <v>53113561.900485009</v>
      </c>
      <c r="H46" s="275">
        <f>Financing!F35</f>
        <v>56621034.08537513</v>
      </c>
      <c r="I46" s="275">
        <f>Financing!G35</f>
        <v>10576461.789232999</v>
      </c>
      <c r="J46" s="275">
        <f>Financing!H35</f>
        <v>17725076.797335189</v>
      </c>
      <c r="K46" s="275">
        <f>Financing!I35</f>
        <v>17004747.929935671</v>
      </c>
      <c r="L46" s="275">
        <f>Financing!J35</f>
        <v>33069094.322959624</v>
      </c>
      <c r="M46" s="275">
        <f>Financing!K35</f>
        <v>55743129.312530227</v>
      </c>
      <c r="N46" s="276">
        <f>Financing!L35</f>
        <v>966442223.56874478</v>
      </c>
    </row>
    <row r="47" spans="1:16" x14ac:dyDescent="0.2">
      <c r="A47" s="293"/>
      <c r="B47" s="294"/>
      <c r="C47" s="294"/>
      <c r="D47" s="295"/>
      <c r="E47" s="29"/>
      <c r="F47" s="29"/>
      <c r="G47" s="29"/>
      <c r="H47" s="29"/>
      <c r="I47" s="29"/>
      <c r="J47" s="29"/>
      <c r="K47" s="29"/>
      <c r="L47" s="29" t="s">
        <v>549</v>
      </c>
      <c r="M47" s="29"/>
      <c r="N47" s="29"/>
    </row>
    <row r="48" spans="1:16" x14ac:dyDescent="0.2">
      <c r="A48" s="22" t="s">
        <v>216</v>
      </c>
      <c r="B48" s="22"/>
      <c r="C48" s="225">
        <f>D45+NPV(0.09,E45:N45)</f>
        <v>386204888.62191796</v>
      </c>
      <c r="D48" s="6"/>
      <c r="E48" s="8"/>
      <c r="F48" s="8"/>
      <c r="G48" s="8"/>
      <c r="H48" s="7"/>
      <c r="I48" s="8"/>
      <c r="J48" s="8"/>
      <c r="K48" s="8"/>
      <c r="L48" s="8"/>
      <c r="M48" s="8"/>
      <c r="N48" s="8"/>
    </row>
    <row r="49" spans="1:14" ht="17" thickBot="1" x14ac:dyDescent="0.25">
      <c r="A49" s="296" t="s">
        <v>70</v>
      </c>
      <c r="B49" s="22"/>
      <c r="C49" s="346">
        <f>M84/N41</f>
        <v>0.34904224904910958</v>
      </c>
      <c r="D49" s="6"/>
      <c r="E49" s="8"/>
      <c r="F49" s="8"/>
      <c r="G49" s="8"/>
      <c r="H49" s="23"/>
      <c r="I49" s="8"/>
      <c r="J49" s="8"/>
      <c r="K49" s="8"/>
      <c r="L49" s="8"/>
      <c r="M49" s="8"/>
      <c r="N49" s="8"/>
    </row>
    <row r="50" spans="1:14" x14ac:dyDescent="0.2">
      <c r="A50" s="22" t="s">
        <v>71</v>
      </c>
      <c r="B50" s="22"/>
      <c r="C50" s="346">
        <f>IRR(D45:N45,0)</f>
        <v>0.18271359582052016</v>
      </c>
      <c r="D50" s="6"/>
      <c r="E50" s="8"/>
      <c r="F50" s="8"/>
      <c r="G50" s="28" t="s">
        <v>72</v>
      </c>
      <c r="H50" s="29"/>
      <c r="I50" s="29"/>
      <c r="J50" s="223">
        <f>D34</f>
        <v>158514742.75</v>
      </c>
      <c r="K50" s="8"/>
      <c r="L50" s="8"/>
      <c r="M50" s="8"/>
      <c r="N50" s="8"/>
    </row>
    <row r="51" spans="1:14" ht="17" thickBot="1" x14ac:dyDescent="0.25">
      <c r="A51" s="22" t="s">
        <v>248</v>
      </c>
      <c r="B51" s="22"/>
      <c r="C51" s="346">
        <f>Financing!$B$37</f>
        <v>0.28149912053711845</v>
      </c>
      <c r="D51" s="298" t="s">
        <v>247</v>
      </c>
      <c r="E51" s="8"/>
      <c r="F51" s="8"/>
      <c r="G51" s="218" t="s">
        <v>73</v>
      </c>
      <c r="H51" s="17"/>
      <c r="I51" s="17"/>
      <c r="J51" s="224">
        <f>N41</f>
        <v>1696543427.9797151</v>
      </c>
      <c r="K51" s="8"/>
      <c r="L51" s="8"/>
      <c r="M51" s="8"/>
      <c r="N51" s="8"/>
    </row>
    <row r="52" spans="1:14" s="7" customFormat="1" ht="17" thickBot="1" x14ac:dyDescent="0.25">
      <c r="A52" s="297"/>
      <c r="B52" s="27"/>
      <c r="C52" s="27"/>
      <c r="D52" s="16"/>
      <c r="E52" s="17"/>
      <c r="F52" s="17"/>
      <c r="G52" s="227"/>
      <c r="H52" s="17"/>
      <c r="I52" s="17"/>
      <c r="J52" s="17"/>
      <c r="K52" s="17"/>
      <c r="L52" s="17"/>
      <c r="M52" s="17"/>
      <c r="N52" s="17"/>
    </row>
    <row r="53" spans="1:14" ht="17" thickBot="1" x14ac:dyDescent="0.25">
      <c r="A53" s="552" t="s">
        <v>74</v>
      </c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4"/>
    </row>
    <row r="54" spans="1:14" ht="17" thickBot="1" x14ac:dyDescent="0.25">
      <c r="A54" s="30"/>
      <c r="B54" s="13"/>
      <c r="C54" s="13"/>
      <c r="D54" s="5" t="s">
        <v>58</v>
      </c>
      <c r="E54" s="160" t="s">
        <v>37</v>
      </c>
      <c r="F54" s="164"/>
      <c r="G54" s="161"/>
      <c r="H54" s="160" t="s">
        <v>79</v>
      </c>
      <c r="I54" s="162"/>
      <c r="J54" s="161"/>
      <c r="K54" s="163" t="s">
        <v>80</v>
      </c>
      <c r="L54" s="163"/>
      <c r="M54" s="164"/>
      <c r="N54" s="161"/>
    </row>
    <row r="55" spans="1:14" s="9" customFormat="1" ht="17" thickBot="1" x14ac:dyDescent="0.25">
      <c r="A55" s="1"/>
      <c r="B55" s="2"/>
      <c r="C55" s="3" t="s">
        <v>30</v>
      </c>
      <c r="D55" s="3" t="s">
        <v>362</v>
      </c>
      <c r="E55" s="31">
        <v>2020</v>
      </c>
      <c r="F55" s="3">
        <f t="shared" ref="F55:N55" si="7">E55+1</f>
        <v>2021</v>
      </c>
      <c r="G55" s="4">
        <f t="shared" si="7"/>
        <v>2022</v>
      </c>
      <c r="H55" s="31">
        <f t="shared" si="7"/>
        <v>2023</v>
      </c>
      <c r="I55" s="3">
        <f t="shared" si="7"/>
        <v>2024</v>
      </c>
      <c r="J55" s="4">
        <f t="shared" si="7"/>
        <v>2025</v>
      </c>
      <c r="K55" s="3">
        <f t="shared" si="7"/>
        <v>2026</v>
      </c>
      <c r="L55" s="3">
        <f t="shared" si="7"/>
        <v>2027</v>
      </c>
      <c r="M55" s="3">
        <f t="shared" si="7"/>
        <v>2028</v>
      </c>
      <c r="N55" s="4">
        <f t="shared" si="7"/>
        <v>2029</v>
      </c>
    </row>
    <row r="56" spans="1:14" ht="17" thickBot="1" x14ac:dyDescent="0.25">
      <c r="A56" s="20" t="s">
        <v>328</v>
      </c>
      <c r="B56" s="20"/>
      <c r="C56" s="20"/>
      <c r="D56" s="32"/>
      <c r="E56" s="215"/>
      <c r="F56" s="15"/>
      <c r="G56" s="21"/>
      <c r="H56" s="215"/>
      <c r="I56" s="15"/>
      <c r="J56" s="21"/>
      <c r="K56" s="15"/>
      <c r="L56" s="15"/>
      <c r="M56" s="15"/>
      <c r="N56" s="21"/>
    </row>
    <row r="57" spans="1:14" x14ac:dyDescent="0.2">
      <c r="A57" s="246" t="s">
        <v>64</v>
      </c>
      <c r="B57" s="265"/>
      <c r="C57" s="423">
        <f>'Summary Board'!C51</f>
        <v>768.45066666666662</v>
      </c>
      <c r="D57" s="426">
        <f>SUM('2.Market-Rate Rental Housing'!C9,'2.Market-Rate Rental Housing'!C19,'2.Market-Rate Rental Housing'!C29,'2.Market-Rate Rental Housing'!C39,'2.Market-Rate Rental Housing'!C49)</f>
        <v>0</v>
      </c>
      <c r="E57" s="266">
        <f>'Summary Board'!E51</f>
        <v>410</v>
      </c>
      <c r="F57" s="266">
        <f>'Summary Board'!F51</f>
        <v>205</v>
      </c>
      <c r="G57" s="268">
        <f>'Summary Board'!G51</f>
        <v>0</v>
      </c>
      <c r="H57" s="266">
        <f>'Summary Board'!H51</f>
        <v>0</v>
      </c>
      <c r="I57" s="266">
        <f>'Summary Board'!I51</f>
        <v>0</v>
      </c>
      <c r="J57" s="268">
        <f>'Summary Board'!J51</f>
        <v>0</v>
      </c>
      <c r="K57" s="266">
        <f>'Summary Board'!K51</f>
        <v>0</v>
      </c>
      <c r="L57" s="266">
        <f>'Summary Board'!L51</f>
        <v>153</v>
      </c>
      <c r="M57" s="266">
        <f>'Summary Board'!M51</f>
        <v>0</v>
      </c>
      <c r="N57" s="268">
        <f>'Summary Board'!N51</f>
        <v>0</v>
      </c>
    </row>
    <row r="58" spans="1:14" x14ac:dyDescent="0.2">
      <c r="A58" s="246" t="s">
        <v>65</v>
      </c>
      <c r="B58" s="265"/>
      <c r="C58" s="423">
        <f>'Summary Board'!C52</f>
        <v>384.22533333333331</v>
      </c>
      <c r="D58" s="544">
        <f>SUM('3.Market-Rate For-Sale Housing'!C18,'3.Market-Rate For-Sale Housing'!C27,'3.Market-Rate For-Sale Housing'!C9)</f>
        <v>0</v>
      </c>
      <c r="E58" s="427">
        <f>'Summary Board'!E52</f>
        <v>205</v>
      </c>
      <c r="F58" s="427">
        <f>'Summary Board'!F52</f>
        <v>103</v>
      </c>
      <c r="G58" s="544">
        <f>'Summary Board'!G52</f>
        <v>0</v>
      </c>
      <c r="H58" s="427">
        <f>'Summary Board'!H52</f>
        <v>0</v>
      </c>
      <c r="I58" s="427">
        <f>'Summary Board'!I52</f>
        <v>0</v>
      </c>
      <c r="J58" s="544">
        <f>'Summary Board'!J52</f>
        <v>0</v>
      </c>
      <c r="K58" s="427">
        <f>'Summary Board'!K52</f>
        <v>0</v>
      </c>
      <c r="L58" s="427">
        <f>'Summary Board'!L52</f>
        <v>76</v>
      </c>
      <c r="M58" s="427">
        <f>'Summary Board'!M52</f>
        <v>0</v>
      </c>
      <c r="N58" s="544">
        <f>'Summary Board'!N52</f>
        <v>0</v>
      </c>
    </row>
    <row r="59" spans="1:14" x14ac:dyDescent="0.2">
      <c r="A59" s="246" t="s">
        <v>66</v>
      </c>
      <c r="B59" s="265"/>
      <c r="C59" s="423">
        <f>'Summary Board'!C53</f>
        <v>85.382666666666665</v>
      </c>
      <c r="D59" s="268">
        <f>SUM('4.Affordable Rental Housing'!C9,'4.Affordable Rental Housing'!C19,'4.Affordable Rental Housing'!C29)</f>
        <v>0</v>
      </c>
      <c r="E59" s="427">
        <f>'Summary Board'!E53</f>
        <v>46</v>
      </c>
      <c r="F59" s="427">
        <f>'Summary Board'!F53</f>
        <v>23</v>
      </c>
      <c r="G59" s="544">
        <f>'Summary Board'!G53</f>
        <v>0</v>
      </c>
      <c r="H59" s="427">
        <f>'Summary Board'!H53</f>
        <v>0</v>
      </c>
      <c r="I59" s="427">
        <f>'Summary Board'!I53</f>
        <v>0</v>
      </c>
      <c r="J59" s="544">
        <f>'Summary Board'!J53</f>
        <v>0</v>
      </c>
      <c r="K59" s="427">
        <f>'Summary Board'!K53</f>
        <v>11</v>
      </c>
      <c r="L59" s="427">
        <f>'Summary Board'!L53</f>
        <v>6</v>
      </c>
      <c r="M59" s="427">
        <f>'Summary Board'!M53</f>
        <v>0</v>
      </c>
      <c r="N59" s="544">
        <f>'Summary Board'!N53</f>
        <v>0</v>
      </c>
    </row>
    <row r="60" spans="1:14" x14ac:dyDescent="0.2">
      <c r="A60" s="246" t="s">
        <v>330</v>
      </c>
      <c r="B60" s="265"/>
      <c r="C60" s="423">
        <f>'Summary Board'!C54</f>
        <v>42.692000000000007</v>
      </c>
      <c r="D60" s="268">
        <f>SUM('5.Affordable For-Sale Housing '!C9,'5.Affordable For-Sale Housing '!C18,'5.Affordable For-Sale Housing '!C27)</f>
        <v>0</v>
      </c>
      <c r="E60" s="427">
        <f>'Summary Board'!E54</f>
        <v>23</v>
      </c>
      <c r="F60" s="427">
        <f>'Summary Board'!F54</f>
        <v>11</v>
      </c>
      <c r="G60" s="544">
        <f>'Summary Board'!G54</f>
        <v>0</v>
      </c>
      <c r="H60" s="427">
        <f>'Summary Board'!H54</f>
        <v>0</v>
      </c>
      <c r="I60" s="427">
        <f>'Summary Board'!I54</f>
        <v>0</v>
      </c>
      <c r="J60" s="544">
        <f>'Summary Board'!J54</f>
        <v>0</v>
      </c>
      <c r="K60" s="427">
        <f>'Summary Board'!K54</f>
        <v>8</v>
      </c>
      <c r="L60" s="427">
        <f>'Summary Board'!L54</f>
        <v>0</v>
      </c>
      <c r="M60" s="427">
        <f>'Summary Board'!M54</f>
        <v>0</v>
      </c>
      <c r="N60" s="544">
        <f>'Summary Board'!N54</f>
        <v>0</v>
      </c>
    </row>
    <row r="61" spans="1:14" x14ac:dyDescent="0.2">
      <c r="A61" s="235" t="s">
        <v>49</v>
      </c>
      <c r="B61" s="234"/>
      <c r="C61" s="423">
        <f>'Summary Board'!C55</f>
        <v>330</v>
      </c>
      <c r="D61" s="268">
        <f>'9.Hotel'!C8</f>
        <v>0</v>
      </c>
      <c r="E61" s="427">
        <f>'Summary Board'!E55</f>
        <v>0</v>
      </c>
      <c r="F61" s="427">
        <f>'Summary Board'!F55</f>
        <v>0</v>
      </c>
      <c r="G61" s="544">
        <f>'Summary Board'!G55</f>
        <v>0</v>
      </c>
      <c r="H61" s="427">
        <f>'Summary Board'!H55</f>
        <v>0</v>
      </c>
      <c r="I61" s="427">
        <f>'Summary Board'!I55</f>
        <v>330</v>
      </c>
      <c r="J61" s="544">
        <f>'Summary Board'!J55</f>
        <v>0</v>
      </c>
      <c r="K61" s="427">
        <f>'Summary Board'!K55</f>
        <v>0</v>
      </c>
      <c r="L61" s="427">
        <f>'Summary Board'!L55</f>
        <v>0</v>
      </c>
      <c r="M61" s="427">
        <f>'Summary Board'!M55</f>
        <v>0</v>
      </c>
      <c r="N61" s="544">
        <f>'Summary Board'!N55</f>
        <v>0</v>
      </c>
    </row>
    <row r="62" spans="1:14" x14ac:dyDescent="0.2">
      <c r="A62" s="235" t="s">
        <v>50</v>
      </c>
      <c r="B62" s="234"/>
      <c r="C62" s="423">
        <f>'Summary Board'!C56</f>
        <v>846.32333333333327</v>
      </c>
      <c r="D62" s="268">
        <f>D73/'10.Structured Parking'!$D$112</f>
        <v>0</v>
      </c>
      <c r="E62" s="427">
        <f>'Summary Board'!E56</f>
        <v>171.16333333333333</v>
      </c>
      <c r="F62" s="427">
        <f>'Summary Board'!F56</f>
        <v>129.97999999999999</v>
      </c>
      <c r="G62" s="544">
        <f>'Summary Board'!G56</f>
        <v>0</v>
      </c>
      <c r="H62" s="427">
        <f>'Summary Board'!H56</f>
        <v>94.555000000000007</v>
      </c>
      <c r="I62" s="427">
        <f>'Summary Board'!I56</f>
        <v>94.555000000000007</v>
      </c>
      <c r="J62" s="544">
        <f>'Summary Board'!J56</f>
        <v>0</v>
      </c>
      <c r="K62" s="427">
        <f>'Summary Board'!K56</f>
        <v>131.36000000000001</v>
      </c>
      <c r="L62" s="427">
        <f>'Summary Board'!L56</f>
        <v>103.1</v>
      </c>
      <c r="M62" s="427">
        <f>'Summary Board'!M56</f>
        <v>121.61</v>
      </c>
      <c r="N62" s="544">
        <f>'Summary Board'!N56</f>
        <v>0</v>
      </c>
    </row>
    <row r="63" spans="1:14" ht="17" thickBot="1" x14ac:dyDescent="0.25">
      <c r="A63" s="235" t="s">
        <v>51</v>
      </c>
      <c r="B63" s="234"/>
      <c r="C63" s="423">
        <f>'Summary Board'!C57</f>
        <v>47.983333333333334</v>
      </c>
      <c r="D63" s="268">
        <f>D74/'11.Surface Parking'!$D$88</f>
        <v>0</v>
      </c>
      <c r="E63" s="545">
        <f>'Summary Board'!E57</f>
        <v>0</v>
      </c>
      <c r="F63" s="546">
        <f>'Summary Board'!F57</f>
        <v>0</v>
      </c>
      <c r="G63" s="547">
        <f>'Summary Board'!G57</f>
        <v>47.983333333333334</v>
      </c>
      <c r="H63" s="546">
        <f>'Summary Board'!H57</f>
        <v>0</v>
      </c>
      <c r="I63" s="546">
        <f>'Summary Board'!I57</f>
        <v>0</v>
      </c>
      <c r="J63" s="547">
        <f>'Summary Board'!J57</f>
        <v>0</v>
      </c>
      <c r="K63" s="546">
        <f>'Summary Board'!K57</f>
        <v>0</v>
      </c>
      <c r="L63" s="546">
        <f>'Summary Board'!L57</f>
        <v>0</v>
      </c>
      <c r="M63" s="546">
        <f>'Summary Board'!M57</f>
        <v>0</v>
      </c>
      <c r="N63" s="547">
        <f>'Summary Board'!N57</f>
        <v>0</v>
      </c>
    </row>
    <row r="64" spans="1:14" ht="17" thickBot="1" x14ac:dyDescent="0.25">
      <c r="A64" s="19" t="s">
        <v>31</v>
      </c>
      <c r="B64" s="20"/>
      <c r="C64" s="14"/>
      <c r="D64" s="228"/>
      <c r="E64" s="542"/>
      <c r="F64" s="542"/>
      <c r="G64" s="543"/>
      <c r="H64" s="541"/>
      <c r="I64" s="542"/>
      <c r="J64" s="543"/>
      <c r="K64" s="542"/>
      <c r="L64" s="542"/>
      <c r="M64" s="542"/>
      <c r="N64" s="543"/>
    </row>
    <row r="65" spans="1:14" x14ac:dyDescent="0.2">
      <c r="A65" s="246" t="s">
        <v>64</v>
      </c>
      <c r="B65" s="247"/>
      <c r="C65" s="434">
        <f>'Summary Board'!C59</f>
        <v>576338</v>
      </c>
      <c r="D65" s="266">
        <f>D57*'2.Market-Rate Rental Housing'!$B$12</f>
        <v>0</v>
      </c>
      <c r="E65" s="267">
        <f>E57*'2.Market-Rate Rental Housing'!$B$12</f>
        <v>307500</v>
      </c>
      <c r="F65" s="266">
        <f>F57*'2.Market-Rate Rental Housing'!$B$12</f>
        <v>153750</v>
      </c>
      <c r="G65" s="268">
        <f>G57*'2.Market-Rate Rental Housing'!$B$12</f>
        <v>0</v>
      </c>
      <c r="H65" s="267">
        <f>H57*'2.Market-Rate Rental Housing'!$B$12</f>
        <v>0</v>
      </c>
      <c r="I65" s="266">
        <f>I57*'2.Market-Rate Rental Housing'!$B$12</f>
        <v>0</v>
      </c>
      <c r="J65" s="268">
        <f>J57*'2.Market-Rate Rental Housing'!$B$12</f>
        <v>0</v>
      </c>
      <c r="K65" s="266">
        <f>K57*'2.Market-Rate Rental Housing'!$B$12</f>
        <v>0</v>
      </c>
      <c r="L65" s="266">
        <f>L57*'2.Market-Rate Rental Housing'!$B$12</f>
        <v>114750</v>
      </c>
      <c r="M65" s="266">
        <f>M57*'2.Market-Rate Rental Housing'!$B$12</f>
        <v>0</v>
      </c>
      <c r="N65" s="268">
        <f>N57*'2.Market-Rate Rental Housing'!$B$12</f>
        <v>0</v>
      </c>
    </row>
    <row r="66" spans="1:14" x14ac:dyDescent="0.2">
      <c r="A66" s="246" t="s">
        <v>65</v>
      </c>
      <c r="B66" s="247"/>
      <c r="C66" s="434">
        <f>'Summary Board'!C60</f>
        <v>288169</v>
      </c>
      <c r="D66" s="266">
        <f>D58*'3.Market-Rate For-Sale Housing'!$B$21</f>
        <v>0</v>
      </c>
      <c r="E66" s="267">
        <f>E58*'3.Market-Rate For-Sale Housing'!$B$21</f>
        <v>153750</v>
      </c>
      <c r="F66" s="266">
        <f>F58*'3.Market-Rate For-Sale Housing'!$B$21</f>
        <v>77250</v>
      </c>
      <c r="G66" s="268">
        <f>G58*'3.Market-Rate For-Sale Housing'!$B$21</f>
        <v>0</v>
      </c>
      <c r="H66" s="267">
        <f>H58*'3.Market-Rate For-Sale Housing'!$B$21</f>
        <v>0</v>
      </c>
      <c r="I66" s="266">
        <f>I58*'3.Market-Rate For-Sale Housing'!$B$21</f>
        <v>0</v>
      </c>
      <c r="J66" s="268">
        <f>J58*'3.Market-Rate For-Sale Housing'!$B$21</f>
        <v>0</v>
      </c>
      <c r="K66" s="266">
        <f>K58*'3.Market-Rate For-Sale Housing'!$B$21</f>
        <v>0</v>
      </c>
      <c r="L66" s="266">
        <f>L58*'3.Market-Rate For-Sale Housing'!$B$21</f>
        <v>57000</v>
      </c>
      <c r="M66" s="266">
        <f>M58*'3.Market-Rate For-Sale Housing'!$B$21</f>
        <v>0</v>
      </c>
      <c r="N66" s="268">
        <f>N58*'3.Market-Rate For-Sale Housing'!$B$21</f>
        <v>0</v>
      </c>
    </row>
    <row r="67" spans="1:14" x14ac:dyDescent="0.2">
      <c r="A67" s="246" t="s">
        <v>66</v>
      </c>
      <c r="B67" s="247"/>
      <c r="C67" s="434">
        <f>'Summary Board'!C61</f>
        <v>64037</v>
      </c>
      <c r="D67" s="266">
        <f>D59*'4.Affordable Rental Housing'!$B$12</f>
        <v>0</v>
      </c>
      <c r="E67" s="267">
        <f>E59*'4.Affordable Rental Housing'!$B$12</f>
        <v>34500</v>
      </c>
      <c r="F67" s="266">
        <f>F59*'4.Affordable Rental Housing'!$B$12</f>
        <v>17250</v>
      </c>
      <c r="G67" s="268">
        <f>G59*'4.Affordable Rental Housing'!$B$12</f>
        <v>0</v>
      </c>
      <c r="H67" s="267">
        <f>H59*'4.Affordable Rental Housing'!$B$12</f>
        <v>0</v>
      </c>
      <c r="I67" s="266">
        <f>I59*'4.Affordable Rental Housing'!$B$12</f>
        <v>0</v>
      </c>
      <c r="J67" s="268">
        <f>J59*'4.Affordable Rental Housing'!$B$12</f>
        <v>0</v>
      </c>
      <c r="K67" s="266">
        <f>K59*'4.Affordable Rental Housing'!$B$12</f>
        <v>8250</v>
      </c>
      <c r="L67" s="266">
        <f>L59*'4.Affordable Rental Housing'!$B$12</f>
        <v>4500</v>
      </c>
      <c r="M67" s="266">
        <f>M59*'4.Affordable Rental Housing'!$B$12</f>
        <v>0</v>
      </c>
      <c r="N67" s="268">
        <f>N59*'4.Affordable Rental Housing'!$B$12</f>
        <v>0</v>
      </c>
    </row>
    <row r="68" spans="1:14" x14ac:dyDescent="0.2">
      <c r="A68" s="246" t="s">
        <v>330</v>
      </c>
      <c r="B68" s="247"/>
      <c r="C68" s="434">
        <f>'Summary Board'!C62</f>
        <v>32019</v>
      </c>
      <c r="D68" s="266">
        <f>D60*'5.Affordable For-Sale Housing '!$B$12</f>
        <v>0</v>
      </c>
      <c r="E68" s="267">
        <f>E60*'5.Affordable For-Sale Housing '!$B$12</f>
        <v>17250</v>
      </c>
      <c r="F68" s="266">
        <f>F60*'5.Affordable For-Sale Housing '!$B$12</f>
        <v>8250</v>
      </c>
      <c r="G68" s="268">
        <f>G60*'5.Affordable For-Sale Housing '!$B$12</f>
        <v>0</v>
      </c>
      <c r="H68" s="267">
        <f>H60*'5.Affordable For-Sale Housing '!$B$12</f>
        <v>0</v>
      </c>
      <c r="I68" s="266">
        <f>I60*'5.Affordable For-Sale Housing '!$B$12</f>
        <v>0</v>
      </c>
      <c r="J68" s="268">
        <f>J60*'5.Affordable For-Sale Housing '!$B$12</f>
        <v>0</v>
      </c>
      <c r="K68" s="266">
        <f>K60*'5.Affordable For-Sale Housing '!$B$12</f>
        <v>6000</v>
      </c>
      <c r="L68" s="266">
        <f>L60*'5.Affordable For-Sale Housing '!$B$12</f>
        <v>0</v>
      </c>
      <c r="M68" s="266">
        <f>M60*'5.Affordable For-Sale Housing '!$B$12</f>
        <v>0</v>
      </c>
      <c r="N68" s="268">
        <f>N60*'5.Affordable For-Sale Housing '!$B$12</f>
        <v>0</v>
      </c>
    </row>
    <row r="69" spans="1:14" x14ac:dyDescent="0.2">
      <c r="A69" s="246" t="s">
        <v>67</v>
      </c>
      <c r="B69" s="234"/>
      <c r="C69" s="434">
        <f>'Summary Board'!C63</f>
        <v>977154</v>
      </c>
      <c r="D69" s="266">
        <f>'Development Schedule'!D84</f>
        <v>0</v>
      </c>
      <c r="E69" s="267">
        <f>'Development Schedule'!E84</f>
        <v>0</v>
      </c>
      <c r="F69" s="266">
        <f>'Development Schedule'!F84</f>
        <v>38884</v>
      </c>
      <c r="G69" s="268">
        <f>'Development Schedule'!G84</f>
        <v>0</v>
      </c>
      <c r="H69" s="267">
        <f>'Development Schedule'!H84</f>
        <v>0</v>
      </c>
      <c r="I69" s="266">
        <f>'Development Schedule'!I84</f>
        <v>210336</v>
      </c>
      <c r="J69" s="268">
        <f>'Development Schedule'!J84</f>
        <v>0</v>
      </c>
      <c r="K69" s="266">
        <f>'Development Schedule'!K84</f>
        <v>291170</v>
      </c>
      <c r="L69" s="266">
        <f>'Development Schedule'!L84</f>
        <v>291176</v>
      </c>
      <c r="M69" s="266">
        <f>'Development Schedule'!M84</f>
        <v>145588</v>
      </c>
      <c r="N69" s="268">
        <f>'Development Schedule'!N84</f>
        <v>0</v>
      </c>
    </row>
    <row r="70" spans="1:14" x14ac:dyDescent="0.2">
      <c r="A70" s="246" t="s">
        <v>348</v>
      </c>
      <c r="B70" s="234"/>
      <c r="C70" s="434">
        <f>'Summary Board'!C64</f>
        <v>0</v>
      </c>
      <c r="D70" s="266">
        <f>'Development Schedule'!D83</f>
        <v>0</v>
      </c>
      <c r="E70" s="267">
        <f>'Development Schedule'!E83</f>
        <v>0</v>
      </c>
      <c r="F70" s="266">
        <f>'Development Schedule'!F83</f>
        <v>0</v>
      </c>
      <c r="G70" s="268">
        <f>'Development Schedule'!G83</f>
        <v>0</v>
      </c>
      <c r="H70" s="267">
        <f>'Development Schedule'!H83</f>
        <v>0</v>
      </c>
      <c r="I70" s="266">
        <f>'Development Schedule'!I83</f>
        <v>0</v>
      </c>
      <c r="J70" s="268">
        <f>'Development Schedule'!J83</f>
        <v>0</v>
      </c>
      <c r="K70" s="266">
        <f>'Development Schedule'!K83</f>
        <v>0</v>
      </c>
      <c r="L70" s="266">
        <f>'Development Schedule'!L83</f>
        <v>0</v>
      </c>
      <c r="M70" s="266">
        <f>'Development Schedule'!M83</f>
        <v>0</v>
      </c>
      <c r="N70" s="268">
        <f>'Development Schedule'!N83</f>
        <v>0</v>
      </c>
    </row>
    <row r="71" spans="1:14" x14ac:dyDescent="0.2">
      <c r="A71" s="246" t="s">
        <v>123</v>
      </c>
      <c r="B71" s="234"/>
      <c r="C71" s="434">
        <f>'Summary Board'!C65</f>
        <v>214489</v>
      </c>
      <c r="D71" s="266">
        <f>'Development Schedule'!D78</f>
        <v>0</v>
      </c>
      <c r="E71" s="267">
        <f>'Development Schedule'!E78</f>
        <v>51349</v>
      </c>
      <c r="F71" s="266">
        <f>'Development Schedule'!F78</f>
        <v>38994</v>
      </c>
      <c r="G71" s="268">
        <f>'Development Schedule'!G78</f>
        <v>0</v>
      </c>
      <c r="H71" s="267">
        <f>'Development Schedule'!H78</f>
        <v>28366.5</v>
      </c>
      <c r="I71" s="266">
        <f>'Development Schedule'!I78</f>
        <v>28366.5</v>
      </c>
      <c r="J71" s="268">
        <f>'Development Schedule'!J78</f>
        <v>0</v>
      </c>
      <c r="K71" s="266">
        <f>'Development Schedule'!K78</f>
        <v>0</v>
      </c>
      <c r="L71" s="266">
        <f>'Development Schedule'!L78</f>
        <v>30930</v>
      </c>
      <c r="M71" s="266">
        <f>'Development Schedule'!M78</f>
        <v>36483</v>
      </c>
      <c r="N71" s="268">
        <f>'Development Schedule'!N78</f>
        <v>0</v>
      </c>
    </row>
    <row r="72" spans="1:14" x14ac:dyDescent="0.2">
      <c r="A72" s="246" t="s">
        <v>49</v>
      </c>
      <c r="B72" s="234"/>
      <c r="C72" s="434">
        <f>'Summary Board'!C66</f>
        <v>165000</v>
      </c>
      <c r="D72" s="266">
        <f>'Development Schedule'!D77</f>
        <v>0</v>
      </c>
      <c r="E72" s="267">
        <f>'Development Schedule'!E77</f>
        <v>0</v>
      </c>
      <c r="F72" s="266">
        <f>'Development Schedule'!F77</f>
        <v>0</v>
      </c>
      <c r="G72" s="268">
        <f>'Development Schedule'!G77</f>
        <v>0</v>
      </c>
      <c r="H72" s="267">
        <f>'Development Schedule'!H77</f>
        <v>165000</v>
      </c>
      <c r="I72" s="266">
        <f>'Development Schedule'!I77</f>
        <v>0</v>
      </c>
      <c r="J72" s="268">
        <f>'Development Schedule'!J77</f>
        <v>0</v>
      </c>
      <c r="K72" s="266">
        <f>'Development Schedule'!K77</f>
        <v>0</v>
      </c>
      <c r="L72" s="266">
        <f>'Development Schedule'!L77</f>
        <v>0</v>
      </c>
      <c r="M72" s="266">
        <f>'Development Schedule'!M77</f>
        <v>0</v>
      </c>
      <c r="N72" s="268">
        <f>'Development Schedule'!N77</f>
        <v>0</v>
      </c>
    </row>
    <row r="73" spans="1:14" x14ac:dyDescent="0.2">
      <c r="A73" s="246" t="s">
        <v>50</v>
      </c>
      <c r="B73" s="234"/>
      <c r="C73" s="434">
        <f>'Summary Board'!C67</f>
        <v>253897</v>
      </c>
      <c r="D73" s="266">
        <f>'Development Schedule'!D85</f>
        <v>0</v>
      </c>
      <c r="E73" s="267">
        <f>'Development Schedule'!E85</f>
        <v>51349</v>
      </c>
      <c r="F73" s="266">
        <f>'Development Schedule'!F85</f>
        <v>38994</v>
      </c>
      <c r="G73" s="268">
        <f>'Development Schedule'!G85</f>
        <v>0</v>
      </c>
      <c r="H73" s="267">
        <f>'Development Schedule'!H85</f>
        <v>28366.5</v>
      </c>
      <c r="I73" s="266">
        <f>'Development Schedule'!I85</f>
        <v>28366.5</v>
      </c>
      <c r="J73" s="268">
        <f>'Development Schedule'!J85</f>
        <v>0</v>
      </c>
      <c r="K73" s="266">
        <f>'Development Schedule'!K85</f>
        <v>39408</v>
      </c>
      <c r="L73" s="266">
        <f>'Development Schedule'!L85</f>
        <v>30930</v>
      </c>
      <c r="M73" s="266">
        <f>'Development Schedule'!M85</f>
        <v>36483</v>
      </c>
      <c r="N73" s="268">
        <f>'Development Schedule'!N85</f>
        <v>0</v>
      </c>
    </row>
    <row r="74" spans="1:14" x14ac:dyDescent="0.2">
      <c r="A74" s="253" t="s">
        <v>51</v>
      </c>
      <c r="B74" s="238"/>
      <c r="C74" s="435">
        <f>'Summary Board'!C68</f>
        <v>14395</v>
      </c>
      <c r="D74" s="436">
        <f>'Development Schedule'!D86</f>
        <v>0</v>
      </c>
      <c r="E74" s="437">
        <f>'Development Schedule'!E86</f>
        <v>0</v>
      </c>
      <c r="F74" s="436">
        <f>'Development Schedule'!F86</f>
        <v>0</v>
      </c>
      <c r="G74" s="438">
        <f>'Development Schedule'!G86</f>
        <v>14395</v>
      </c>
      <c r="H74" s="437">
        <f>'Development Schedule'!H86</f>
        <v>0</v>
      </c>
      <c r="I74" s="436">
        <f>'Development Schedule'!I86</f>
        <v>0</v>
      </c>
      <c r="J74" s="438">
        <f>'Development Schedule'!J86</f>
        <v>0</v>
      </c>
      <c r="K74" s="436">
        <f>'Development Schedule'!K86</f>
        <v>0</v>
      </c>
      <c r="L74" s="436">
        <f>'Development Schedule'!L86</f>
        <v>0</v>
      </c>
      <c r="M74" s="436">
        <f>'Development Schedule'!M86</f>
        <v>0</v>
      </c>
      <c r="N74" s="438">
        <f>'Development Schedule'!N86</f>
        <v>0</v>
      </c>
    </row>
    <row r="75" spans="1:14" ht="17" thickBot="1" x14ac:dyDescent="0.25">
      <c r="A75" s="260" t="s">
        <v>32</v>
      </c>
      <c r="B75" s="240"/>
      <c r="C75" s="261"/>
      <c r="D75" s="262">
        <f>SUM(D65:D74)</f>
        <v>0</v>
      </c>
      <c r="E75" s="263">
        <f t="shared" ref="E75:N75" si="8">SUM(E65:E74)</f>
        <v>615698</v>
      </c>
      <c r="F75" s="262">
        <f t="shared" si="8"/>
        <v>373372</v>
      </c>
      <c r="G75" s="264">
        <f t="shared" si="8"/>
        <v>14395</v>
      </c>
      <c r="H75" s="263">
        <f t="shared" si="8"/>
        <v>221733</v>
      </c>
      <c r="I75" s="262">
        <f t="shared" si="8"/>
        <v>267069</v>
      </c>
      <c r="J75" s="264">
        <f t="shared" si="8"/>
        <v>0</v>
      </c>
      <c r="K75" s="262">
        <f t="shared" si="8"/>
        <v>344828</v>
      </c>
      <c r="L75" s="262">
        <f t="shared" si="8"/>
        <v>529286</v>
      </c>
      <c r="M75" s="262">
        <f t="shared" si="8"/>
        <v>218554</v>
      </c>
      <c r="N75" s="264">
        <f t="shared" si="8"/>
        <v>0</v>
      </c>
    </row>
    <row r="76" spans="1:14" s="7" customFormat="1" ht="17" thickBot="1" x14ac:dyDescent="0.25">
      <c r="A76" s="226"/>
      <c r="B76" s="219"/>
      <c r="C76" s="220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</row>
    <row r="77" spans="1:14" ht="17" thickBot="1" x14ac:dyDescent="0.25">
      <c r="A77" s="552" t="s">
        <v>126</v>
      </c>
      <c r="B77" s="553"/>
      <c r="C77" s="553"/>
      <c r="D77" s="553"/>
      <c r="E77" s="553"/>
      <c r="F77" s="554"/>
      <c r="G77" s="407"/>
      <c r="H77" s="7"/>
      <c r="I77" s="573" t="s">
        <v>228</v>
      </c>
      <c r="J77" s="574"/>
      <c r="K77" s="574"/>
      <c r="L77" s="574"/>
      <c r="M77" s="574"/>
      <c r="N77" s="575"/>
    </row>
    <row r="78" spans="1:14" s="11" customFormat="1" ht="16.5" customHeight="1" thickBot="1" x14ac:dyDescent="0.25">
      <c r="A78" s="243" t="s">
        <v>2</v>
      </c>
      <c r="B78" s="229"/>
      <c r="C78" s="244"/>
      <c r="D78" s="245"/>
      <c r="E78" s="557" t="s">
        <v>53</v>
      </c>
      <c r="F78" s="558" t="s">
        <v>35</v>
      </c>
      <c r="G78" s="5"/>
      <c r="H78" s="10"/>
      <c r="I78" s="441"/>
      <c r="J78" s="245"/>
      <c r="K78" s="245"/>
      <c r="L78" s="229"/>
      <c r="M78" s="230" t="s">
        <v>52</v>
      </c>
      <c r="N78" s="231" t="s">
        <v>75</v>
      </c>
    </row>
    <row r="79" spans="1:14" x14ac:dyDescent="0.2">
      <c r="A79" s="246" t="s">
        <v>64</v>
      </c>
      <c r="B79" s="247"/>
      <c r="C79" s="247"/>
      <c r="D79" s="234"/>
      <c r="E79" s="555">
        <f>'Summary Board'!E73</f>
        <v>229354.08302570894</v>
      </c>
      <c r="F79" s="401">
        <f>'Summary Board'!F73</f>
        <v>176247298.00382805</v>
      </c>
      <c r="G79" s="8"/>
      <c r="H79" s="7"/>
      <c r="I79" s="487" t="s">
        <v>76</v>
      </c>
      <c r="J79" s="219"/>
      <c r="K79" s="219"/>
      <c r="L79" s="488"/>
      <c r="M79" s="391"/>
      <c r="N79" s="493"/>
    </row>
    <row r="80" spans="1:14" x14ac:dyDescent="0.2">
      <c r="A80" s="246" t="s">
        <v>65</v>
      </c>
      <c r="B80" s="247"/>
      <c r="C80" s="247"/>
      <c r="D80" s="234"/>
      <c r="E80" s="556">
        <f>'Summary Board'!E74</f>
        <v>229354.08302570894</v>
      </c>
      <c r="F80" s="386">
        <f>'Summary Board'!F74</f>
        <v>88123649.001914024</v>
      </c>
      <c r="G80" s="8"/>
      <c r="H80" s="7"/>
      <c r="I80" s="235" t="str">
        <f>'Summary Board'!I74</f>
        <v>Equity Contribution</v>
      </c>
      <c r="J80" s="234"/>
      <c r="K80" s="234"/>
      <c r="L80" s="489"/>
      <c r="M80" s="251">
        <f>'Summary Board'!M74</f>
        <v>83313869.415084869</v>
      </c>
      <c r="N80" s="237">
        <f>M80/$M$92</f>
        <v>9.1450836509430616E-2</v>
      </c>
    </row>
    <row r="81" spans="1:14" x14ac:dyDescent="0.2">
      <c r="A81" s="246" t="s">
        <v>66</v>
      </c>
      <c r="B81" s="247"/>
      <c r="C81" s="247"/>
      <c r="D81" s="234"/>
      <c r="E81" s="556">
        <f>'Summary Board'!E75</f>
        <v>228691.80029526312</v>
      </c>
      <c r="F81" s="386">
        <f>'Summary Board'!F75</f>
        <v>19526315.754010353</v>
      </c>
      <c r="G81" s="8"/>
      <c r="H81" s="7"/>
      <c r="I81" s="235" t="str">
        <f>'Summary Board'!I75</f>
        <v>Developer Land Equity</v>
      </c>
      <c r="J81" s="234"/>
      <c r="K81" s="234"/>
      <c r="L81" s="495"/>
      <c r="M81" s="251">
        <f>'Summary Board'!M75</f>
        <v>89621383.650000006</v>
      </c>
      <c r="N81" s="237">
        <f>M81/$M$92</f>
        <v>9.837438305849644E-2</v>
      </c>
    </row>
    <row r="82" spans="1:14" x14ac:dyDescent="0.2">
      <c r="A82" s="246" t="s">
        <v>330</v>
      </c>
      <c r="B82" s="247"/>
      <c r="C82" s="247"/>
      <c r="D82" s="234"/>
      <c r="E82" s="556">
        <f>'Summary Board'!E76</f>
        <v>228360.99029179674</v>
      </c>
      <c r="F82" s="386">
        <f>'Summary Board'!F76</f>
        <v>9749187.3975373879</v>
      </c>
      <c r="G82" s="8"/>
      <c r="H82" s="7"/>
      <c r="I82" s="235"/>
      <c r="J82" s="234"/>
      <c r="K82" s="234"/>
      <c r="L82" s="495"/>
      <c r="M82" s="251"/>
      <c r="N82" s="237"/>
    </row>
    <row r="83" spans="1:14" x14ac:dyDescent="0.2">
      <c r="A83" s="246" t="s">
        <v>316</v>
      </c>
      <c r="E83" s="556">
        <f>'Summary Board'!E77</f>
        <v>288.58692167537328</v>
      </c>
      <c r="F83" s="386">
        <f>'Summary Board'!F77</f>
        <v>281993864.86277771</v>
      </c>
      <c r="G83" s="8"/>
      <c r="H83" s="7"/>
      <c r="I83" s="232" t="s">
        <v>77</v>
      </c>
      <c r="J83" s="233"/>
      <c r="K83" s="233"/>
      <c r="L83" s="490"/>
      <c r="M83" s="251"/>
      <c r="N83" s="237"/>
    </row>
    <row r="84" spans="1:14" x14ac:dyDescent="0.2">
      <c r="A84" s="246" t="s">
        <v>51</v>
      </c>
      <c r="B84" s="234"/>
      <c r="C84" s="247"/>
      <c r="D84" s="234"/>
      <c r="E84" s="556">
        <f>'Summary Board'!E78</f>
        <v>7959.0599999999986</v>
      </c>
      <c r="F84" s="386">
        <f>'Summary Board'!F78</f>
        <v>381902.22899999993</v>
      </c>
      <c r="G84" s="8"/>
      <c r="H84" s="7"/>
      <c r="I84" s="235" t="s">
        <v>533</v>
      </c>
      <c r="J84" s="234"/>
      <c r="K84" s="234"/>
      <c r="L84" s="490"/>
      <c r="M84" s="251">
        <f>'Summary Board'!M77</f>
        <v>592165333.7115258</v>
      </c>
      <c r="N84" s="237">
        <f>M84/$M$92</f>
        <v>0.65000000000000013</v>
      </c>
    </row>
    <row r="85" spans="1:14" x14ac:dyDescent="0.2">
      <c r="A85" s="246" t="s">
        <v>68</v>
      </c>
      <c r="B85" s="234"/>
      <c r="C85" s="247"/>
      <c r="D85" s="234"/>
      <c r="E85" s="556">
        <f>'Summary Board'!E79</f>
        <v>245.85372338913092</v>
      </c>
      <c r="F85" s="386">
        <f>'Summary Board'!F79</f>
        <v>52732919.276011303</v>
      </c>
      <c r="G85" s="8"/>
      <c r="H85" s="7"/>
      <c r="I85" s="235" t="s">
        <v>535</v>
      </c>
      <c r="J85" s="234"/>
      <c r="K85" s="234"/>
      <c r="L85" s="490"/>
      <c r="M85" s="251">
        <f>'Summary Board'!M78</f>
        <v>136653538.54881364</v>
      </c>
      <c r="N85" s="237">
        <f>M85/$M$92</f>
        <v>0.15000000000000002</v>
      </c>
    </row>
    <row r="86" spans="1:14" x14ac:dyDescent="0.2">
      <c r="A86" s="246" t="s">
        <v>49</v>
      </c>
      <c r="B86" s="234"/>
      <c r="C86" s="247"/>
      <c r="D86" s="234"/>
      <c r="E86" s="556">
        <f>'Summary Board'!E80</f>
        <v>148508.80475762876</v>
      </c>
      <c r="F86" s="386">
        <f>'Summary Board'!F80</f>
        <v>49007905.570017494</v>
      </c>
      <c r="G86" s="8"/>
      <c r="H86" s="7"/>
      <c r="I86" s="232" t="str">
        <f>'Summary Board'!I79</f>
        <v>Public Subsidies (Total, If Any)</v>
      </c>
      <c r="J86" s="233"/>
      <c r="K86" s="233"/>
      <c r="L86" s="490"/>
      <c r="M86" s="251"/>
      <c r="N86" s="236"/>
    </row>
    <row r="87" spans="1:14" x14ac:dyDescent="0.2">
      <c r="A87" s="246" t="s">
        <v>50</v>
      </c>
      <c r="B87" s="234"/>
      <c r="C87" s="247"/>
      <c r="D87" s="234"/>
      <c r="E87" s="556">
        <f>'Summary Board'!E81</f>
        <v>33443.283732654891</v>
      </c>
      <c r="F87" s="386">
        <f>'Summary Board'!F81</f>
        <v>28303831.366232928</v>
      </c>
      <c r="G87" s="8"/>
      <c r="H87" s="7"/>
      <c r="I87" s="235" t="s">
        <v>537</v>
      </c>
      <c r="J87" s="233"/>
      <c r="K87" s="233"/>
      <c r="L87" s="490"/>
      <c r="M87" s="251">
        <f>'Summary Board'!M80</f>
        <v>1179465</v>
      </c>
      <c r="N87" s="237">
        <f>M87/$M$92</f>
        <v>1.2946591202744669E-3</v>
      </c>
    </row>
    <row r="88" spans="1:14" x14ac:dyDescent="0.2">
      <c r="A88" s="246" t="s">
        <v>217</v>
      </c>
      <c r="B88" s="234"/>
      <c r="C88" s="247"/>
      <c r="D88" s="234"/>
      <c r="E88" s="556">
        <f>'Summary Board'!E82</f>
        <v>422.55498768440077</v>
      </c>
      <c r="F88" s="386">
        <f>'Summary Board'!F82</f>
        <v>158514742.75</v>
      </c>
      <c r="G88" s="8"/>
      <c r="H88" s="7"/>
      <c r="I88" s="235" t="s">
        <v>538</v>
      </c>
      <c r="J88" s="234"/>
      <c r="K88" s="234"/>
      <c r="L88" s="490"/>
      <c r="M88" s="251">
        <f>'Summary Board'!M81</f>
        <v>6500000</v>
      </c>
      <c r="N88" s="237">
        <f>M88/$M$92</f>
        <v>7.1348317091088206E-3</v>
      </c>
    </row>
    <row r="89" spans="1:14" ht="17" thickBot="1" x14ac:dyDescent="0.25">
      <c r="A89" s="246" t="s">
        <v>214</v>
      </c>
      <c r="B89" s="234"/>
      <c r="C89" s="247"/>
      <c r="D89" s="234"/>
      <c r="E89" s="561">
        <f>'Summary Board'!E83</f>
        <v>4</v>
      </c>
      <c r="F89" s="562">
        <f>'Summary Board'!F83</f>
        <v>3452540</v>
      </c>
      <c r="G89" s="5"/>
      <c r="H89" s="7"/>
      <c r="I89" s="235" t="s">
        <v>539</v>
      </c>
      <c r="J89" s="234"/>
      <c r="K89" s="234"/>
      <c r="L89" s="490"/>
      <c r="M89" s="251">
        <f>'Summary Board'!M82</f>
        <v>90000</v>
      </c>
      <c r="N89" s="237">
        <f>M89/$M$92</f>
        <v>9.8789977510737508E-5</v>
      </c>
    </row>
    <row r="90" spans="1:14" ht="17" thickBot="1" x14ac:dyDescent="0.25">
      <c r="A90" s="243" t="s">
        <v>337</v>
      </c>
      <c r="B90" s="388"/>
      <c r="C90" s="389"/>
      <c r="D90" s="388"/>
      <c r="E90" s="563"/>
      <c r="F90" s="390">
        <f>Budget!C8</f>
        <v>5921652</v>
      </c>
      <c r="G90" s="313"/>
      <c r="H90" s="7"/>
      <c r="I90" s="235" t="s">
        <v>540</v>
      </c>
      <c r="J90" s="234"/>
      <c r="K90" s="234"/>
      <c r="L90" s="490"/>
      <c r="M90" s="251">
        <f>'Summary Board'!M83</f>
        <v>1500000</v>
      </c>
      <c r="N90" s="237">
        <f>M90/$M$92</f>
        <v>1.6464996251789586E-3</v>
      </c>
    </row>
    <row r="91" spans="1:14" ht="17" thickBot="1" x14ac:dyDescent="0.25">
      <c r="A91" s="243" t="s">
        <v>125</v>
      </c>
      <c r="B91" s="249"/>
      <c r="C91" s="249"/>
      <c r="D91" s="250"/>
      <c r="E91" s="559" t="s">
        <v>55</v>
      </c>
      <c r="F91" s="560" t="s">
        <v>56</v>
      </c>
      <c r="G91" s="313"/>
      <c r="H91" s="7"/>
      <c r="I91" s="232"/>
      <c r="J91" s="7"/>
      <c r="K91" s="7"/>
      <c r="L91" s="385"/>
      <c r="M91" s="251"/>
      <c r="N91" s="237"/>
    </row>
    <row r="92" spans="1:14" ht="17" thickBot="1" x14ac:dyDescent="0.25">
      <c r="A92" s="246" t="str">
        <f>'Summary Board'!A86</f>
        <v>Cisterns</v>
      </c>
      <c r="B92" s="234"/>
      <c r="C92" s="247"/>
      <c r="D92" s="234"/>
      <c r="E92" s="500"/>
      <c r="F92" s="501">
        <f>'Summary Board'!F86</f>
        <v>4435176.3487999998</v>
      </c>
      <c r="G92" s="299"/>
      <c r="H92" s="7"/>
      <c r="I92" s="239" t="s">
        <v>32</v>
      </c>
      <c r="J92" s="240"/>
      <c r="K92" s="240"/>
      <c r="L92" s="486"/>
      <c r="M92" s="251">
        <f>SUM(M80:M90)</f>
        <v>911023590.32542419</v>
      </c>
      <c r="N92" s="242">
        <f>SUM(N80:N91)</f>
        <v>1.0000000000000002</v>
      </c>
    </row>
    <row r="93" spans="1:14" ht="15" customHeight="1" x14ac:dyDescent="0.2">
      <c r="A93" s="246" t="str">
        <f>'Summary Board'!A87</f>
        <v>Streets/Sidewalks</v>
      </c>
      <c r="B93" s="234"/>
      <c r="C93" s="247"/>
      <c r="D93" s="234"/>
      <c r="E93" s="252"/>
      <c r="F93" s="501">
        <f>'Summary Board'!F87</f>
        <v>6543135.8446245668</v>
      </c>
      <c r="G93" s="7"/>
      <c r="H93" s="7"/>
      <c r="I93" s="1431" t="s">
        <v>534</v>
      </c>
      <c r="J93" s="1431"/>
      <c r="K93" s="1431"/>
      <c r="L93" s="1431"/>
      <c r="M93" s="1431"/>
      <c r="N93" s="1431"/>
    </row>
    <row r="94" spans="1:14" ht="15.5" customHeight="1" x14ac:dyDescent="0.2">
      <c r="A94" s="246" t="str">
        <f>'Summary Board'!A88</f>
        <v>Bridges</v>
      </c>
      <c r="B94" s="234"/>
      <c r="C94" s="247"/>
      <c r="D94" s="234"/>
      <c r="E94" s="252"/>
      <c r="F94" s="501">
        <f>'Summary Board'!F88</f>
        <v>197852.86799999999</v>
      </c>
      <c r="G94" s="7"/>
      <c r="H94" s="7"/>
      <c r="I94" s="1432"/>
      <c r="J94" s="1432"/>
      <c r="K94" s="1432"/>
      <c r="L94" s="1432"/>
      <c r="M94" s="1432"/>
      <c r="N94" s="1432"/>
    </row>
    <row r="95" spans="1:14" x14ac:dyDescent="0.2">
      <c r="A95" s="246" t="str">
        <f>'Summary Board'!A89</f>
        <v>Retaining Wall</v>
      </c>
      <c r="B95" s="234"/>
      <c r="C95" s="247"/>
      <c r="D95" s="234"/>
      <c r="E95" s="252"/>
      <c r="F95" s="501">
        <f>'Summary Board'!F89</f>
        <v>94784.112000000008</v>
      </c>
      <c r="G95" s="7"/>
      <c r="H95" s="7"/>
      <c r="I95" s="18" t="s">
        <v>536</v>
      </c>
    </row>
    <row r="96" spans="1:14" x14ac:dyDescent="0.2">
      <c r="A96" s="246" t="str">
        <f>'Summary Board'!A90</f>
        <v>Solar Panels</v>
      </c>
      <c r="B96" s="234"/>
      <c r="C96" s="247"/>
      <c r="D96" s="234"/>
      <c r="E96" s="252"/>
      <c r="F96" s="501">
        <f>'Summary Board'!F90</f>
        <v>7659344.9403917529</v>
      </c>
      <c r="G96" s="7"/>
      <c r="H96" s="7"/>
      <c r="I96" s="1433" t="s">
        <v>541</v>
      </c>
      <c r="J96" s="1433"/>
      <c r="K96" s="1433"/>
      <c r="L96" s="1433"/>
      <c r="M96" s="1433"/>
      <c r="N96" s="1433"/>
    </row>
    <row r="97" spans="1:14" ht="17" thickBot="1" x14ac:dyDescent="0.25">
      <c r="A97" s="253" t="str">
        <f>'Summary Board'!A91</f>
        <v>Landscaping</v>
      </c>
      <c r="B97" s="238"/>
      <c r="C97" s="254"/>
      <c r="D97" s="238"/>
      <c r="E97" s="309"/>
      <c r="F97" s="501">
        <f>'Summary Board'!F91</f>
        <v>18137488.000278793</v>
      </c>
      <c r="G97" s="7"/>
      <c r="H97" s="7"/>
      <c r="I97" s="1433"/>
      <c r="J97" s="1433"/>
      <c r="K97" s="1433"/>
      <c r="L97" s="1433"/>
      <c r="M97" s="1433"/>
      <c r="N97" s="1433"/>
    </row>
    <row r="98" spans="1:14" ht="16.5" customHeight="1" thickBot="1" x14ac:dyDescent="0.25">
      <c r="A98" s="255" t="s">
        <v>34</v>
      </c>
      <c r="B98" s="256"/>
      <c r="C98" s="256"/>
      <c r="D98" s="234"/>
      <c r="E98" s="257">
        <f>SUM(E92:E97)</f>
        <v>0</v>
      </c>
      <c r="F98" s="257">
        <f>SUM(F92:F97)</f>
        <v>37067782.114095114</v>
      </c>
      <c r="G98" s="7"/>
      <c r="H98" s="299"/>
      <c r="I98" s="578" t="s">
        <v>542</v>
      </c>
      <c r="J98" s="578"/>
      <c r="K98" s="578"/>
      <c r="L98" s="578"/>
      <c r="M98" s="578"/>
      <c r="N98" s="578"/>
    </row>
    <row r="99" spans="1:14" ht="16.25" customHeight="1" thickBot="1" x14ac:dyDescent="0.25">
      <c r="A99" s="243" t="s">
        <v>3</v>
      </c>
      <c r="B99" s="258"/>
      <c r="C99" s="258"/>
      <c r="D99" s="388"/>
      <c r="E99" s="448"/>
      <c r="F99" s="259">
        <f>SUM(F79:F90,F98)+E98-SUM(F92:F96)</f>
        <v>892093296.21160793</v>
      </c>
      <c r="I99" s="578" t="s">
        <v>543</v>
      </c>
      <c r="J99" s="578"/>
      <c r="K99" s="578"/>
      <c r="L99" s="578"/>
      <c r="M99" s="578"/>
      <c r="N99" s="578"/>
    </row>
    <row r="100" spans="1:14" ht="16.5" customHeight="1" thickBot="1" x14ac:dyDescent="0.25">
      <c r="D100" s="12"/>
      <c r="E100" s="24"/>
      <c r="G100" s="387"/>
      <c r="I100" s="393" t="s">
        <v>544</v>
      </c>
    </row>
    <row r="101" spans="1:14" ht="16.5" customHeight="1" thickBot="1" x14ac:dyDescent="0.25">
      <c r="A101" s="564" t="s">
        <v>250</v>
      </c>
      <c r="B101" s="565"/>
      <c r="C101" s="553"/>
      <c r="D101" s="565"/>
      <c r="E101" s="565"/>
      <c r="F101" s="566"/>
    </row>
    <row r="102" spans="1:14" ht="15.5" customHeight="1" x14ac:dyDescent="0.2">
      <c r="A102" s="303"/>
      <c r="B102" s="301"/>
      <c r="C102" s="304" t="s">
        <v>128</v>
      </c>
      <c r="D102" s="304" t="s">
        <v>129</v>
      </c>
      <c r="E102" s="304" t="s">
        <v>130</v>
      </c>
      <c r="F102" s="305" t="s">
        <v>32</v>
      </c>
      <c r="I102" s="7"/>
      <c r="J102" s="7"/>
      <c r="K102" s="7"/>
      <c r="L102" s="7"/>
      <c r="M102" s="7"/>
      <c r="N102" s="7"/>
    </row>
    <row r="103" spans="1:14" ht="19" thickBot="1" x14ac:dyDescent="0.25">
      <c r="A103" s="306" t="s">
        <v>131</v>
      </c>
      <c r="B103" s="297"/>
      <c r="C103" s="307" t="s">
        <v>251</v>
      </c>
      <c r="D103" s="307" t="s">
        <v>252</v>
      </c>
      <c r="E103" s="307" t="s">
        <v>253</v>
      </c>
      <c r="F103" s="308" t="s">
        <v>258</v>
      </c>
      <c r="I103" s="579"/>
      <c r="J103" s="579"/>
      <c r="K103" s="579"/>
      <c r="L103" s="579"/>
      <c r="M103" s="579"/>
      <c r="N103" s="579"/>
    </row>
    <row r="104" spans="1:14" ht="15" customHeight="1" thickBot="1" x14ac:dyDescent="0.25">
      <c r="A104" s="246" t="str">
        <f>'Summary Board'!A98</f>
        <v>Rental &amp; For-Sale Housing</v>
      </c>
      <c r="B104" s="7"/>
      <c r="C104" s="451">
        <f>'Summary Board'!C98</f>
        <v>233.6208</v>
      </c>
      <c r="D104" s="312">
        <f>C104*0.2</f>
        <v>46.724160000000005</v>
      </c>
      <c r="E104" s="313">
        <f t="shared" ref="E104:E109" si="9">C104*0.04</f>
        <v>9.3448320000000002</v>
      </c>
      <c r="F104" s="310">
        <f t="shared" ref="F104:F111" si="10">SUM(C104:E104)</f>
        <v>289.68979200000001</v>
      </c>
      <c r="I104" s="624" t="s">
        <v>260</v>
      </c>
      <c r="J104" s="625"/>
      <c r="K104" s="625"/>
      <c r="L104" s="625"/>
      <c r="M104" s="625"/>
      <c r="N104" s="626"/>
    </row>
    <row r="105" spans="1:14" x14ac:dyDescent="0.2">
      <c r="A105" s="246" t="str">
        <f>'Summary Board'!A99</f>
        <v>Office Space</v>
      </c>
      <c r="B105" s="7"/>
      <c r="C105" s="451">
        <f>'Summary Board'!C99</f>
        <v>202.63319999999999</v>
      </c>
      <c r="D105" s="312">
        <f t="shared" ref="D105:D111" si="11">C105*0.2</f>
        <v>40.52664</v>
      </c>
      <c r="E105" s="313">
        <f t="shared" si="9"/>
        <v>8.1053280000000001</v>
      </c>
      <c r="F105" s="311">
        <f t="shared" si="10"/>
        <v>251.26516799999996</v>
      </c>
      <c r="I105" s="582"/>
      <c r="J105" s="583"/>
      <c r="K105" s="584" t="s">
        <v>262</v>
      </c>
      <c r="L105" s="585"/>
      <c r="M105" s="581"/>
      <c r="N105" s="586"/>
    </row>
    <row r="106" spans="1:14" ht="19" thickBot="1" x14ac:dyDescent="0.25">
      <c r="A106" s="246" t="str">
        <f>'Summary Board'!A100</f>
        <v>Retail Space</v>
      </c>
      <c r="B106" s="7"/>
      <c r="C106" s="451">
        <f>'Summary Board'!C100</f>
        <v>181.1112</v>
      </c>
      <c r="D106" s="312">
        <f t="shared" si="11"/>
        <v>36.222239999999999</v>
      </c>
      <c r="E106" s="313">
        <f t="shared" si="9"/>
        <v>7.2444480000000002</v>
      </c>
      <c r="F106" s="311">
        <f t="shared" si="10"/>
        <v>224.577888</v>
      </c>
      <c r="I106" s="587" t="s">
        <v>261</v>
      </c>
      <c r="J106" s="588"/>
      <c r="K106" s="589" t="s">
        <v>263</v>
      </c>
      <c r="L106" s="590" t="s">
        <v>545</v>
      </c>
      <c r="M106" s="591"/>
      <c r="N106" s="592"/>
    </row>
    <row r="107" spans="1:14" ht="16" customHeight="1" x14ac:dyDescent="0.2">
      <c r="A107" s="246" t="str">
        <f>'Summary Board'!A101</f>
        <v>Restaurant Space</v>
      </c>
      <c r="B107" s="7"/>
      <c r="C107" s="451">
        <f>'Summary Board'!C101</f>
        <v>287.8134</v>
      </c>
      <c r="D107" s="312">
        <f t="shared" si="11"/>
        <v>57.56268</v>
      </c>
      <c r="E107" s="313">
        <f t="shared" si="9"/>
        <v>11.512536000000001</v>
      </c>
      <c r="F107" s="311">
        <f t="shared" si="10"/>
        <v>356.88861600000001</v>
      </c>
      <c r="I107" s="593" t="s">
        <v>321</v>
      </c>
      <c r="J107" s="594"/>
      <c r="K107" s="595">
        <v>2.81</v>
      </c>
      <c r="L107" s="1434" t="s">
        <v>372</v>
      </c>
      <c r="M107" s="1435"/>
      <c r="N107" s="1436"/>
    </row>
    <row r="108" spans="1:14" ht="17" thickBot="1" x14ac:dyDescent="0.25">
      <c r="A108" s="246" t="str">
        <f>'Summary Board'!A102</f>
        <v>Grocery Store</v>
      </c>
      <c r="B108" s="7"/>
      <c r="C108" s="451">
        <f>'Summary Board'!C102</f>
        <v>164.4444</v>
      </c>
      <c r="D108" s="312">
        <f t="shared" si="11"/>
        <v>32.88888</v>
      </c>
      <c r="E108" s="313">
        <f t="shared" si="9"/>
        <v>6.5777760000000001</v>
      </c>
      <c r="F108" s="311">
        <f t="shared" si="10"/>
        <v>203.911056</v>
      </c>
      <c r="I108" s="599"/>
      <c r="J108" s="588"/>
      <c r="K108" s="588"/>
      <c r="L108" s="596"/>
      <c r="M108" s="597"/>
      <c r="N108" s="598"/>
    </row>
    <row r="109" spans="1:14" ht="15" customHeight="1" thickBot="1" x14ac:dyDescent="0.25">
      <c r="A109" s="246" t="str">
        <f>'Summary Board'!A103</f>
        <v>Hotel</v>
      </c>
      <c r="B109" s="7"/>
      <c r="C109" s="451">
        <f>'Summary Board'!C103</f>
        <v>221.28899999999999</v>
      </c>
      <c r="D109" s="312">
        <f t="shared" si="11"/>
        <v>44.257800000000003</v>
      </c>
      <c r="E109" s="313">
        <f t="shared" si="9"/>
        <v>8.8515599999999992</v>
      </c>
      <c r="F109" s="311">
        <f t="shared" si="10"/>
        <v>274.39835999999997</v>
      </c>
      <c r="I109" s="599" t="s">
        <v>265</v>
      </c>
      <c r="J109" s="588"/>
      <c r="K109" s="600">
        <v>1.7000000000000001E-2</v>
      </c>
      <c r="L109" s="601" t="s">
        <v>371</v>
      </c>
      <c r="M109" s="602"/>
      <c r="N109" s="603"/>
    </row>
    <row r="110" spans="1:14" ht="17" thickBot="1" x14ac:dyDescent="0.25">
      <c r="A110" s="246" t="str">
        <f>'Summary Board'!A104</f>
        <v>Structured Parking</v>
      </c>
      <c r="B110" s="7"/>
      <c r="C110" s="451">
        <f>'Summary Board'!C104</f>
        <v>81.498000000000005</v>
      </c>
      <c r="D110" s="312">
        <f t="shared" si="11"/>
        <v>16.299600000000002</v>
      </c>
      <c r="E110" s="313">
        <f>C110*0.04</f>
        <v>3.2599200000000002</v>
      </c>
      <c r="F110" s="311">
        <f t="shared" si="10"/>
        <v>101.05752</v>
      </c>
      <c r="I110" s="599" t="s">
        <v>320</v>
      </c>
      <c r="J110" s="588"/>
      <c r="K110" s="604">
        <v>2.16</v>
      </c>
      <c r="L110" s="605" t="s">
        <v>399</v>
      </c>
      <c r="M110" s="606"/>
      <c r="N110" s="607"/>
    </row>
    <row r="111" spans="1:14" ht="15" customHeight="1" thickBot="1" x14ac:dyDescent="0.25">
      <c r="A111" s="286" t="str">
        <f>'Summary Board'!A105</f>
        <v>Warehouse</v>
      </c>
      <c r="B111" s="297"/>
      <c r="C111" s="567">
        <f>'Summary Board'!C105</f>
        <v>150.6234</v>
      </c>
      <c r="D111" s="314">
        <f t="shared" si="11"/>
        <v>30.124680000000001</v>
      </c>
      <c r="E111" s="315">
        <f>C111*0.04</f>
        <v>6.0249360000000003</v>
      </c>
      <c r="F111" s="316">
        <f t="shared" si="10"/>
        <v>186.77301600000001</v>
      </c>
      <c r="I111" s="593" t="s">
        <v>266</v>
      </c>
      <c r="J111" s="594"/>
      <c r="K111" s="595">
        <v>728.28</v>
      </c>
      <c r="L111" s="1434" t="s">
        <v>374</v>
      </c>
      <c r="M111" s="1435"/>
      <c r="N111" s="1436"/>
    </row>
    <row r="112" spans="1:14" x14ac:dyDescent="0.2">
      <c r="A112" s="317" t="s">
        <v>290</v>
      </c>
      <c r="I112" s="582"/>
      <c r="J112" s="583"/>
      <c r="K112" s="583"/>
      <c r="L112" s="1422"/>
      <c r="M112" s="1423"/>
      <c r="N112" s="1424"/>
    </row>
    <row r="113" spans="1:14" ht="17" thickBot="1" x14ac:dyDescent="0.25">
      <c r="A113" s="18" t="s">
        <v>338</v>
      </c>
      <c r="I113" s="599"/>
      <c r="J113" s="588"/>
      <c r="K113" s="588"/>
      <c r="L113" s="1425"/>
      <c r="M113" s="1426"/>
      <c r="N113" s="1427"/>
    </row>
    <row r="114" spans="1:14" ht="17" thickBot="1" x14ac:dyDescent="0.25">
      <c r="A114" s="18" t="s">
        <v>259</v>
      </c>
      <c r="I114" s="608" t="s">
        <v>329</v>
      </c>
      <c r="J114" s="609"/>
      <c r="K114" s="610">
        <v>393.27</v>
      </c>
      <c r="L114" s="605" t="s">
        <v>399</v>
      </c>
      <c r="M114" s="606"/>
      <c r="N114" s="607"/>
    </row>
    <row r="115" spans="1:14" x14ac:dyDescent="0.2">
      <c r="A115" s="321" t="s">
        <v>529</v>
      </c>
      <c r="B115" s="321"/>
      <c r="C115" s="321"/>
      <c r="D115" s="321"/>
      <c r="E115" s="321"/>
      <c r="F115" s="321"/>
      <c r="I115" s="582" t="s">
        <v>267</v>
      </c>
      <c r="J115" s="583"/>
      <c r="K115" s="595">
        <v>45</v>
      </c>
      <c r="L115" s="1434" t="s">
        <v>410</v>
      </c>
      <c r="M115" s="1435"/>
      <c r="N115" s="1436"/>
    </row>
    <row r="116" spans="1:14" ht="17" thickBot="1" x14ac:dyDescent="0.25">
      <c r="I116" s="599"/>
      <c r="J116" s="588"/>
      <c r="K116" s="588"/>
      <c r="L116" s="1437"/>
      <c r="M116" s="1438"/>
      <c r="N116" s="1439"/>
    </row>
    <row r="117" spans="1:14" ht="17" thickBot="1" x14ac:dyDescent="0.25">
      <c r="I117" s="599" t="s">
        <v>198</v>
      </c>
      <c r="J117" s="588"/>
      <c r="K117" s="600">
        <v>4.1000000000000002E-2</v>
      </c>
      <c r="L117" s="611" t="s">
        <v>410</v>
      </c>
      <c r="M117" s="612"/>
      <c r="N117" s="603"/>
    </row>
    <row r="118" spans="1:14" ht="17" thickBot="1" x14ac:dyDescent="0.25">
      <c r="B118" s="1410" t="s">
        <v>213</v>
      </c>
      <c r="C118" s="1411"/>
      <c r="D118" s="1411"/>
      <c r="E118" s="1411"/>
      <c r="F118" s="1412"/>
      <c r="I118" s="582" t="s">
        <v>268</v>
      </c>
      <c r="J118" s="583"/>
      <c r="K118" s="595">
        <v>19.63</v>
      </c>
      <c r="L118" s="1413" t="s">
        <v>387</v>
      </c>
      <c r="M118" s="1414"/>
      <c r="N118" s="1415"/>
    </row>
    <row r="119" spans="1:14" x14ac:dyDescent="0.2">
      <c r="B119" s="322"/>
      <c r="C119" s="304" t="s">
        <v>360</v>
      </c>
      <c r="D119" s="304" t="s">
        <v>204</v>
      </c>
      <c r="E119" s="323" t="s">
        <v>205</v>
      </c>
      <c r="F119" s="305" t="s">
        <v>183</v>
      </c>
      <c r="I119" s="582" t="s">
        <v>269</v>
      </c>
      <c r="J119" s="583"/>
      <c r="K119" s="613">
        <v>38</v>
      </c>
      <c r="L119" s="1416"/>
      <c r="M119" s="1417"/>
      <c r="N119" s="1418"/>
    </row>
    <row r="120" spans="1:14" ht="15" customHeight="1" thickBot="1" x14ac:dyDescent="0.25">
      <c r="B120" s="306" t="s">
        <v>201</v>
      </c>
      <c r="C120" s="307" t="s">
        <v>203</v>
      </c>
      <c r="D120" s="307" t="s">
        <v>183</v>
      </c>
      <c r="E120" s="324" t="s">
        <v>98</v>
      </c>
      <c r="F120" s="308" t="s">
        <v>187</v>
      </c>
      <c r="G120" s="380"/>
      <c r="I120" s="582" t="s">
        <v>270</v>
      </c>
      <c r="J120" s="583"/>
      <c r="K120" s="613">
        <v>17</v>
      </c>
      <c r="L120" s="1416"/>
      <c r="M120" s="1417"/>
      <c r="N120" s="1418"/>
    </row>
    <row r="121" spans="1:14" ht="17" thickBot="1" x14ac:dyDescent="0.25">
      <c r="B121" s="325" t="str">
        <f>'Summary Board'!B115</f>
        <v>A</v>
      </c>
      <c r="C121" s="326" t="str">
        <f>'Summary Board'!C115</f>
        <v>Own</v>
      </c>
      <c r="D121" s="383">
        <f>'Summary Board'!D115</f>
        <v>89621383.650000006</v>
      </c>
      <c r="E121" s="466">
        <f>'Summary Board'!E115</f>
        <v>488001</v>
      </c>
      <c r="F121" s="327">
        <f>D121/E121</f>
        <v>183.65</v>
      </c>
      <c r="G121" s="381"/>
      <c r="I121" s="599" t="s">
        <v>199</v>
      </c>
      <c r="J121" s="588"/>
      <c r="K121" s="614">
        <v>0.04</v>
      </c>
      <c r="L121" s="1428"/>
      <c r="M121" s="1429"/>
      <c r="N121" s="1430"/>
    </row>
    <row r="122" spans="1:14" x14ac:dyDescent="0.2">
      <c r="B122" s="325" t="str">
        <f>'Summary Board'!B116</f>
        <v>B</v>
      </c>
      <c r="C122" s="326" t="str">
        <f>'Summary Board'!C116</f>
        <v>Purchased</v>
      </c>
      <c r="D122" s="383">
        <f>'Summary Board'!D116</f>
        <v>30465514.850000001</v>
      </c>
      <c r="E122" s="466">
        <f>'Summary Board'!E116</f>
        <v>165889</v>
      </c>
      <c r="F122" s="328">
        <f>D122/E122</f>
        <v>183.65</v>
      </c>
      <c r="G122" s="381"/>
      <c r="I122" s="582" t="s">
        <v>271</v>
      </c>
      <c r="J122" s="583"/>
      <c r="K122" s="595">
        <v>237</v>
      </c>
      <c r="L122" s="1419" t="s">
        <v>408</v>
      </c>
      <c r="M122" s="1420"/>
      <c r="N122" s="1421"/>
    </row>
    <row r="123" spans="1:14" x14ac:dyDescent="0.2">
      <c r="B123" s="325" t="str">
        <f>'Summary Board'!B117</f>
        <v>C</v>
      </c>
      <c r="C123" s="326" t="str">
        <f>'Summary Board'!C117</f>
        <v>Purchased</v>
      </c>
      <c r="D123" s="383">
        <f>'Summary Board'!D117</f>
        <v>15806939.15</v>
      </c>
      <c r="E123" s="466">
        <f>'Summary Board'!E117</f>
        <v>86071</v>
      </c>
      <c r="F123" s="328">
        <f>D123/E123</f>
        <v>183.65</v>
      </c>
      <c r="G123" s="383"/>
      <c r="I123" s="585" t="s">
        <v>272</v>
      </c>
      <c r="J123" s="581"/>
      <c r="K123" s="615">
        <v>0.78</v>
      </c>
      <c r="L123" s="1422"/>
      <c r="M123" s="1423"/>
      <c r="N123" s="1424"/>
    </row>
    <row r="124" spans="1:14" ht="17" thickBot="1" x14ac:dyDescent="0.25">
      <c r="B124" s="325" t="str">
        <f>'Summary Board'!B118</f>
        <v>D</v>
      </c>
      <c r="C124" s="326" t="str">
        <f>'Summary Board'!C118</f>
        <v>Purchased</v>
      </c>
      <c r="D124" s="383">
        <f>'Summary Board'!D118</f>
        <v>22620905.100000001</v>
      </c>
      <c r="E124" s="466">
        <f>'Summary Board'!E118</f>
        <v>123174</v>
      </c>
      <c r="F124" s="328">
        <f>D124/E124</f>
        <v>183.65</v>
      </c>
      <c r="G124" s="384"/>
      <c r="I124" s="611" t="s">
        <v>273</v>
      </c>
      <c r="J124" s="612"/>
      <c r="K124" s="616">
        <v>0.25900000000000001</v>
      </c>
      <c r="L124" s="1425"/>
      <c r="M124" s="1426"/>
      <c r="N124" s="1427"/>
    </row>
    <row r="125" spans="1:14" ht="17" thickBot="1" x14ac:dyDescent="0.25">
      <c r="B125" s="306" t="s">
        <v>32</v>
      </c>
      <c r="C125" s="329"/>
      <c r="D125" s="330">
        <f>'Summary Board'!D119</f>
        <v>158514742.75</v>
      </c>
      <c r="E125" s="331">
        <f>'Summary Board'!E119</f>
        <v>863135</v>
      </c>
      <c r="F125" s="333">
        <f>K149/E125</f>
        <v>0</v>
      </c>
      <c r="G125" s="384"/>
      <c r="I125" s="585" t="s">
        <v>295</v>
      </c>
      <c r="J125" s="581"/>
      <c r="K125" s="617">
        <v>6.15</v>
      </c>
      <c r="L125" s="585" t="s">
        <v>391</v>
      </c>
      <c r="M125" s="628"/>
      <c r="N125" s="586"/>
    </row>
    <row r="126" spans="1:14" ht="17" thickBot="1" x14ac:dyDescent="0.25">
      <c r="B126" s="375"/>
      <c r="C126" s="376"/>
      <c r="D126" s="467"/>
      <c r="E126" s="468"/>
      <c r="F126" s="468"/>
      <c r="G126" s="384"/>
      <c r="I126" s="611" t="s">
        <v>200</v>
      </c>
      <c r="J126" s="612"/>
      <c r="K126" s="618">
        <v>0.01</v>
      </c>
      <c r="L126" s="612"/>
      <c r="M126" s="612"/>
      <c r="N126" s="603"/>
    </row>
    <row r="127" spans="1:14" x14ac:dyDescent="0.2">
      <c r="B127" s="375"/>
      <c r="C127" s="376"/>
      <c r="D127" s="467"/>
      <c r="E127" s="468"/>
      <c r="F127" s="468"/>
      <c r="G127" s="382"/>
      <c r="H127" s="380"/>
      <c r="I127" s="605" t="s">
        <v>322</v>
      </c>
      <c r="J127" s="606"/>
      <c r="K127" s="619">
        <v>200</v>
      </c>
      <c r="L127" s="585" t="s">
        <v>392</v>
      </c>
      <c r="M127" s="581"/>
      <c r="N127" s="586"/>
    </row>
    <row r="128" spans="1:14" ht="17" thickBot="1" x14ac:dyDescent="0.25">
      <c r="B128" s="35"/>
      <c r="C128" s="47"/>
      <c r="D128" s="469"/>
      <c r="E128" s="470"/>
      <c r="F128" s="470"/>
      <c r="G128" s="334"/>
      <c r="H128" s="381"/>
      <c r="I128" s="611" t="s">
        <v>324</v>
      </c>
      <c r="J128" s="612"/>
      <c r="K128" s="620">
        <v>5</v>
      </c>
      <c r="L128" s="581"/>
      <c r="M128" s="581"/>
      <c r="N128" s="586"/>
    </row>
    <row r="129" spans="2:14" ht="17" thickBot="1" x14ac:dyDescent="0.25">
      <c r="B129" s="568" t="s">
        <v>209</v>
      </c>
      <c r="C129" s="569"/>
      <c r="D129" s="570"/>
      <c r="E129" s="571"/>
      <c r="F129" s="572"/>
      <c r="G129" s="334"/>
      <c r="H129" s="381"/>
      <c r="I129" s="585" t="s">
        <v>274</v>
      </c>
      <c r="J129" s="581"/>
      <c r="K129" s="621">
        <v>3.7499999999999999E-2</v>
      </c>
      <c r="L129" s="1413" t="s">
        <v>371</v>
      </c>
      <c r="M129" s="1414"/>
      <c r="N129" s="1415"/>
    </row>
    <row r="130" spans="2:14" x14ac:dyDescent="0.2">
      <c r="B130" s="377" t="str">
        <f>'Summary Board'!B124</f>
        <v>Total Demo SF</v>
      </c>
      <c r="C130" s="378"/>
      <c r="D130" s="476"/>
      <c r="E130" s="477"/>
      <c r="F130" s="478">
        <f>'Summary Board'!F124</f>
        <v>863135</v>
      </c>
      <c r="G130" s="469"/>
      <c r="H130" s="383"/>
      <c r="I130" s="585" t="s">
        <v>275</v>
      </c>
      <c r="J130" s="581"/>
      <c r="K130" s="621">
        <v>4.4999999999999998E-2</v>
      </c>
      <c r="L130" s="1416"/>
      <c r="M130" s="1417"/>
      <c r="N130" s="1418"/>
    </row>
    <row r="131" spans="2:14" x14ac:dyDescent="0.2">
      <c r="B131" s="336"/>
      <c r="C131" s="337"/>
      <c r="D131" s="337"/>
      <c r="E131" s="337"/>
      <c r="F131" s="479"/>
      <c r="H131" s="384"/>
      <c r="I131" s="585" t="s">
        <v>276</v>
      </c>
      <c r="J131" s="581"/>
      <c r="K131" s="621">
        <v>5.6000000000000001E-2</v>
      </c>
      <c r="L131" s="1416"/>
      <c r="M131" s="1417"/>
      <c r="N131" s="1418"/>
    </row>
    <row r="132" spans="2:14" x14ac:dyDescent="0.2">
      <c r="B132" s="338" t="s">
        <v>210</v>
      </c>
      <c r="C132" s="339"/>
      <c r="D132" s="339"/>
      <c r="E132" s="339"/>
      <c r="F132" s="340">
        <f>SUM(F130:F131)</f>
        <v>863135</v>
      </c>
      <c r="H132" s="384"/>
      <c r="I132" s="585" t="s">
        <v>277</v>
      </c>
      <c r="J132" s="581"/>
      <c r="K132" s="621">
        <v>5.7500000000000002E-2</v>
      </c>
      <c r="L132" s="1416"/>
      <c r="M132" s="1417"/>
      <c r="N132" s="1418"/>
    </row>
    <row r="133" spans="2:14" x14ac:dyDescent="0.2">
      <c r="B133" s="336" t="s">
        <v>530</v>
      </c>
      <c r="C133" s="337"/>
      <c r="D133" s="337"/>
      <c r="E133" s="342"/>
      <c r="F133" s="576">
        <v>4</v>
      </c>
      <c r="H133" s="384"/>
      <c r="I133" s="585" t="s">
        <v>294</v>
      </c>
      <c r="J133" s="581"/>
      <c r="K133" s="621">
        <v>5.5E-2</v>
      </c>
      <c r="L133" s="622"/>
      <c r="M133" s="622"/>
      <c r="N133" s="623"/>
    </row>
    <row r="134" spans="2:14" ht="17" thickBot="1" x14ac:dyDescent="0.25">
      <c r="B134" s="306" t="s">
        <v>531</v>
      </c>
      <c r="C134" s="341"/>
      <c r="D134" s="341"/>
      <c r="E134" s="341"/>
      <c r="F134" s="577">
        <f>F132*F133</f>
        <v>3452540</v>
      </c>
      <c r="H134" s="382"/>
      <c r="I134" s="611" t="s">
        <v>278</v>
      </c>
      <c r="J134" s="612"/>
      <c r="K134" s="627">
        <v>0.1</v>
      </c>
      <c r="L134" s="612"/>
      <c r="M134" s="612"/>
      <c r="N134" s="603"/>
    </row>
    <row r="135" spans="2:14" x14ac:dyDescent="0.2">
      <c r="B135" s="317" t="s">
        <v>364</v>
      </c>
      <c r="C135" s="317"/>
      <c r="D135" s="317"/>
      <c r="E135" s="317"/>
      <c r="F135" s="317"/>
      <c r="H135" s="334"/>
      <c r="I135" s="580"/>
      <c r="J135" s="580"/>
      <c r="K135" s="580"/>
      <c r="L135" s="580"/>
      <c r="M135" s="580"/>
      <c r="N135" s="580"/>
    </row>
    <row r="136" spans="2:14" ht="16" customHeight="1" x14ac:dyDescent="0.2">
      <c r="B136" s="18" t="s">
        <v>532</v>
      </c>
      <c r="H136" s="334"/>
      <c r="I136" s="1407" t="s">
        <v>365</v>
      </c>
      <c r="J136" s="1407"/>
      <c r="K136" s="1407"/>
      <c r="L136" s="1407"/>
      <c r="M136" s="1407"/>
      <c r="N136" s="1407"/>
    </row>
    <row r="137" spans="2:14" x14ac:dyDescent="0.2">
      <c r="G137" s="35"/>
      <c r="H137" s="469"/>
      <c r="I137" s="1407"/>
      <c r="J137" s="1407"/>
      <c r="K137" s="1407"/>
      <c r="L137" s="1407"/>
      <c r="M137" s="1407"/>
      <c r="N137" s="1407"/>
    </row>
    <row r="138" spans="2:14" x14ac:dyDescent="0.2">
      <c r="H138" s="469"/>
      <c r="I138" s="7"/>
      <c r="J138" s="7"/>
      <c r="K138" s="7"/>
      <c r="L138" s="7"/>
      <c r="M138" s="7"/>
      <c r="N138" s="7"/>
    </row>
    <row r="139" spans="2:14" x14ac:dyDescent="0.2">
      <c r="H139" s="469"/>
    </row>
    <row r="140" spans="2:14" x14ac:dyDescent="0.2">
      <c r="H140" s="35"/>
    </row>
    <row r="141" spans="2:14" x14ac:dyDescent="0.2">
      <c r="H141" s="35"/>
      <c r="I141" s="380"/>
      <c r="J141" s="380"/>
      <c r="K141" s="380"/>
      <c r="L141" s="380"/>
      <c r="M141" s="7"/>
    </row>
    <row r="142" spans="2:14" x14ac:dyDescent="0.2">
      <c r="H142" s="35"/>
      <c r="I142" s="381"/>
      <c r="J142" s="381"/>
      <c r="K142" s="381"/>
      <c r="L142" s="7"/>
    </row>
    <row r="143" spans="2:14" x14ac:dyDescent="0.2">
      <c r="H143" s="35"/>
      <c r="I143" s="381"/>
      <c r="J143" s="381"/>
      <c r="K143" s="381"/>
      <c r="L143" s="7"/>
    </row>
    <row r="144" spans="2:14" x14ac:dyDescent="0.2">
      <c r="H144" s="35"/>
      <c r="I144" s="383"/>
      <c r="J144" s="383"/>
      <c r="K144" s="383"/>
      <c r="L144" s="7"/>
    </row>
    <row r="145" spans="9:12" x14ac:dyDescent="0.2">
      <c r="I145" s="384"/>
      <c r="J145" s="384"/>
      <c r="K145" s="384"/>
      <c r="L145" s="7"/>
    </row>
    <row r="146" spans="9:12" x14ac:dyDescent="0.2">
      <c r="I146" s="384"/>
      <c r="J146" s="384"/>
      <c r="K146" s="384"/>
      <c r="L146" s="7"/>
    </row>
    <row r="147" spans="9:12" x14ac:dyDescent="0.2">
      <c r="I147" s="384"/>
      <c r="J147" s="384"/>
      <c r="K147" s="384"/>
      <c r="L147" s="7"/>
    </row>
    <row r="148" spans="9:12" x14ac:dyDescent="0.2">
      <c r="I148" s="384"/>
      <c r="J148" s="384"/>
      <c r="K148" s="384"/>
      <c r="L148" s="7"/>
    </row>
    <row r="149" spans="9:12" x14ac:dyDescent="0.2">
      <c r="I149" s="382"/>
      <c r="J149" s="382"/>
      <c r="K149" s="382"/>
      <c r="L149" s="7"/>
    </row>
    <row r="150" spans="9:12" x14ac:dyDescent="0.2">
      <c r="I150" s="334"/>
      <c r="J150" s="334"/>
      <c r="K150" s="334"/>
      <c r="L150" s="335"/>
    </row>
    <row r="151" spans="9:12" x14ac:dyDescent="0.2">
      <c r="I151" s="334"/>
      <c r="J151" s="334"/>
      <c r="K151" s="334"/>
      <c r="L151" s="335"/>
    </row>
    <row r="152" spans="9:12" x14ac:dyDescent="0.2">
      <c r="I152" s="469"/>
      <c r="J152" s="469"/>
      <c r="K152" s="469"/>
      <c r="L152" s="481"/>
    </row>
    <row r="153" spans="9:12" x14ac:dyDescent="0.2">
      <c r="I153" s="469"/>
      <c r="J153" s="469"/>
      <c r="K153" s="469"/>
      <c r="L153" s="481"/>
    </row>
    <row r="154" spans="9:12" x14ac:dyDescent="0.2">
      <c r="I154" s="469"/>
      <c r="J154" s="469"/>
      <c r="K154" s="469"/>
      <c r="L154" s="481"/>
    </row>
    <row r="155" spans="9:12" x14ac:dyDescent="0.2">
      <c r="I155" s="35"/>
      <c r="J155" s="35"/>
      <c r="K155" s="35"/>
      <c r="L155" s="35"/>
    </row>
    <row r="156" spans="9:12" x14ac:dyDescent="0.2">
      <c r="I156" s="35"/>
      <c r="J156" s="35"/>
      <c r="K156" s="35"/>
      <c r="L156" s="35"/>
    </row>
    <row r="157" spans="9:12" x14ac:dyDescent="0.2">
      <c r="I157" s="35"/>
      <c r="J157" s="35"/>
      <c r="K157" s="35"/>
      <c r="L157" s="35"/>
    </row>
    <row r="158" spans="9:12" x14ac:dyDescent="0.2">
      <c r="I158" s="35"/>
      <c r="J158" s="35"/>
      <c r="K158" s="35"/>
      <c r="L158" s="35"/>
    </row>
    <row r="159" spans="9:12" x14ac:dyDescent="0.2">
      <c r="I159" s="35"/>
      <c r="J159" s="35"/>
      <c r="K159" s="35"/>
      <c r="L159" s="35"/>
    </row>
  </sheetData>
  <mergeCells count="12">
    <mergeCell ref="I136:N137"/>
    <mergeCell ref="A7:N7"/>
    <mergeCell ref="A1:N6"/>
    <mergeCell ref="B118:F118"/>
    <mergeCell ref="L129:N132"/>
    <mergeCell ref="L122:N124"/>
    <mergeCell ref="L118:N121"/>
    <mergeCell ref="I93:N94"/>
    <mergeCell ref="I96:N97"/>
    <mergeCell ref="L107:N107"/>
    <mergeCell ref="L115:N116"/>
    <mergeCell ref="L111:N113"/>
  </mergeCells>
  <phoneticPr fontId="3" type="noConversion"/>
  <pageMargins left="0.2" right="0.25" top="0.75" bottom="0.75" header="0.3" footer="0.3"/>
  <pageSetup scale="29" orientation="portrait" r:id="rId1"/>
  <headerFooter alignWithMargins="0">
    <oddHeader xml:space="preserve">&amp;L&amp;"Arial,Bold"2013 ULI Hines Student Urban Design Competition&amp;RTeam &amp;A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3"/>
  <sheetViews>
    <sheetView view="pageBreakPreview" zoomScale="85" zoomScaleNormal="85" zoomScaleSheetLayoutView="85" zoomScalePageLayoutView="85" workbookViewId="0">
      <selection activeCell="B5" sqref="B5"/>
    </sheetView>
  </sheetViews>
  <sheetFormatPr baseColWidth="10" defaultColWidth="10" defaultRowHeight="13" x14ac:dyDescent="0.15"/>
  <cols>
    <col min="1" max="1" width="31" style="185" customWidth="1"/>
    <col min="2" max="2" width="19" style="185" customWidth="1"/>
    <col min="3" max="3" width="19" style="204" customWidth="1"/>
    <col min="4" max="5" width="19" style="185" customWidth="1"/>
    <col min="6" max="16384" width="10" style="185"/>
  </cols>
  <sheetData>
    <row r="1" spans="1:5" s="35" customFormat="1" x14ac:dyDescent="0.15">
      <c r="A1" s="40" t="s">
        <v>82</v>
      </c>
      <c r="B1" s="41"/>
      <c r="C1" s="41"/>
      <c r="D1" s="41"/>
      <c r="E1" s="42"/>
    </row>
    <row r="2" spans="1:5" s="35" customFormat="1" ht="14" thickBot="1" x14ac:dyDescent="0.2">
      <c r="A2" s="43" t="s">
        <v>127</v>
      </c>
      <c r="B2" s="44"/>
      <c r="C2" s="44"/>
      <c r="D2" s="44"/>
      <c r="E2" s="45"/>
    </row>
    <row r="3" spans="1:5" s="35" customFormat="1" ht="12.75" customHeight="1" x14ac:dyDescent="0.15">
      <c r="A3" s="355"/>
      <c r="B3" s="356" t="s">
        <v>128</v>
      </c>
      <c r="C3" s="186" t="s">
        <v>129</v>
      </c>
      <c r="D3" s="186" t="s">
        <v>130</v>
      </c>
      <c r="E3" s="187" t="s">
        <v>32</v>
      </c>
    </row>
    <row r="4" spans="1:5" s="35" customFormat="1" ht="16" thickBot="1" x14ac:dyDescent="0.2">
      <c r="A4" s="70" t="s">
        <v>131</v>
      </c>
      <c r="B4" s="79" t="s">
        <v>132</v>
      </c>
      <c r="C4" s="79" t="s">
        <v>133</v>
      </c>
      <c r="D4" s="79" t="s">
        <v>134</v>
      </c>
      <c r="E4" s="188" t="s">
        <v>133</v>
      </c>
    </row>
    <row r="5" spans="1:5" s="35" customFormat="1" x14ac:dyDescent="0.15">
      <c r="A5" s="49" t="s">
        <v>135</v>
      </c>
      <c r="B5" s="189">
        <v>122</v>
      </c>
      <c r="C5" s="190">
        <f t="shared" ref="C5:C29" si="0">B5*$B$33</f>
        <v>24.400000000000002</v>
      </c>
      <c r="D5" s="191">
        <f t="shared" ref="D5:D29" si="1">B5*$B$34</f>
        <v>4.88</v>
      </c>
      <c r="E5" s="192">
        <f>SUM(B5:D5)</f>
        <v>151.28</v>
      </c>
    </row>
    <row r="6" spans="1:5" s="35" customFormat="1" x14ac:dyDescent="0.15">
      <c r="A6" s="49" t="s">
        <v>136</v>
      </c>
      <c r="B6" s="193">
        <v>139.76</v>
      </c>
      <c r="C6" s="194">
        <f t="shared" si="0"/>
        <v>27.951999999999998</v>
      </c>
      <c r="D6" s="195">
        <f t="shared" si="1"/>
        <v>5.5903999999999998</v>
      </c>
      <c r="E6" s="196">
        <f t="shared" ref="E6:E29" si="2">SUM(B6:D6)</f>
        <v>173.30239999999998</v>
      </c>
    </row>
    <row r="7" spans="1:5" s="35" customFormat="1" x14ac:dyDescent="0.15">
      <c r="A7" s="49" t="s">
        <v>137</v>
      </c>
      <c r="B7" s="193">
        <v>164.86</v>
      </c>
      <c r="C7" s="194">
        <f t="shared" si="0"/>
        <v>32.972000000000001</v>
      </c>
      <c r="D7" s="195">
        <f t="shared" si="1"/>
        <v>6.5944000000000003</v>
      </c>
      <c r="E7" s="196">
        <f t="shared" si="2"/>
        <v>204.42640000000003</v>
      </c>
    </row>
    <row r="8" spans="1:5" s="35" customFormat="1" x14ac:dyDescent="0.15">
      <c r="A8" s="49" t="s">
        <v>138</v>
      </c>
      <c r="B8" s="193">
        <v>134.1</v>
      </c>
      <c r="C8" s="194">
        <f t="shared" si="0"/>
        <v>26.82</v>
      </c>
      <c r="D8" s="195">
        <f t="shared" si="1"/>
        <v>5.3639999999999999</v>
      </c>
      <c r="E8" s="196">
        <f t="shared" si="2"/>
        <v>166.28399999999999</v>
      </c>
    </row>
    <row r="9" spans="1:5" s="35" customFormat="1" x14ac:dyDescent="0.15">
      <c r="A9" s="49" t="s">
        <v>167</v>
      </c>
      <c r="B9" s="193">
        <v>186.95</v>
      </c>
      <c r="C9" s="194">
        <f t="shared" si="0"/>
        <v>37.39</v>
      </c>
      <c r="D9" s="195">
        <f t="shared" si="1"/>
        <v>7.4779999999999998</v>
      </c>
      <c r="E9" s="196">
        <f t="shared" si="2"/>
        <v>231.81799999999998</v>
      </c>
    </row>
    <row r="10" spans="1:5" s="35" customFormat="1" x14ac:dyDescent="0.15">
      <c r="A10" s="49" t="s">
        <v>139</v>
      </c>
      <c r="B10" s="193">
        <v>131.75</v>
      </c>
      <c r="C10" s="194">
        <f t="shared" si="0"/>
        <v>26.35</v>
      </c>
      <c r="D10" s="195">
        <f t="shared" si="1"/>
        <v>5.2700000000000005</v>
      </c>
      <c r="E10" s="196">
        <f t="shared" si="2"/>
        <v>163.37</v>
      </c>
    </row>
    <row r="11" spans="1:5" s="35" customFormat="1" x14ac:dyDescent="0.15">
      <c r="A11" s="49" t="s">
        <v>140</v>
      </c>
      <c r="B11" s="193">
        <v>114</v>
      </c>
      <c r="C11" s="194">
        <f t="shared" si="0"/>
        <v>22.8</v>
      </c>
      <c r="D11" s="195">
        <f t="shared" si="1"/>
        <v>4.5600000000000005</v>
      </c>
      <c r="E11" s="196">
        <f t="shared" si="2"/>
        <v>141.36000000000001</v>
      </c>
    </row>
    <row r="12" spans="1:5" s="35" customFormat="1" x14ac:dyDescent="0.15">
      <c r="A12" s="49" t="s">
        <v>141</v>
      </c>
      <c r="B12" s="193">
        <v>132.15</v>
      </c>
      <c r="C12" s="194">
        <f t="shared" si="0"/>
        <v>26.430000000000003</v>
      </c>
      <c r="D12" s="195">
        <f t="shared" si="1"/>
        <v>5.2860000000000005</v>
      </c>
      <c r="E12" s="196">
        <f t="shared" si="2"/>
        <v>163.86600000000001</v>
      </c>
    </row>
    <row r="13" spans="1:5" s="35" customFormat="1" x14ac:dyDescent="0.15">
      <c r="A13" s="49" t="s">
        <v>142</v>
      </c>
      <c r="B13" s="193">
        <v>94.87</v>
      </c>
      <c r="C13" s="194">
        <f t="shared" si="0"/>
        <v>18.974</v>
      </c>
      <c r="D13" s="195">
        <f t="shared" si="1"/>
        <v>3.7948000000000004</v>
      </c>
      <c r="E13" s="196">
        <f t="shared" si="2"/>
        <v>117.6388</v>
      </c>
    </row>
    <row r="14" spans="1:5" s="35" customFormat="1" x14ac:dyDescent="0.15">
      <c r="A14" s="49" t="s">
        <v>168</v>
      </c>
      <c r="B14" s="193">
        <v>117.77</v>
      </c>
      <c r="C14" s="194">
        <f t="shared" si="0"/>
        <v>23.554000000000002</v>
      </c>
      <c r="D14" s="195">
        <f t="shared" si="1"/>
        <v>4.7107999999999999</v>
      </c>
      <c r="E14" s="196">
        <f t="shared" si="2"/>
        <v>146.03480000000002</v>
      </c>
    </row>
    <row r="15" spans="1:5" s="35" customFormat="1" x14ac:dyDescent="0.15">
      <c r="A15" s="49" t="s">
        <v>143</v>
      </c>
      <c r="B15" s="193">
        <v>150.63999999999999</v>
      </c>
      <c r="C15" s="194">
        <f t="shared" si="0"/>
        <v>30.128</v>
      </c>
      <c r="D15" s="195">
        <f t="shared" si="1"/>
        <v>6.0255999999999998</v>
      </c>
      <c r="E15" s="196">
        <f t="shared" si="2"/>
        <v>186.79359999999997</v>
      </c>
    </row>
    <row r="16" spans="1:5" s="35" customFormat="1" x14ac:dyDescent="0.15">
      <c r="A16" s="49" t="s">
        <v>144</v>
      </c>
      <c r="B16" s="193">
        <v>146.47</v>
      </c>
      <c r="C16" s="194">
        <f t="shared" si="0"/>
        <v>29.294</v>
      </c>
      <c r="D16" s="195">
        <f t="shared" si="1"/>
        <v>5.8588000000000005</v>
      </c>
      <c r="E16" s="196">
        <f t="shared" si="2"/>
        <v>181.62280000000001</v>
      </c>
    </row>
    <row r="17" spans="1:6" s="35" customFormat="1" x14ac:dyDescent="0.15">
      <c r="A17" s="49" t="s">
        <v>145</v>
      </c>
      <c r="B17" s="193">
        <v>135.13999999999999</v>
      </c>
      <c r="C17" s="194">
        <f t="shared" si="0"/>
        <v>27.027999999999999</v>
      </c>
      <c r="D17" s="195">
        <f t="shared" si="1"/>
        <v>5.4055999999999997</v>
      </c>
      <c r="E17" s="196">
        <f t="shared" si="2"/>
        <v>167.57359999999997</v>
      </c>
    </row>
    <row r="18" spans="1:6" s="35" customFormat="1" x14ac:dyDescent="0.15">
      <c r="A18" s="49" t="s">
        <v>146</v>
      </c>
      <c r="B18" s="193">
        <v>186.71</v>
      </c>
      <c r="C18" s="194">
        <f t="shared" si="0"/>
        <v>37.342000000000006</v>
      </c>
      <c r="D18" s="195">
        <f t="shared" si="1"/>
        <v>7.4684000000000008</v>
      </c>
      <c r="E18" s="196">
        <f t="shared" si="2"/>
        <v>231.52040000000002</v>
      </c>
    </row>
    <row r="19" spans="1:6" s="35" customFormat="1" x14ac:dyDescent="0.15">
      <c r="A19" s="49" t="s">
        <v>147</v>
      </c>
      <c r="B19" s="193">
        <v>137.88</v>
      </c>
      <c r="C19" s="194">
        <f t="shared" si="0"/>
        <v>27.576000000000001</v>
      </c>
      <c r="D19" s="195">
        <f t="shared" si="1"/>
        <v>5.5152000000000001</v>
      </c>
      <c r="E19" s="196">
        <f t="shared" si="2"/>
        <v>170.97119999999998</v>
      </c>
    </row>
    <row r="20" spans="1:6" s="35" customFormat="1" x14ac:dyDescent="0.15">
      <c r="A20" s="49" t="s">
        <v>148</v>
      </c>
      <c r="B20" s="193">
        <v>132.12</v>
      </c>
      <c r="C20" s="194">
        <f t="shared" si="0"/>
        <v>26.424000000000003</v>
      </c>
      <c r="D20" s="195">
        <f t="shared" si="1"/>
        <v>5.2848000000000006</v>
      </c>
      <c r="E20" s="196">
        <f t="shared" si="2"/>
        <v>163.8288</v>
      </c>
    </row>
    <row r="21" spans="1:6" s="35" customFormat="1" x14ac:dyDescent="0.15">
      <c r="A21" s="49" t="s">
        <v>149</v>
      </c>
      <c r="B21" s="193">
        <v>139.97999999999999</v>
      </c>
      <c r="C21" s="194">
        <f t="shared" si="0"/>
        <v>27.995999999999999</v>
      </c>
      <c r="D21" s="195">
        <f t="shared" si="1"/>
        <v>5.5991999999999997</v>
      </c>
      <c r="E21" s="196">
        <f t="shared" si="2"/>
        <v>173.5752</v>
      </c>
      <c r="F21" s="197"/>
    </row>
    <row r="22" spans="1:6" s="35" customFormat="1" x14ac:dyDescent="0.15">
      <c r="A22" s="49" t="s">
        <v>150</v>
      </c>
      <c r="B22" s="193">
        <v>130.96</v>
      </c>
      <c r="C22" s="194">
        <f t="shared" si="0"/>
        <v>26.192000000000004</v>
      </c>
      <c r="D22" s="195">
        <f t="shared" si="1"/>
        <v>5.2384000000000004</v>
      </c>
      <c r="E22" s="196">
        <f t="shared" si="2"/>
        <v>162.39040000000003</v>
      </c>
    </row>
    <row r="23" spans="1:6" s="35" customFormat="1" x14ac:dyDescent="0.15">
      <c r="A23" s="49" t="s">
        <v>151</v>
      </c>
      <c r="B23" s="193">
        <v>177.4</v>
      </c>
      <c r="C23" s="194">
        <f t="shared" si="0"/>
        <v>35.480000000000004</v>
      </c>
      <c r="D23" s="195">
        <f t="shared" si="1"/>
        <v>7.0960000000000001</v>
      </c>
      <c r="E23" s="196">
        <f t="shared" si="2"/>
        <v>219.976</v>
      </c>
    </row>
    <row r="24" spans="1:6" s="35" customFormat="1" x14ac:dyDescent="0.15">
      <c r="A24" s="49" t="s">
        <v>152</v>
      </c>
      <c r="B24" s="193">
        <v>168.62</v>
      </c>
      <c r="C24" s="194">
        <f t="shared" si="0"/>
        <v>33.724000000000004</v>
      </c>
      <c r="D24" s="195">
        <f t="shared" si="1"/>
        <v>6.7448000000000006</v>
      </c>
      <c r="E24" s="196">
        <f t="shared" si="2"/>
        <v>209.08879999999999</v>
      </c>
    </row>
    <row r="25" spans="1:6" s="35" customFormat="1" x14ac:dyDescent="0.15">
      <c r="A25" s="49" t="s">
        <v>153</v>
      </c>
      <c r="B25" s="193">
        <v>102.255</v>
      </c>
      <c r="C25" s="194">
        <f t="shared" si="0"/>
        <v>20.451000000000001</v>
      </c>
      <c r="D25" s="195">
        <f t="shared" si="1"/>
        <v>4.0902000000000003</v>
      </c>
      <c r="E25" s="196">
        <f t="shared" si="2"/>
        <v>126.79619999999998</v>
      </c>
    </row>
    <row r="26" spans="1:6" s="35" customFormat="1" x14ac:dyDescent="0.15">
      <c r="A26" s="49" t="s">
        <v>154</v>
      </c>
      <c r="B26" s="193">
        <v>143.02000000000001</v>
      </c>
      <c r="C26" s="194">
        <f t="shared" si="0"/>
        <v>28.604000000000003</v>
      </c>
      <c r="D26" s="195">
        <f t="shared" si="1"/>
        <v>5.7208000000000006</v>
      </c>
      <c r="E26" s="196">
        <f t="shared" si="2"/>
        <v>177.34480000000002</v>
      </c>
    </row>
    <row r="27" spans="1:6" s="35" customFormat="1" x14ac:dyDescent="0.15">
      <c r="A27" s="49" t="s">
        <v>155</v>
      </c>
      <c r="B27" s="193">
        <v>142.85</v>
      </c>
      <c r="C27" s="194">
        <f t="shared" si="0"/>
        <v>28.57</v>
      </c>
      <c r="D27" s="195">
        <f t="shared" si="1"/>
        <v>5.7139999999999995</v>
      </c>
      <c r="E27" s="196">
        <f t="shared" si="2"/>
        <v>177.13399999999999</v>
      </c>
    </row>
    <row r="28" spans="1:6" x14ac:dyDescent="0.15">
      <c r="A28" s="49" t="s">
        <v>156</v>
      </c>
      <c r="B28" s="193">
        <v>88.93</v>
      </c>
      <c r="C28" s="194">
        <f t="shared" si="0"/>
        <v>17.786000000000001</v>
      </c>
      <c r="D28" s="195">
        <f t="shared" si="1"/>
        <v>3.5572000000000004</v>
      </c>
      <c r="E28" s="196">
        <f t="shared" si="2"/>
        <v>110.2732</v>
      </c>
      <c r="F28" s="35"/>
    </row>
    <row r="29" spans="1:6" ht="14" thickBot="1" x14ac:dyDescent="0.2">
      <c r="A29" s="51" t="s">
        <v>157</v>
      </c>
      <c r="B29" s="198">
        <v>79.77</v>
      </c>
      <c r="C29" s="199">
        <f t="shared" si="0"/>
        <v>15.954000000000001</v>
      </c>
      <c r="D29" s="200">
        <f t="shared" si="1"/>
        <v>3.1907999999999999</v>
      </c>
      <c r="E29" s="201">
        <f t="shared" si="2"/>
        <v>98.914799999999985</v>
      </c>
      <c r="F29" s="35"/>
    </row>
    <row r="30" spans="1:6" x14ac:dyDescent="0.15">
      <c r="A30" s="35" t="s">
        <v>158</v>
      </c>
      <c r="B30" s="35"/>
      <c r="C30" s="47"/>
      <c r="D30" s="35"/>
      <c r="E30" s="35"/>
      <c r="F30" s="35"/>
    </row>
    <row r="31" spans="1:6" ht="14" thickBot="1" x14ac:dyDescent="0.2">
      <c r="A31" s="35"/>
      <c r="B31" s="35"/>
      <c r="C31" s="47"/>
      <c r="D31" s="35"/>
      <c r="E31" s="35"/>
      <c r="F31" s="35"/>
    </row>
    <row r="32" spans="1:6" ht="14" thickBot="1" x14ac:dyDescent="0.2">
      <c r="A32" s="74" t="s">
        <v>15</v>
      </c>
      <c r="B32" s="75"/>
      <c r="C32" s="50"/>
      <c r="D32" s="53"/>
      <c r="E32" s="53"/>
      <c r="F32" s="35"/>
    </row>
    <row r="33" spans="1:6" x14ac:dyDescent="0.15">
      <c r="A33" s="49" t="s">
        <v>159</v>
      </c>
      <c r="B33" s="205">
        <v>0.2</v>
      </c>
      <c r="C33" s="50"/>
      <c r="D33" s="53"/>
      <c r="E33" s="53"/>
      <c r="F33" s="35"/>
    </row>
    <row r="34" spans="1:6" ht="14" thickBot="1" x14ac:dyDescent="0.2">
      <c r="A34" s="51" t="s">
        <v>160</v>
      </c>
      <c r="B34" s="206">
        <v>0.04</v>
      </c>
      <c r="C34" s="50"/>
      <c r="D34" s="53"/>
      <c r="E34" s="53"/>
      <c r="F34" s="35"/>
    </row>
    <row r="35" spans="1:6" ht="14" thickBot="1" x14ac:dyDescent="0.2">
      <c r="A35" s="46"/>
      <c r="B35" s="35"/>
      <c r="C35" s="47"/>
      <c r="D35" s="35"/>
      <c r="E35" s="35"/>
      <c r="F35" s="35"/>
    </row>
    <row r="36" spans="1:6" x14ac:dyDescent="0.15">
      <c r="A36" s="40" t="s">
        <v>82</v>
      </c>
      <c r="B36" s="202"/>
      <c r="C36" s="47"/>
      <c r="D36" s="35"/>
      <c r="E36" s="35"/>
      <c r="F36" s="35"/>
    </row>
    <row r="37" spans="1:6" ht="14" thickBot="1" x14ac:dyDescent="0.2">
      <c r="A37" s="43" t="s">
        <v>161</v>
      </c>
      <c r="B37" s="203"/>
      <c r="C37" s="47"/>
      <c r="D37" s="35"/>
      <c r="E37" s="35"/>
      <c r="F37" s="35"/>
    </row>
    <row r="38" spans="1:6" ht="14" thickBot="1" x14ac:dyDescent="0.2">
      <c r="A38" s="54" t="s">
        <v>162</v>
      </c>
      <c r="B38" s="55" t="s">
        <v>163</v>
      </c>
      <c r="C38" s="47"/>
      <c r="D38" s="35"/>
      <c r="E38" s="35"/>
      <c r="F38" s="35"/>
    </row>
    <row r="39" spans="1:6" x14ac:dyDescent="0.15">
      <c r="A39" s="49" t="s">
        <v>164</v>
      </c>
      <c r="B39" s="207">
        <v>35</v>
      </c>
      <c r="C39" s="47"/>
      <c r="D39" s="35"/>
      <c r="E39" s="35"/>
      <c r="F39" s="35"/>
    </row>
    <row r="40" spans="1:6" x14ac:dyDescent="0.15">
      <c r="A40" s="49" t="s">
        <v>57</v>
      </c>
      <c r="B40" s="208">
        <v>10</v>
      </c>
      <c r="C40" s="47"/>
      <c r="D40" s="35"/>
      <c r="E40" s="35"/>
      <c r="F40" s="35"/>
    </row>
    <row r="41" spans="1:6" x14ac:dyDescent="0.15">
      <c r="A41" s="49" t="s">
        <v>165</v>
      </c>
      <c r="B41" s="208">
        <v>25</v>
      </c>
      <c r="C41" s="47"/>
      <c r="D41" s="35"/>
      <c r="E41" s="35"/>
      <c r="F41" s="35"/>
    </row>
    <row r="42" spans="1:6" ht="14" thickBot="1" x14ac:dyDescent="0.2">
      <c r="A42" s="51" t="s">
        <v>166</v>
      </c>
      <c r="B42" s="209">
        <v>50</v>
      </c>
      <c r="C42" s="47"/>
      <c r="D42" s="35"/>
      <c r="E42" s="35"/>
      <c r="F42" s="35"/>
    </row>
    <row r="43" spans="1:6" x14ac:dyDescent="0.15">
      <c r="A43" s="35"/>
      <c r="B43" s="35"/>
      <c r="C43" s="47"/>
      <c r="D43" s="35"/>
      <c r="E43" s="35"/>
      <c r="F43" s="35"/>
    </row>
  </sheetData>
  <printOptions horizontalCentered="1"/>
  <pageMargins left="0.45" right="0.45" top="0.5" bottom="0.5" header="0.3" footer="0.3"/>
  <pageSetup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M39"/>
  <sheetViews>
    <sheetView zoomScale="130" zoomScaleNormal="130" zoomScalePageLayoutView="130" workbookViewId="0">
      <selection activeCell="A47" sqref="A47"/>
    </sheetView>
  </sheetViews>
  <sheetFormatPr baseColWidth="10" defaultRowHeight="13" x14ac:dyDescent="0.15"/>
  <cols>
    <col min="2" max="2" width="11.6640625" bestFit="1" customWidth="1"/>
    <col min="3" max="3" width="10.83203125" style="518"/>
    <col min="9" max="9" width="18" bestFit="1" customWidth="1"/>
    <col min="10" max="10" width="14.6640625" bestFit="1" customWidth="1"/>
    <col min="12" max="12" width="18.33203125" bestFit="1" customWidth="1"/>
    <col min="13" max="13" width="15" bestFit="1" customWidth="1"/>
  </cols>
  <sheetData>
    <row r="1" spans="1:13" ht="14" x14ac:dyDescent="0.15">
      <c r="A1" s="519" t="s">
        <v>468</v>
      </c>
      <c r="B1" s="519" t="s">
        <v>450</v>
      </c>
      <c r="C1" s="520" t="s">
        <v>475</v>
      </c>
      <c r="D1" s="519" t="s">
        <v>476</v>
      </c>
      <c r="F1" s="528" t="s">
        <v>502</v>
      </c>
      <c r="G1" s="528" t="s">
        <v>32</v>
      </c>
      <c r="H1" s="528" t="s">
        <v>503</v>
      </c>
      <c r="I1" s="528" t="s">
        <v>504</v>
      </c>
      <c r="J1" s="528" t="s">
        <v>505</v>
      </c>
      <c r="K1" s="528" t="s">
        <v>506</v>
      </c>
      <c r="L1" s="528" t="s">
        <v>507</v>
      </c>
      <c r="M1" s="528" t="s">
        <v>508</v>
      </c>
    </row>
    <row r="2" spans="1:13" x14ac:dyDescent="0.15">
      <c r="A2" s="521" t="s">
        <v>206</v>
      </c>
      <c r="B2" s="521" t="s">
        <v>67</v>
      </c>
      <c r="C2" s="522">
        <v>210336</v>
      </c>
      <c r="D2" s="521">
        <v>2</v>
      </c>
      <c r="F2" t="s">
        <v>509</v>
      </c>
      <c r="G2" s="529">
        <f>C5+C9+C13+C17+C21</f>
        <v>769387</v>
      </c>
      <c r="H2" s="530">
        <f>G2*(1/3)</f>
        <v>256462.33333333331</v>
      </c>
      <c r="I2" s="530">
        <f>H2*0.1</f>
        <v>25646.233333333334</v>
      </c>
      <c r="J2" s="530">
        <f>H2*0.9</f>
        <v>230816.09999999998</v>
      </c>
      <c r="K2" s="530">
        <f>G2*(2/3)</f>
        <v>512924.66666666663</v>
      </c>
      <c r="L2" s="530">
        <f>K2*0.1</f>
        <v>51292.466666666667</v>
      </c>
      <c r="M2" s="530">
        <f>K2*0.9</f>
        <v>461632.19999999995</v>
      </c>
    </row>
    <row r="3" spans="1:13" x14ac:dyDescent="0.15">
      <c r="A3" s="521" t="s">
        <v>206</v>
      </c>
      <c r="B3" s="521" t="s">
        <v>48</v>
      </c>
      <c r="C3" s="522">
        <v>38689</v>
      </c>
      <c r="D3" s="521">
        <v>2</v>
      </c>
      <c r="F3" t="s">
        <v>510</v>
      </c>
      <c r="G3">
        <v>0</v>
      </c>
      <c r="H3" s="530">
        <f t="shared" ref="H3:H4" si="0">G3*(1/3)</f>
        <v>0</v>
      </c>
      <c r="I3" s="530">
        <f>H3*0.2</f>
        <v>0</v>
      </c>
      <c r="J3" s="530">
        <f>H3*0.8</f>
        <v>0</v>
      </c>
      <c r="K3" s="530">
        <f t="shared" ref="K3:K4" si="1">G3*(2/3)</f>
        <v>0</v>
      </c>
      <c r="L3" s="530">
        <f>K3*0.2</f>
        <v>0</v>
      </c>
      <c r="M3" s="530">
        <f>K3*0.8</f>
        <v>0</v>
      </c>
    </row>
    <row r="4" spans="1:13" x14ac:dyDescent="0.15">
      <c r="A4" s="521" t="s">
        <v>206</v>
      </c>
      <c r="B4" s="521" t="s">
        <v>182</v>
      </c>
      <c r="C4" s="522">
        <v>38690</v>
      </c>
      <c r="D4" s="521">
        <v>2</v>
      </c>
      <c r="F4" t="s">
        <v>511</v>
      </c>
      <c r="G4" s="529">
        <f>C30</f>
        <v>191176</v>
      </c>
      <c r="H4" s="530">
        <f t="shared" si="0"/>
        <v>63725.333333333328</v>
      </c>
      <c r="I4" s="530">
        <f>H4*0.1</f>
        <v>6372.5333333333328</v>
      </c>
      <c r="J4" s="530">
        <f>H4*0.9</f>
        <v>57352.799999999996</v>
      </c>
      <c r="K4" s="530">
        <f t="shared" si="1"/>
        <v>127450.66666666666</v>
      </c>
      <c r="L4" s="530">
        <f>K4*0.1</f>
        <v>12745.066666666666</v>
      </c>
      <c r="M4" s="530">
        <f>K4*0.9</f>
        <v>114705.59999999999</v>
      </c>
    </row>
    <row r="5" spans="1:13" x14ac:dyDescent="0.15">
      <c r="A5" s="523" t="s">
        <v>207</v>
      </c>
      <c r="B5" s="523" t="s">
        <v>296</v>
      </c>
      <c r="C5" s="524">
        <v>192345</v>
      </c>
      <c r="D5" s="523">
        <v>1</v>
      </c>
      <c r="I5" s="540"/>
    </row>
    <row r="6" spans="1:13" x14ac:dyDescent="0.15">
      <c r="A6" s="523" t="s">
        <v>207</v>
      </c>
      <c r="B6" s="523" t="s">
        <v>48</v>
      </c>
      <c r="C6" s="524">
        <v>38994</v>
      </c>
      <c r="D6" s="523">
        <v>1</v>
      </c>
    </row>
    <row r="7" spans="1:13" x14ac:dyDescent="0.15">
      <c r="A7" s="523" t="s">
        <v>207</v>
      </c>
      <c r="B7" s="523" t="s">
        <v>182</v>
      </c>
      <c r="C7" s="524">
        <v>38994</v>
      </c>
      <c r="D7" s="523">
        <v>1</v>
      </c>
    </row>
    <row r="8" spans="1:13" x14ac:dyDescent="0.15">
      <c r="A8" s="523" t="s">
        <v>207</v>
      </c>
      <c r="B8" s="523" t="s">
        <v>479</v>
      </c>
      <c r="C8" s="524">
        <v>12823</v>
      </c>
      <c r="D8" s="523">
        <v>1</v>
      </c>
    </row>
    <row r="9" spans="1:13" x14ac:dyDescent="0.15">
      <c r="A9" s="523" t="s">
        <v>208</v>
      </c>
      <c r="B9" s="523" t="s">
        <v>296</v>
      </c>
      <c r="C9" s="524">
        <v>181985</v>
      </c>
      <c r="D9" s="523">
        <v>1</v>
      </c>
      <c r="J9" s="530"/>
    </row>
    <row r="10" spans="1:13" x14ac:dyDescent="0.15">
      <c r="A10" s="523" t="s">
        <v>208</v>
      </c>
      <c r="B10" s="523" t="s">
        <v>48</v>
      </c>
      <c r="C10" s="524">
        <v>21162</v>
      </c>
      <c r="D10" s="523">
        <v>1</v>
      </c>
    </row>
    <row r="11" spans="1:13" x14ac:dyDescent="0.15">
      <c r="A11" s="523" t="s">
        <v>208</v>
      </c>
      <c r="B11" s="523" t="s">
        <v>182</v>
      </c>
      <c r="C11" s="524">
        <v>21162</v>
      </c>
      <c r="D11" s="523">
        <v>1</v>
      </c>
    </row>
    <row r="12" spans="1:13" x14ac:dyDescent="0.15">
      <c r="A12" s="523" t="s">
        <v>208</v>
      </c>
      <c r="B12" s="523" t="s">
        <v>479</v>
      </c>
      <c r="C12" s="524">
        <v>18198</v>
      </c>
      <c r="D12" s="523">
        <v>1</v>
      </c>
    </row>
    <row r="13" spans="1:13" x14ac:dyDescent="0.15">
      <c r="A13" s="523" t="s">
        <v>469</v>
      </c>
      <c r="B13" s="523" t="s">
        <v>296</v>
      </c>
      <c r="C13" s="524">
        <v>145588</v>
      </c>
      <c r="D13" s="523">
        <v>1</v>
      </c>
    </row>
    <row r="14" spans="1:13" x14ac:dyDescent="0.15">
      <c r="A14" s="523" t="s">
        <v>469</v>
      </c>
      <c r="B14" s="523" t="s">
        <v>48</v>
      </c>
      <c r="C14" s="524">
        <v>9779</v>
      </c>
      <c r="D14" s="523">
        <v>1</v>
      </c>
    </row>
    <row r="15" spans="1:13" x14ac:dyDescent="0.15">
      <c r="A15" s="523" t="s">
        <v>469</v>
      </c>
      <c r="B15" s="523" t="s">
        <v>182</v>
      </c>
      <c r="C15" s="524">
        <v>9779</v>
      </c>
      <c r="D15" s="523">
        <v>1</v>
      </c>
    </row>
    <row r="16" spans="1:13" x14ac:dyDescent="0.15">
      <c r="A16" s="523" t="s">
        <v>469</v>
      </c>
      <c r="B16" s="523" t="s">
        <v>479</v>
      </c>
      <c r="C16" s="524">
        <v>18198</v>
      </c>
      <c r="D16" s="523">
        <v>1</v>
      </c>
    </row>
    <row r="17" spans="1:4" x14ac:dyDescent="0.15">
      <c r="A17" s="523" t="s">
        <v>363</v>
      </c>
      <c r="B17" s="523" t="s">
        <v>296</v>
      </c>
      <c r="C17" s="524">
        <v>145588</v>
      </c>
      <c r="D17" s="523">
        <v>1</v>
      </c>
    </row>
    <row r="18" spans="1:4" x14ac:dyDescent="0.15">
      <c r="A18" s="523" t="s">
        <v>363</v>
      </c>
      <c r="B18" s="523" t="s">
        <v>477</v>
      </c>
      <c r="C18" s="524">
        <v>20408</v>
      </c>
      <c r="D18" s="523">
        <v>1</v>
      </c>
    </row>
    <row r="19" spans="1:4" x14ac:dyDescent="0.15">
      <c r="A19" s="523" t="s">
        <v>363</v>
      </c>
      <c r="B19" s="523" t="s">
        <v>182</v>
      </c>
      <c r="C19" s="524">
        <v>20408</v>
      </c>
      <c r="D19" s="523">
        <v>1</v>
      </c>
    </row>
    <row r="20" spans="1:4" x14ac:dyDescent="0.15">
      <c r="A20" s="523" t="s">
        <v>363</v>
      </c>
      <c r="B20" s="523" t="s">
        <v>479</v>
      </c>
      <c r="C20" s="524">
        <v>18198</v>
      </c>
      <c r="D20" s="523">
        <v>1</v>
      </c>
    </row>
    <row r="21" spans="1:4" x14ac:dyDescent="0.15">
      <c r="A21" s="523" t="s">
        <v>470</v>
      </c>
      <c r="B21" s="523" t="s">
        <v>296</v>
      </c>
      <c r="C21" s="524">
        <f>77913+25968</f>
        <v>103881</v>
      </c>
      <c r="D21" s="523">
        <v>1</v>
      </c>
    </row>
    <row r="22" spans="1:4" x14ac:dyDescent="0.15">
      <c r="A22" s="523" t="s">
        <v>470</v>
      </c>
      <c r="B22" s="523" t="s">
        <v>478</v>
      </c>
      <c r="C22" s="524">
        <f>26338+12546</f>
        <v>38884</v>
      </c>
      <c r="D22" s="523">
        <v>1</v>
      </c>
    </row>
    <row r="23" spans="1:4" x14ac:dyDescent="0.15">
      <c r="A23" s="523" t="s">
        <v>470</v>
      </c>
      <c r="B23" s="523" t="s">
        <v>479</v>
      </c>
      <c r="C23" s="524">
        <f>8657+8656</f>
        <v>17313</v>
      </c>
      <c r="D23" s="523">
        <v>1</v>
      </c>
    </row>
    <row r="24" spans="1:4" x14ac:dyDescent="0.15">
      <c r="A24" s="521" t="s">
        <v>471</v>
      </c>
      <c r="B24" s="521" t="s">
        <v>49</v>
      </c>
      <c r="C24" s="522">
        <v>165000</v>
      </c>
      <c r="D24" s="521">
        <v>2</v>
      </c>
    </row>
    <row r="25" spans="1:4" x14ac:dyDescent="0.15">
      <c r="A25" s="521" t="s">
        <v>471</v>
      </c>
      <c r="B25" s="521" t="s">
        <v>48</v>
      </c>
      <c r="C25" s="522">
        <f>28403+28330</f>
        <v>56733</v>
      </c>
      <c r="D25" s="521">
        <v>2</v>
      </c>
    </row>
    <row r="26" spans="1:4" x14ac:dyDescent="0.15">
      <c r="A26" s="521" t="s">
        <v>471</v>
      </c>
      <c r="B26" s="521" t="s">
        <v>182</v>
      </c>
      <c r="C26" s="522">
        <f>28403+28330</f>
        <v>56733</v>
      </c>
      <c r="D26" s="521">
        <v>2</v>
      </c>
    </row>
    <row r="27" spans="1:4" x14ac:dyDescent="0.15">
      <c r="A27" s="521" t="s">
        <v>471</v>
      </c>
      <c r="B27" s="521" t="s">
        <v>479</v>
      </c>
      <c r="C27" s="522">
        <v>11083</v>
      </c>
      <c r="D27" s="521">
        <v>2</v>
      </c>
    </row>
    <row r="28" spans="1:4" x14ac:dyDescent="0.15">
      <c r="A28" s="525" t="s">
        <v>472</v>
      </c>
      <c r="B28" s="525" t="s">
        <v>146</v>
      </c>
      <c r="C28" s="526">
        <v>291170</v>
      </c>
      <c r="D28" s="525">
        <v>3</v>
      </c>
    </row>
    <row r="29" spans="1:4" x14ac:dyDescent="0.15">
      <c r="A29" s="525" t="s">
        <v>472</v>
      </c>
      <c r="B29" s="525" t="s">
        <v>182</v>
      </c>
      <c r="C29" s="526">
        <v>39408</v>
      </c>
      <c r="D29" s="525">
        <v>3</v>
      </c>
    </row>
    <row r="30" spans="1:4" x14ac:dyDescent="0.15">
      <c r="A30" s="525" t="s">
        <v>472</v>
      </c>
      <c r="B30" s="525" t="s">
        <v>296</v>
      </c>
      <c r="C30" s="526">
        <v>191176</v>
      </c>
      <c r="D30" s="525">
        <v>3</v>
      </c>
    </row>
    <row r="31" spans="1:4" x14ac:dyDescent="0.15">
      <c r="A31" s="525" t="s">
        <v>472</v>
      </c>
      <c r="B31" s="525" t="s">
        <v>479</v>
      </c>
      <c r="C31" s="526">
        <v>18198</v>
      </c>
      <c r="D31" s="525">
        <v>3</v>
      </c>
    </row>
    <row r="32" spans="1:4" x14ac:dyDescent="0.15">
      <c r="A32" s="525" t="s">
        <v>473</v>
      </c>
      <c r="B32" s="525" t="s">
        <v>146</v>
      </c>
      <c r="C32" s="526">
        <v>291176</v>
      </c>
      <c r="D32" s="525">
        <v>3</v>
      </c>
    </row>
    <row r="33" spans="1:4" x14ac:dyDescent="0.15">
      <c r="A33" s="525" t="s">
        <v>473</v>
      </c>
      <c r="B33" s="525" t="s">
        <v>48</v>
      </c>
      <c r="C33" s="526">
        <v>30930</v>
      </c>
      <c r="D33" s="525">
        <v>3</v>
      </c>
    </row>
    <row r="34" spans="1:4" x14ac:dyDescent="0.15">
      <c r="A34" s="525" t="s">
        <v>473</v>
      </c>
      <c r="B34" s="525" t="s">
        <v>182</v>
      </c>
      <c r="C34" s="526">
        <v>30930</v>
      </c>
      <c r="D34" s="525">
        <v>3</v>
      </c>
    </row>
    <row r="35" spans="1:4" x14ac:dyDescent="0.15">
      <c r="A35" s="525" t="s">
        <v>473</v>
      </c>
      <c r="B35" s="525" t="s">
        <v>479</v>
      </c>
      <c r="C35" s="526">
        <v>18198</v>
      </c>
      <c r="D35" s="525">
        <v>3</v>
      </c>
    </row>
    <row r="36" spans="1:4" x14ac:dyDescent="0.15">
      <c r="A36" s="525" t="s">
        <v>474</v>
      </c>
      <c r="B36" s="525" t="s">
        <v>146</v>
      </c>
      <c r="C36" s="526">
        <v>145588</v>
      </c>
      <c r="D36" s="525">
        <v>3</v>
      </c>
    </row>
    <row r="37" spans="1:4" x14ac:dyDescent="0.15">
      <c r="A37" s="525" t="s">
        <v>474</v>
      </c>
      <c r="B37" s="525" t="s">
        <v>48</v>
      </c>
      <c r="C37" s="526">
        <v>36483</v>
      </c>
      <c r="D37" s="525">
        <v>3</v>
      </c>
    </row>
    <row r="38" spans="1:4" x14ac:dyDescent="0.15">
      <c r="A38" s="525" t="s">
        <v>474</v>
      </c>
      <c r="B38" s="525" t="s">
        <v>182</v>
      </c>
      <c r="C38" s="526">
        <v>36483</v>
      </c>
      <c r="D38" s="525">
        <v>3</v>
      </c>
    </row>
    <row r="39" spans="1:4" x14ac:dyDescent="0.15">
      <c r="A39" s="525" t="s">
        <v>474</v>
      </c>
      <c r="B39" s="525" t="s">
        <v>479</v>
      </c>
      <c r="C39" s="526">
        <v>18198</v>
      </c>
      <c r="D39" s="525">
        <v>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C17"/>
  <sheetViews>
    <sheetView workbookViewId="0">
      <selection activeCell="B5" sqref="B5"/>
    </sheetView>
  </sheetViews>
  <sheetFormatPr baseColWidth="10" defaultRowHeight="13" x14ac:dyDescent="0.15"/>
  <cols>
    <col min="1" max="1" width="23.6640625" bestFit="1" customWidth="1"/>
  </cols>
  <sheetData>
    <row r="1" spans="1:3" x14ac:dyDescent="0.15">
      <c r="A1" s="516" t="s">
        <v>430</v>
      </c>
      <c r="B1" s="516" t="s">
        <v>187</v>
      </c>
    </row>
    <row r="2" spans="1:3" x14ac:dyDescent="0.15">
      <c r="A2" t="s">
        <v>431</v>
      </c>
      <c r="B2">
        <v>217.29</v>
      </c>
    </row>
    <row r="3" spans="1:3" x14ac:dyDescent="0.15">
      <c r="A3" t="s">
        <v>432</v>
      </c>
      <c r="B3">
        <v>214.02</v>
      </c>
      <c r="C3">
        <f>AVERAGE(B2:B4)</f>
        <v>229.04333333333332</v>
      </c>
    </row>
    <row r="4" spans="1:3" x14ac:dyDescent="0.15">
      <c r="A4" t="s">
        <v>433</v>
      </c>
      <c r="B4">
        <v>255.82</v>
      </c>
    </row>
    <row r="5" spans="1:3" x14ac:dyDescent="0.15">
      <c r="A5" t="s">
        <v>85</v>
      </c>
      <c r="B5">
        <v>79.900000000000006</v>
      </c>
    </row>
    <row r="6" spans="1:3" x14ac:dyDescent="0.15">
      <c r="A6" t="s">
        <v>435</v>
      </c>
      <c r="B6">
        <v>261.11</v>
      </c>
      <c r="C6">
        <f>AVERAGE(B6:B7)</f>
        <v>278.89499999999998</v>
      </c>
    </row>
    <row r="7" spans="1:3" x14ac:dyDescent="0.15">
      <c r="A7" t="s">
        <v>434</v>
      </c>
      <c r="B7">
        <v>296.68</v>
      </c>
    </row>
    <row r="8" spans="1:3" x14ac:dyDescent="0.15">
      <c r="A8" t="s">
        <v>436</v>
      </c>
      <c r="B8">
        <v>208.53</v>
      </c>
      <c r="C8">
        <f>AVERAGE(B8:B9)</f>
        <v>216.95</v>
      </c>
    </row>
    <row r="9" spans="1:3" x14ac:dyDescent="0.15">
      <c r="A9" t="s">
        <v>437</v>
      </c>
      <c r="B9">
        <v>225.37</v>
      </c>
    </row>
    <row r="10" spans="1:3" x14ac:dyDescent="0.15">
      <c r="A10" t="s">
        <v>439</v>
      </c>
      <c r="B10">
        <v>198.67</v>
      </c>
    </row>
    <row r="11" spans="1:3" x14ac:dyDescent="0.15">
      <c r="A11" t="s">
        <v>438</v>
      </c>
      <c r="B11">
        <v>195.72</v>
      </c>
      <c r="C11">
        <f>AVERAGE(B10:B13)</f>
        <v>198.66749999999999</v>
      </c>
    </row>
    <row r="12" spans="1:3" x14ac:dyDescent="0.15">
      <c r="A12" t="s">
        <v>440</v>
      </c>
      <c r="B12">
        <v>200.38</v>
      </c>
    </row>
    <row r="13" spans="1:3" x14ac:dyDescent="0.15">
      <c r="A13" t="s">
        <v>441</v>
      </c>
      <c r="B13">
        <v>199.9</v>
      </c>
    </row>
    <row r="14" spans="1:3" x14ac:dyDescent="0.15">
      <c r="A14" t="s">
        <v>442</v>
      </c>
      <c r="B14">
        <v>282.17</v>
      </c>
    </row>
    <row r="15" spans="1:3" x14ac:dyDescent="0.15">
      <c r="A15" t="s">
        <v>443</v>
      </c>
      <c r="B15">
        <v>177.56</v>
      </c>
    </row>
    <row r="16" spans="1:3" x14ac:dyDescent="0.15">
      <c r="A16" t="s">
        <v>444</v>
      </c>
      <c r="B16">
        <v>161.22</v>
      </c>
    </row>
    <row r="17" spans="1:2" x14ac:dyDescent="0.15">
      <c r="A17" t="s">
        <v>445</v>
      </c>
      <c r="B17">
        <v>147.66999999999999</v>
      </c>
    </row>
  </sheetData>
  <pageMargins left="0.7" right="0.7" top="0.75" bottom="0.75" header="0.3" footer="0.3"/>
  <pageSetup orientation="landscape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B32"/>
  <sheetViews>
    <sheetView workbookViewId="0">
      <selection activeCell="F9" sqref="F9"/>
    </sheetView>
  </sheetViews>
  <sheetFormatPr baseColWidth="10" defaultColWidth="8.83203125" defaultRowHeight="13" x14ac:dyDescent="0.15"/>
  <cols>
    <col min="1" max="1" width="27.5" bestFit="1" customWidth="1"/>
    <col min="2" max="2" width="99.6640625" bestFit="1" customWidth="1"/>
  </cols>
  <sheetData>
    <row r="1" spans="1:2" ht="14" thickBot="1" x14ac:dyDescent="0.2">
      <c r="A1" s="633" t="s">
        <v>96</v>
      </c>
      <c r="B1" s="634">
        <v>183690</v>
      </c>
    </row>
    <row r="2" spans="1:2" x14ac:dyDescent="0.15">
      <c r="A2" s="509" t="s">
        <v>366</v>
      </c>
      <c r="B2" s="509" t="s">
        <v>264</v>
      </c>
    </row>
    <row r="3" spans="1:2" x14ac:dyDescent="0.15">
      <c r="A3" t="s">
        <v>367</v>
      </c>
      <c r="B3" s="507" t="s">
        <v>368</v>
      </c>
    </row>
    <row r="4" spans="1:2" x14ac:dyDescent="0.15">
      <c r="A4" s="56" t="s">
        <v>369</v>
      </c>
      <c r="B4" s="507" t="s">
        <v>370</v>
      </c>
    </row>
    <row r="5" spans="1:2" x14ac:dyDescent="0.15">
      <c r="A5" s="56" t="s">
        <v>266</v>
      </c>
      <c r="B5" s="508" t="s">
        <v>373</v>
      </c>
    </row>
    <row r="6" spans="1:2" x14ac:dyDescent="0.15">
      <c r="A6" s="56" t="s">
        <v>267</v>
      </c>
      <c r="B6" t="s">
        <v>411</v>
      </c>
    </row>
    <row r="7" spans="1:2" x14ac:dyDescent="0.15">
      <c r="A7" s="56" t="s">
        <v>198</v>
      </c>
      <c r="B7" t="s">
        <v>411</v>
      </c>
    </row>
    <row r="8" spans="1:2" x14ac:dyDescent="0.15">
      <c r="A8" s="56" t="s">
        <v>375</v>
      </c>
      <c r="B8" t="s">
        <v>377</v>
      </c>
    </row>
    <row r="9" spans="1:2" x14ac:dyDescent="0.15">
      <c r="A9" s="56" t="s">
        <v>376</v>
      </c>
      <c r="B9" s="507" t="s">
        <v>370</v>
      </c>
    </row>
    <row r="10" spans="1:2" x14ac:dyDescent="0.15">
      <c r="A10" s="56" t="s">
        <v>378</v>
      </c>
      <c r="B10" s="507" t="s">
        <v>370</v>
      </c>
    </row>
    <row r="11" spans="1:2" x14ac:dyDescent="0.15">
      <c r="A11" s="56" t="s">
        <v>379</v>
      </c>
      <c r="B11" s="507" t="s">
        <v>394</v>
      </c>
    </row>
    <row r="12" spans="1:2" x14ac:dyDescent="0.15">
      <c r="A12" s="56" t="s">
        <v>380</v>
      </c>
      <c r="B12" s="507" t="s">
        <v>370</v>
      </c>
    </row>
    <row r="13" spans="1:2" x14ac:dyDescent="0.15">
      <c r="A13" s="56" t="s">
        <v>381</v>
      </c>
      <c r="B13" s="507" t="s">
        <v>370</v>
      </c>
    </row>
    <row r="14" spans="1:2" x14ac:dyDescent="0.15">
      <c r="A14" s="56" t="s">
        <v>382</v>
      </c>
      <c r="B14" t="s">
        <v>384</v>
      </c>
    </row>
    <row r="15" spans="1:2" x14ac:dyDescent="0.15">
      <c r="A15" s="56" t="s">
        <v>383</v>
      </c>
      <c r="B15" t="s">
        <v>385</v>
      </c>
    </row>
    <row r="16" spans="1:2" x14ac:dyDescent="0.15">
      <c r="A16" s="56" t="s">
        <v>199</v>
      </c>
      <c r="B16" t="s">
        <v>386</v>
      </c>
    </row>
    <row r="17" spans="1:2" x14ac:dyDescent="0.15">
      <c r="A17" s="56" t="s">
        <v>271</v>
      </c>
      <c r="B17" t="s">
        <v>388</v>
      </c>
    </row>
    <row r="18" spans="1:2" x14ac:dyDescent="0.15">
      <c r="A18" s="56" t="s">
        <v>272</v>
      </c>
      <c r="B18" t="s">
        <v>409</v>
      </c>
    </row>
    <row r="19" spans="1:2" x14ac:dyDescent="0.15">
      <c r="A19" s="56" t="s">
        <v>273</v>
      </c>
      <c r="B19" t="s">
        <v>389</v>
      </c>
    </row>
    <row r="20" spans="1:2" x14ac:dyDescent="0.15">
      <c r="A20" s="56" t="s">
        <v>200</v>
      </c>
      <c r="B20" t="s">
        <v>390</v>
      </c>
    </row>
    <row r="21" spans="1:2" x14ac:dyDescent="0.15">
      <c r="A21" s="56" t="s">
        <v>322</v>
      </c>
      <c r="B21" t="s">
        <v>393</v>
      </c>
    </row>
    <row r="22" spans="1:2" x14ac:dyDescent="0.15">
      <c r="A22" s="56" t="s">
        <v>324</v>
      </c>
      <c r="B22" t="s">
        <v>393</v>
      </c>
    </row>
    <row r="23" spans="1:2" x14ac:dyDescent="0.15">
      <c r="A23" s="56" t="s">
        <v>277</v>
      </c>
      <c r="B23" t="s">
        <v>394</v>
      </c>
    </row>
    <row r="24" spans="1:2" x14ac:dyDescent="0.15">
      <c r="A24" s="56" t="s">
        <v>278</v>
      </c>
      <c r="B24" t="s">
        <v>395</v>
      </c>
    </row>
    <row r="25" spans="1:2" x14ac:dyDescent="0.15">
      <c r="A25" s="56" t="s">
        <v>397</v>
      </c>
      <c r="B25" t="s">
        <v>398</v>
      </c>
    </row>
    <row r="26" spans="1:2" x14ac:dyDescent="0.15">
      <c r="A26" s="513" t="s">
        <v>405</v>
      </c>
      <c r="B26" t="s">
        <v>406</v>
      </c>
    </row>
    <row r="27" spans="1:2" x14ac:dyDescent="0.15">
      <c r="A27" s="513" t="s">
        <v>447</v>
      </c>
      <c r="B27" t="s">
        <v>446</v>
      </c>
    </row>
    <row r="28" spans="1:2" x14ac:dyDescent="0.15">
      <c r="A28" s="513" t="s">
        <v>414</v>
      </c>
      <c r="B28" t="s">
        <v>415</v>
      </c>
    </row>
    <row r="29" spans="1:2" x14ac:dyDescent="0.15">
      <c r="A29" s="513" t="s">
        <v>416</v>
      </c>
      <c r="B29" t="s">
        <v>417</v>
      </c>
    </row>
    <row r="30" spans="1:2" x14ac:dyDescent="0.15">
      <c r="A30" s="513" t="s">
        <v>425</v>
      </c>
      <c r="B30" t="s">
        <v>426</v>
      </c>
    </row>
    <row r="31" spans="1:2" x14ac:dyDescent="0.15">
      <c r="A31" s="513" t="s">
        <v>448</v>
      </c>
      <c r="B31" t="s">
        <v>449</v>
      </c>
    </row>
    <row r="32" spans="1:2" x14ac:dyDescent="0.15">
      <c r="A32" s="513" t="s">
        <v>453</v>
      </c>
      <c r="B32" t="s">
        <v>407</v>
      </c>
    </row>
  </sheetData>
  <phoneticPr fontId="3" type="noConversion"/>
  <hyperlinks>
    <hyperlink ref="B3" r:id="rId1"/>
    <hyperlink ref="B4" r:id="rId2"/>
    <hyperlink ref="B5" r:id="rId3" display="https://blog.theredpin.com/blog/a-look-into-average-price-per-square-foot-of-toronto-condos-by-neighbourhood/"/>
    <hyperlink ref="B10" r:id="rId4"/>
    <hyperlink ref="B9" r:id="rId5"/>
    <hyperlink ref="B12" r:id="rId6"/>
    <hyperlink ref="B13" r:id="rId7"/>
    <hyperlink ref="B11" r:id="rId8"/>
  </hyperlinks>
  <pageMargins left="0.7" right="0.7" top="0.75" bottom="0.75" header="0.3" footer="0.3"/>
  <pageSetup orientation="landscape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P153"/>
  <sheetViews>
    <sheetView showGridLines="0" view="pageBreakPreview" zoomScale="60" zoomScaleNormal="60" zoomScaleSheetLayoutView="70" zoomScalePageLayoutView="60" workbookViewId="0">
      <selection activeCell="D135" sqref="D135"/>
    </sheetView>
  </sheetViews>
  <sheetFormatPr baseColWidth="10" defaultColWidth="9.1640625" defaultRowHeight="16" x14ac:dyDescent="0.2"/>
  <cols>
    <col min="1" max="1" width="19.33203125" style="631" customWidth="1"/>
    <col min="2" max="2" width="33.83203125" style="631" customWidth="1"/>
    <col min="3" max="3" width="21.83203125" style="631" customWidth="1"/>
    <col min="4" max="4" width="20.5" style="632" customWidth="1"/>
    <col min="5" max="5" width="20.5" style="631" customWidth="1"/>
    <col min="6" max="6" width="22.6640625" style="631" bestFit="1" customWidth="1"/>
    <col min="7" max="11" width="20.5" style="631" customWidth="1"/>
    <col min="12" max="12" width="21" style="631" customWidth="1"/>
    <col min="13" max="13" width="21.5" style="631" customWidth="1"/>
    <col min="14" max="14" width="27" style="631" customWidth="1"/>
    <col min="15" max="15" width="9.1640625" style="631"/>
    <col min="16" max="16" width="19.33203125" style="631" customWidth="1"/>
    <col min="17" max="16384" width="9.1640625" style="631"/>
  </cols>
  <sheetData>
    <row r="1" spans="1:16" ht="17" thickBot="1" x14ac:dyDescent="0.25">
      <c r="M1" s="633" t="s">
        <v>96</v>
      </c>
      <c r="N1" s="634">
        <v>183690</v>
      </c>
    </row>
    <row r="2" spans="1:16" ht="19" thickBot="1" x14ac:dyDescent="0.25">
      <c r="A2" s="548" t="s">
        <v>63</v>
      </c>
      <c r="B2" s="574"/>
      <c r="C2" s="574"/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554"/>
    </row>
    <row r="3" spans="1:16" ht="17" thickBot="1" x14ac:dyDescent="0.25">
      <c r="A3" s="635"/>
      <c r="B3" s="636"/>
      <c r="C3" s="636"/>
      <c r="D3" s="637" t="s">
        <v>58</v>
      </c>
      <c r="E3" s="638" t="s">
        <v>37</v>
      </c>
      <c r="F3" s="639"/>
      <c r="G3" s="640"/>
      <c r="H3" s="638" t="s">
        <v>79</v>
      </c>
      <c r="I3" s="641"/>
      <c r="J3" s="640"/>
      <c r="K3" s="642" t="s">
        <v>80</v>
      </c>
      <c r="L3" s="642"/>
      <c r="M3" s="639"/>
      <c r="N3" s="640"/>
    </row>
    <row r="4" spans="1:16" ht="17" thickBot="1" x14ac:dyDescent="0.25">
      <c r="A4" s="643"/>
      <c r="B4" s="644"/>
      <c r="C4" s="644"/>
      <c r="D4" s="645" t="s">
        <v>362</v>
      </c>
      <c r="E4" s="646">
        <v>2020</v>
      </c>
      <c r="F4" s="645">
        <f>E4+1</f>
        <v>2021</v>
      </c>
      <c r="G4" s="647">
        <f t="shared" ref="G4:L4" si="0">F4+1</f>
        <v>2022</v>
      </c>
      <c r="H4" s="646">
        <f t="shared" si="0"/>
        <v>2023</v>
      </c>
      <c r="I4" s="645">
        <f t="shared" si="0"/>
        <v>2024</v>
      </c>
      <c r="J4" s="647">
        <f t="shared" si="0"/>
        <v>2025</v>
      </c>
      <c r="K4" s="645">
        <f t="shared" si="0"/>
        <v>2026</v>
      </c>
      <c r="L4" s="645">
        <f t="shared" si="0"/>
        <v>2027</v>
      </c>
      <c r="M4" s="645">
        <f>L4+1</f>
        <v>2028</v>
      </c>
      <c r="N4" s="647">
        <f>M4+1</f>
        <v>2029</v>
      </c>
    </row>
    <row r="5" spans="1:16" ht="17" thickBot="1" x14ac:dyDescent="0.25">
      <c r="A5" s="648" t="s">
        <v>0</v>
      </c>
      <c r="B5" s="649"/>
      <c r="C5" s="649"/>
      <c r="D5" s="650"/>
      <c r="E5" s="651"/>
      <c r="F5" s="652"/>
      <c r="G5" s="653"/>
      <c r="H5" s="651"/>
      <c r="I5" s="652"/>
      <c r="J5" s="653"/>
      <c r="K5" s="652"/>
      <c r="L5" s="652"/>
      <c r="M5" s="652"/>
      <c r="N5" s="653"/>
    </row>
    <row r="6" spans="1:16" x14ac:dyDescent="0.2">
      <c r="A6" s="654" t="s">
        <v>64</v>
      </c>
      <c r="B6" s="655"/>
      <c r="C6" s="655"/>
      <c r="D6" s="656">
        <f>'2.Market-Rate Rental Housing'!C60</f>
        <v>0</v>
      </c>
      <c r="E6" s="657">
        <f>'2.Market-Rate Rental Housing'!D60</f>
        <v>0</v>
      </c>
      <c r="F6" s="658">
        <f>'2.Market-Rate Rental Housing'!E60</f>
        <v>0</v>
      </c>
      <c r="G6" s="659">
        <f>'2.Market-Rate Rental Housing'!F60</f>
        <v>3568454.1018719999</v>
      </c>
      <c r="H6" s="657">
        <f>'2.Market-Rate Rental Housing'!G60</f>
        <v>9089720.5998170879</v>
      </c>
      <c r="I6" s="658">
        <f>'2.Market-Rate Rental Housing'!H60</f>
        <v>11719837.157790137</v>
      </c>
      <c r="J6" s="659">
        <f>'2.Market-Rate Rental Housing'!I60</f>
        <v>11954233.900945939</v>
      </c>
      <c r="K6" s="658">
        <f>'2.Market-Rate Rental Housing'!J60</f>
        <v>13153751.206760036</v>
      </c>
      <c r="L6" s="658">
        <f>'2.Market-Rate Rental Housing'!K60</f>
        <v>14886288.151421856</v>
      </c>
      <c r="M6" s="658">
        <f>'2.Market-Rate Rental Housing'!L60</f>
        <v>15835688.33137949</v>
      </c>
      <c r="N6" s="659">
        <f>'2.Market-Rate Rental Housing'!M60</f>
        <v>16152402.098007083</v>
      </c>
    </row>
    <row r="7" spans="1:16" x14ac:dyDescent="0.2">
      <c r="A7" s="654" t="s">
        <v>65</v>
      </c>
      <c r="B7" s="655"/>
      <c r="C7" s="655"/>
      <c r="D7" s="660">
        <f>'3.Market-Rate For-Sale Housing'!C37</f>
        <v>0</v>
      </c>
      <c r="E7" s="661">
        <f>'3.Market-Rate For-Sale Housing'!D37</f>
        <v>0</v>
      </c>
      <c r="F7" s="660">
        <f>'3.Market-Rate For-Sale Housing'!E37</f>
        <v>52466958.902937584</v>
      </c>
      <c r="G7" s="662">
        <f>'3.Market-Rate For-Sale Housing'!F37</f>
        <v>53516298.080996335</v>
      </c>
      <c r="H7" s="661">
        <f>'3.Market-Rate For-Sale Housing'!G37</f>
        <v>54586624.042616263</v>
      </c>
      <c r="I7" s="660">
        <f>'3.Market-Rate For-Sale Housing'!H37</f>
        <v>0</v>
      </c>
      <c r="J7" s="662">
        <f>'3.Market-Rate For-Sale Housing'!I37</f>
        <v>0</v>
      </c>
      <c r="K7" s="660">
        <f>'3.Market-Rate For-Sale Housing'!J37</f>
        <v>0</v>
      </c>
      <c r="L7" s="660">
        <f>'3.Market-Rate For-Sale Housing'!K37</f>
        <v>0</v>
      </c>
      <c r="M7" s="660">
        <f>'3.Market-Rate For-Sale Housing'!L37</f>
        <v>22324785.707225975</v>
      </c>
      <c r="N7" s="662">
        <f>'3.Market-Rate For-Sale Housing'!M37</f>
        <v>22771281.421370499</v>
      </c>
    </row>
    <row r="8" spans="1:16" x14ac:dyDescent="0.2">
      <c r="A8" s="654" t="s">
        <v>66</v>
      </c>
      <c r="B8" s="655"/>
      <c r="C8" s="655"/>
      <c r="D8" s="660">
        <f>'4.Affordable Rental Housing'!C40</f>
        <v>0</v>
      </c>
      <c r="E8" s="663">
        <f>'4.Affordable Rental Housing'!D40</f>
        <v>0</v>
      </c>
      <c r="F8" s="664">
        <f>'4.Affordable Rental Housing'!E40</f>
        <v>305807.68511999998</v>
      </c>
      <c r="G8" s="665">
        <f>'4.Affordable Rental Housing'!F40</f>
        <v>757529.32285439991</v>
      </c>
      <c r="H8" s="663">
        <f>'4.Affordable Rental Housing'!G40</f>
        <v>1030239.8790819842</v>
      </c>
      <c r="I8" s="664">
        <f>'4.Affordable Rental Housing'!H40</f>
        <v>1128112.6675947725</v>
      </c>
      <c r="J8" s="665">
        <f>'4.Affordable Rental Housing'!I40</f>
        <v>1276776.282146303</v>
      </c>
      <c r="K8" s="664">
        <f>'4.Affordable Rental Housing'!J40</f>
        <v>1366623.5020010425</v>
      </c>
      <c r="L8" s="664">
        <f>'4.Affordable Rental Housing'!K40</f>
        <v>1393955.9720410635</v>
      </c>
      <c r="M8" s="664">
        <f>'4.Affordable Rental Housing'!L40</f>
        <v>1421835.0914818849</v>
      </c>
      <c r="N8" s="665">
        <f>'4.Affordable Rental Housing'!M40</f>
        <v>1450271.7933115226</v>
      </c>
    </row>
    <row r="9" spans="1:16" x14ac:dyDescent="0.2">
      <c r="A9" s="654" t="s">
        <v>330</v>
      </c>
      <c r="B9" s="655"/>
      <c r="C9" s="655"/>
      <c r="D9" s="660">
        <f>'5.Affordable For-Sale Housing '!C37</f>
        <v>0</v>
      </c>
      <c r="E9" s="663">
        <f>'5.Affordable For-Sale Housing '!D37</f>
        <v>0</v>
      </c>
      <c r="F9" s="664">
        <f>'5.Affordable For-Sale Housing '!E37</f>
        <v>3314180.6747999997</v>
      </c>
      <c r="G9" s="665">
        <f>'5.Affordable For-Sale Housing '!F37</f>
        <v>3098758.9309379999</v>
      </c>
      <c r="H9" s="663">
        <f>'5.Affordable For-Sale Housing '!G37</f>
        <v>3160734.1095567602</v>
      </c>
      <c r="I9" s="664">
        <f>'5.Affordable For-Sale Housing '!H37</f>
        <v>0</v>
      </c>
      <c r="J9" s="665">
        <f>'5.Affordable For-Sale Housing '!I37</f>
        <v>0</v>
      </c>
      <c r="K9" s="664">
        <f>'5.Affordable For-Sale Housing '!J37</f>
        <v>0</v>
      </c>
      <c r="L9" s="664">
        <f>'5.Affordable For-Sale Housing '!K37</f>
        <v>0</v>
      </c>
      <c r="M9" s="664">
        <f>'5.Affordable For-Sale Housing '!L37</f>
        <v>1268983.9470476597</v>
      </c>
      <c r="N9" s="665">
        <f>'5.Affordable For-Sale Housing '!M37</f>
        <v>1294363.6259886131</v>
      </c>
    </row>
    <row r="10" spans="1:16" x14ac:dyDescent="0.2">
      <c r="A10" s="654" t="s">
        <v>67</v>
      </c>
      <c r="B10" s="655"/>
      <c r="C10" s="655"/>
      <c r="D10" s="660">
        <f>'6.Office'!C38</f>
        <v>0</v>
      </c>
      <c r="E10" s="663">
        <f>'6.Office'!D38</f>
        <v>0</v>
      </c>
      <c r="F10" s="664">
        <f>'6.Office'!E38</f>
        <v>0</v>
      </c>
      <c r="G10" s="665">
        <f>'6.Office'!F38</f>
        <v>1254169.7939230986</v>
      </c>
      <c r="H10" s="663">
        <f>'6.Office'!G38</f>
        <v>1279253.1898015607</v>
      </c>
      <c r="I10" s="664">
        <f>'6.Office'!H38</f>
        <v>2165605.0462237615</v>
      </c>
      <c r="J10" s="665">
        <f>'6.Office'!I38</f>
        <v>8530388.4721948281</v>
      </c>
      <c r="K10" s="664">
        <f>'6.Office'!J38</f>
        <v>11800300.704813119</v>
      </c>
      <c r="L10" s="664">
        <f>'6.Office'!K38</f>
        <v>34797598.696462125</v>
      </c>
      <c r="M10" s="664">
        <f>'6.Office'!L38</f>
        <v>35493550.670391366</v>
      </c>
      <c r="N10" s="665">
        <f>'6.Office'!M38</f>
        <v>36203421.683799192</v>
      </c>
    </row>
    <row r="11" spans="1:16" x14ac:dyDescent="0.2">
      <c r="A11" s="654" t="s">
        <v>335</v>
      </c>
      <c r="B11" s="655"/>
      <c r="C11" s="655"/>
      <c r="D11" s="660">
        <f>'7.Industrial &amp; School'!C38</f>
        <v>0</v>
      </c>
      <c r="E11" s="663">
        <f>'7.Industrial &amp; School'!D38</f>
        <v>0</v>
      </c>
      <c r="F11" s="664">
        <f>'7.Industrial &amp; School'!E38</f>
        <v>0</v>
      </c>
      <c r="G11" s="665">
        <f>'7.Industrial &amp; School'!F38</f>
        <v>0</v>
      </c>
      <c r="H11" s="663">
        <f>'7.Industrial &amp; School'!G38</f>
        <v>0</v>
      </c>
      <c r="I11" s="664">
        <f>'7.Industrial &amp; School'!H38</f>
        <v>0</v>
      </c>
      <c r="J11" s="665">
        <f>'7.Industrial &amp; School'!I38</f>
        <v>0</v>
      </c>
      <c r="K11" s="664">
        <f>'7.Industrial &amp; School'!J38</f>
        <v>0</v>
      </c>
      <c r="L11" s="664">
        <f>'7.Industrial &amp; School'!K38</f>
        <v>0</v>
      </c>
      <c r="M11" s="664">
        <f>'7.Industrial &amp; School'!L38</f>
        <v>0</v>
      </c>
      <c r="N11" s="665">
        <f>'7.Industrial &amp; School'!M38</f>
        <v>0</v>
      </c>
    </row>
    <row r="12" spans="1:16" x14ac:dyDescent="0.2">
      <c r="A12" s="654" t="s">
        <v>68</v>
      </c>
      <c r="B12" s="655"/>
      <c r="C12" s="655"/>
      <c r="D12" s="660">
        <f>'8.Market-Rate Retail'!C83</f>
        <v>0</v>
      </c>
      <c r="E12" s="663">
        <f>'8.Market-Rate Retail'!D83</f>
        <v>0</v>
      </c>
      <c r="F12" s="664">
        <f>'8.Market-Rate Retail'!E83</f>
        <v>2018740.98979872</v>
      </c>
      <c r="G12" s="665">
        <f>'8.Market-Rate Retail'!F83</f>
        <v>3075558.3270697822</v>
      </c>
      <c r="H12" s="663">
        <f>'8.Market-Rate Retail'!G83</f>
        <v>3137069.4936111784</v>
      </c>
      <c r="I12" s="664">
        <f>'8.Market-Rate Retail'!H83</f>
        <v>3820207.1341149989</v>
      </c>
      <c r="J12" s="665">
        <f>'8.Market-Rate Retail'!I83</f>
        <v>4309903.4178643506</v>
      </c>
      <c r="K12" s="664">
        <f>'8.Market-Rate Retail'!J83</f>
        <v>4396101.4862216357</v>
      </c>
      <c r="L12" s="664">
        <f>'8.Market-Rate Retail'!K83</f>
        <v>4484023.5159460688</v>
      </c>
      <c r="M12" s="664">
        <f>'8.Market-Rate Retail'!L83</f>
        <v>5371657.8035064749</v>
      </c>
      <c r="N12" s="665">
        <f>'8.Market-Rate Retail'!M83</f>
        <v>6010667.4177911999</v>
      </c>
    </row>
    <row r="13" spans="1:16" x14ac:dyDescent="0.2">
      <c r="A13" s="654" t="s">
        <v>49</v>
      </c>
      <c r="B13" s="655"/>
      <c r="C13" s="655"/>
      <c r="D13" s="660">
        <f>'9.Hotel'!C15</f>
        <v>0</v>
      </c>
      <c r="E13" s="663">
        <f>'9.Hotel'!D15</f>
        <v>0</v>
      </c>
      <c r="F13" s="664">
        <f>'9.Hotel'!E15</f>
        <v>0</v>
      </c>
      <c r="G13" s="665">
        <f>'9.Hotel'!F15</f>
        <v>0</v>
      </c>
      <c r="H13" s="663">
        <f>'9.Hotel'!G15</f>
        <v>0</v>
      </c>
      <c r="I13" s="664">
        <f>'9.Hotel'!H15</f>
        <v>8446772.6138593648</v>
      </c>
      <c r="J13" s="665">
        <f>'9.Hotel'!I15</f>
        <v>8615708.066136552</v>
      </c>
      <c r="K13" s="664">
        <f>'9.Hotel'!J15</f>
        <v>8788022.2274592817</v>
      </c>
      <c r="L13" s="664">
        <f>'9.Hotel'!K15</f>
        <v>8963782.6720084678</v>
      </c>
      <c r="M13" s="664">
        <f>'9.Hotel'!L15</f>
        <v>9143058.325448636</v>
      </c>
      <c r="N13" s="665">
        <f>'9.Hotel'!M15</f>
        <v>9325919.4919576105</v>
      </c>
    </row>
    <row r="14" spans="1:16" x14ac:dyDescent="0.2">
      <c r="A14" s="654" t="s">
        <v>315</v>
      </c>
      <c r="B14" s="655"/>
      <c r="C14" s="655"/>
      <c r="D14" s="660">
        <f>'10.Structured Parking'!C88</f>
        <v>0</v>
      </c>
      <c r="E14" s="663">
        <f>'10.Structured Parking'!D88</f>
        <v>0</v>
      </c>
      <c r="F14" s="664">
        <f>'10.Structured Parking'!E88</f>
        <v>4509777.2884559995</v>
      </c>
      <c r="G14" s="665">
        <f>'10.Structured Parking'!F88</f>
        <v>4599972.8342251182</v>
      </c>
      <c r="H14" s="663">
        <f>'10.Structured Parking'!G88</f>
        <v>4691972.2909096219</v>
      </c>
      <c r="I14" s="664">
        <f>'10.Structured Parking'!H88</f>
        <v>7791174.1583850449</v>
      </c>
      <c r="J14" s="665">
        <f>'10.Structured Parking'!I88</f>
        <v>7946997.6415527454</v>
      </c>
      <c r="K14" s="664">
        <f>'10.Structured Parking'!J88</f>
        <v>8105937.5943837995</v>
      </c>
      <c r="L14" s="664">
        <f>'10.Structured Parking'!K88</f>
        <v>8268056.3462714748</v>
      </c>
      <c r="M14" s="664">
        <f>'10.Structured Parking'!L88</f>
        <v>8433417.4731969032</v>
      </c>
      <c r="N14" s="665">
        <f>'10.Structured Parking'!M88</f>
        <v>14849763.279638557</v>
      </c>
    </row>
    <row r="15" spans="1:16" hidden="1" x14ac:dyDescent="0.2">
      <c r="A15" s="666" t="s">
        <v>51</v>
      </c>
      <c r="B15" s="667"/>
      <c r="C15" s="667"/>
      <c r="D15" s="668">
        <f>'11.Surface Parking'!C65</f>
        <v>0</v>
      </c>
      <c r="E15" s="669">
        <f>'11.Surface Parking'!D65</f>
        <v>-7341.45</v>
      </c>
      <c r="F15" s="670">
        <f>'11.Surface Parking'!E65</f>
        <v>-7488.2789999999995</v>
      </c>
      <c r="G15" s="671">
        <f>'11.Surface Parking'!F65</f>
        <v>400233.53599200002</v>
      </c>
      <c r="H15" s="669">
        <f>'11.Surface Parking'!G65</f>
        <v>408238.20671184006</v>
      </c>
      <c r="I15" s="670">
        <f>'11.Surface Parking'!H65</f>
        <v>416402.97084607685</v>
      </c>
      <c r="J15" s="671">
        <f>'11.Surface Parking'!I65</f>
        <v>424731.03026299842</v>
      </c>
      <c r="K15" s="670">
        <f>'11.Surface Parking'!J65</f>
        <v>433225.65086825832</v>
      </c>
      <c r="L15" s="670">
        <f>'11.Surface Parking'!K65</f>
        <v>441890.16388562345</v>
      </c>
      <c r="M15" s="670">
        <f>'11.Surface Parking'!L65</f>
        <v>450727.96716333588</v>
      </c>
      <c r="N15" s="671">
        <f>'11.Surface Parking'!M65</f>
        <v>459742.52650660265</v>
      </c>
    </row>
    <row r="16" spans="1:16" ht="17" thickBot="1" x14ac:dyDescent="0.25">
      <c r="A16" s="672" t="s">
        <v>1</v>
      </c>
      <c r="B16" s="673"/>
      <c r="C16" s="673"/>
      <c r="D16" s="674">
        <f t="shared" ref="D16:M16" si="1">SUM(D6:D15)</f>
        <v>0</v>
      </c>
      <c r="E16" s="675">
        <f t="shared" si="1"/>
        <v>-7341.45</v>
      </c>
      <c r="F16" s="676">
        <f t="shared" si="1"/>
        <v>62607977.262112305</v>
      </c>
      <c r="G16" s="677">
        <f t="shared" si="1"/>
        <v>70270974.927870721</v>
      </c>
      <c r="H16" s="675">
        <f t="shared" si="1"/>
        <v>77383851.812106296</v>
      </c>
      <c r="I16" s="676">
        <f t="shared" si="1"/>
        <v>35488111.748814158</v>
      </c>
      <c r="J16" s="677">
        <f t="shared" si="1"/>
        <v>43058738.811103724</v>
      </c>
      <c r="K16" s="676">
        <f t="shared" si="1"/>
        <v>48043962.37250717</v>
      </c>
      <c r="L16" s="676">
        <f t="shared" si="1"/>
        <v>73235595.518036678</v>
      </c>
      <c r="M16" s="676">
        <f t="shared" si="1"/>
        <v>99743705.316841736</v>
      </c>
      <c r="N16" s="677">
        <f>SUM(N6:N15)</f>
        <v>108517833.33837087</v>
      </c>
      <c r="P16" s="678"/>
    </row>
    <row r="17" spans="1:14" ht="17" thickBot="1" x14ac:dyDescent="0.25">
      <c r="A17" s="648" t="s">
        <v>2</v>
      </c>
      <c r="B17" s="649"/>
      <c r="C17" s="649"/>
      <c r="D17" s="650"/>
      <c r="E17" s="651"/>
      <c r="F17" s="652"/>
      <c r="G17" s="653"/>
      <c r="H17" s="651"/>
      <c r="I17" s="652"/>
      <c r="J17" s="653"/>
      <c r="K17" s="652"/>
      <c r="L17" s="652"/>
      <c r="M17" s="652"/>
      <c r="N17" s="653"/>
    </row>
    <row r="18" spans="1:14" x14ac:dyDescent="0.2">
      <c r="A18" s="654" t="s">
        <v>64</v>
      </c>
      <c r="B18" s="655"/>
      <c r="C18" s="655"/>
      <c r="D18" s="656">
        <f>'2.Market-Rate Rental Housing'!C66</f>
        <v>0</v>
      </c>
      <c r="E18" s="679">
        <f>'2.Market-Rate Rental Housing'!D66</f>
        <v>90936453.081169918</v>
      </c>
      <c r="F18" s="656">
        <f>'2.Market-Rate Rental Housing'!E66</f>
        <v>46377591.071396656</v>
      </c>
      <c r="G18" s="680">
        <f>'2.Market-Rate Rental Housing'!F66</f>
        <v>0</v>
      </c>
      <c r="H18" s="679">
        <f>'2.Market-Rate Rental Housing'!G66</f>
        <v>0</v>
      </c>
      <c r="I18" s="656">
        <f>'2.Market-Rate Rental Housing'!H66</f>
        <v>0</v>
      </c>
      <c r="J18" s="680">
        <f>'2.Market-Rate Rental Housing'!I66</f>
        <v>0</v>
      </c>
      <c r="K18" s="656">
        <f>'2.Market-Rate Rental Housing'!J66</f>
        <v>0</v>
      </c>
      <c r="L18" s="656">
        <f>'2.Market-Rate Rental Housing'!K66</f>
        <v>38933253.851261474</v>
      </c>
      <c r="M18" s="656">
        <f>'2.Market-Rate Rental Housing'!L66</f>
        <v>0</v>
      </c>
      <c r="N18" s="680">
        <f>'2.Market-Rate Rental Housing'!M66</f>
        <v>0</v>
      </c>
    </row>
    <row r="19" spans="1:14" x14ac:dyDescent="0.2">
      <c r="A19" s="654" t="s">
        <v>65</v>
      </c>
      <c r="B19" s="655"/>
      <c r="C19" s="655"/>
      <c r="D19" s="660">
        <f>'3.Market-Rate For-Sale Housing'!C43</f>
        <v>0</v>
      </c>
      <c r="E19" s="663">
        <f>'3.Market-Rate For-Sale Housing'!D43</f>
        <v>45468226.540584959</v>
      </c>
      <c r="F19" s="664">
        <f>'3.Market-Rate For-Sale Housing'!E43</f>
        <v>23188795.535698328</v>
      </c>
      <c r="G19" s="665">
        <f>'3.Market-Rate For-Sale Housing'!F43</f>
        <v>0</v>
      </c>
      <c r="H19" s="663">
        <f>'3.Market-Rate For-Sale Housing'!G43</f>
        <v>0</v>
      </c>
      <c r="I19" s="664">
        <f>'3.Market-Rate For-Sale Housing'!H43</f>
        <v>0</v>
      </c>
      <c r="J19" s="665">
        <f>'3.Market-Rate For-Sale Housing'!I43</f>
        <v>0</v>
      </c>
      <c r="K19" s="664">
        <f>'3.Market-Rate For-Sale Housing'!J43</f>
        <v>0</v>
      </c>
      <c r="L19" s="664">
        <f>'3.Market-Rate For-Sale Housing'!K43</f>
        <v>19466626.925630737</v>
      </c>
      <c r="M19" s="664">
        <f>'3.Market-Rate For-Sale Housing'!L43</f>
        <v>0</v>
      </c>
      <c r="N19" s="665">
        <f>'3.Market-Rate For-Sale Housing'!M43</f>
        <v>0</v>
      </c>
    </row>
    <row r="20" spans="1:14" x14ac:dyDescent="0.2">
      <c r="A20" s="654" t="s">
        <v>66</v>
      </c>
      <c r="B20" s="655"/>
      <c r="C20" s="655"/>
      <c r="D20" s="660">
        <f>'4.Affordable Rental Housing'!C46</f>
        <v>0</v>
      </c>
      <c r="E20" s="663">
        <f>'4.Affordable Rental Housing'!D46</f>
        <v>10103962.791659521</v>
      </c>
      <c r="F20" s="664">
        <f>'4.Affordable Rental Housing'!E46</f>
        <v>5153021.0237463554</v>
      </c>
      <c r="G20" s="665">
        <f>'4.Affordable Rental Housing'!F46</f>
        <v>0</v>
      </c>
      <c r="H20" s="663">
        <f>'4.Affordable Rental Housing'!G46</f>
        <v>0</v>
      </c>
      <c r="I20" s="664">
        <f>'4.Affordable Rental Housing'!H46</f>
        <v>0</v>
      </c>
      <c r="J20" s="665">
        <f>'4.Affordable Rental Housing'!I46</f>
        <v>0</v>
      </c>
      <c r="K20" s="664">
        <f>'4.Affordable Rental Housing'!J46</f>
        <v>2827372.1447711759</v>
      </c>
      <c r="L20" s="664">
        <f>'4.Affordable Rental Housing'!K46</f>
        <v>1441959.7938332998</v>
      </c>
      <c r="M20" s="664">
        <f>'4.Affordable Rental Housing'!L46</f>
        <v>0</v>
      </c>
      <c r="N20" s="665">
        <f>'4.Affordable Rental Housing'!M46</f>
        <v>0</v>
      </c>
    </row>
    <row r="21" spans="1:14" x14ac:dyDescent="0.2">
      <c r="A21" s="654" t="s">
        <v>330</v>
      </c>
      <c r="B21" s="655"/>
      <c r="C21" s="655"/>
      <c r="D21" s="660">
        <f>'5.Affordable For-Sale Housing '!C43</f>
        <v>0</v>
      </c>
      <c r="E21" s="663">
        <f>'5.Affordable For-Sale Housing '!D43</f>
        <v>5051981.3958297605</v>
      </c>
      <c r="F21" s="664">
        <f>'5.Affordable For-Sale Housing '!E43</f>
        <v>2576510.5118731777</v>
      </c>
      <c r="G21" s="665">
        <f>'5.Affordable For-Sale Housing '!F43</f>
        <v>0</v>
      </c>
      <c r="H21" s="663">
        <f>'5.Affordable For-Sale Housing '!G43</f>
        <v>0</v>
      </c>
      <c r="I21" s="664">
        <f>'5.Affordable For-Sale Housing '!H43</f>
        <v>0</v>
      </c>
      <c r="J21" s="665">
        <f>'5.Affordable For-Sale Housing '!I43</f>
        <v>0</v>
      </c>
      <c r="K21" s="664">
        <f>'5.Affordable For-Sale Housing '!J43</f>
        <v>2120695.4898344497</v>
      </c>
      <c r="L21" s="664">
        <f>'5.Affordable For-Sale Housing '!K43</f>
        <v>0</v>
      </c>
      <c r="M21" s="664">
        <f>'5.Affordable For-Sale Housing '!L43</f>
        <v>0</v>
      </c>
      <c r="N21" s="665">
        <f>'5.Affordable For-Sale Housing '!M43</f>
        <v>0</v>
      </c>
    </row>
    <row r="22" spans="1:14" x14ac:dyDescent="0.2">
      <c r="A22" s="654" t="s">
        <v>67</v>
      </c>
      <c r="B22" s="655"/>
      <c r="C22" s="655"/>
      <c r="D22" s="660">
        <f>'6.Office'!C44</f>
        <v>0</v>
      </c>
      <c r="E22" s="663">
        <f>'6.Office'!D44</f>
        <v>0</v>
      </c>
      <c r="F22" s="664">
        <f>'6.Office'!E44</f>
        <v>10164910.662129484</v>
      </c>
      <c r="G22" s="665">
        <f>'6.Office'!F44</f>
        <v>0</v>
      </c>
      <c r="H22" s="663">
        <f>'6.Office'!G44</f>
        <v>0</v>
      </c>
      <c r="I22" s="664">
        <f>'6.Office'!H44</f>
        <v>58350792.313637353</v>
      </c>
      <c r="J22" s="665">
        <f>'6.Office'!I44</f>
        <v>0</v>
      </c>
      <c r="K22" s="664">
        <f>'6.Office'!J44</f>
        <v>84038853.101511106</v>
      </c>
      <c r="L22" s="664">
        <f>'6.Office'!K44</f>
        <v>85721396.546688572</v>
      </c>
      <c r="M22" s="664">
        <f>'6.Office'!L44</f>
        <v>43717912.23881118</v>
      </c>
      <c r="N22" s="665">
        <f>'6.Office'!M44</f>
        <v>0</v>
      </c>
    </row>
    <row r="23" spans="1:14" x14ac:dyDescent="0.2">
      <c r="A23" s="654" t="s">
        <v>347</v>
      </c>
      <c r="B23" s="655"/>
      <c r="C23" s="655"/>
      <c r="D23" s="660">
        <f>'7.Industrial &amp; School'!C44</f>
        <v>0</v>
      </c>
      <c r="E23" s="663">
        <f>'7.Industrial &amp; School'!D44</f>
        <v>0</v>
      </c>
      <c r="F23" s="664">
        <f>'7.Industrial &amp; School'!E44</f>
        <v>0</v>
      </c>
      <c r="G23" s="665">
        <f>'7.Industrial &amp; School'!F44</f>
        <v>0</v>
      </c>
      <c r="H23" s="663">
        <f>'7.Industrial &amp; School'!G44</f>
        <v>0</v>
      </c>
      <c r="I23" s="664">
        <f>'7.Industrial &amp; School'!H44</f>
        <v>0</v>
      </c>
      <c r="J23" s="665">
        <f>'7.Industrial &amp; School'!I44</f>
        <v>0</v>
      </c>
      <c r="K23" s="664">
        <f>'7.Industrial &amp; School'!J44</f>
        <v>0</v>
      </c>
      <c r="L23" s="664">
        <f>'7.Industrial &amp; School'!K44</f>
        <v>0</v>
      </c>
      <c r="M23" s="664">
        <f>'7.Industrial &amp; School'!L44</f>
        <v>0</v>
      </c>
      <c r="N23" s="665">
        <f>'7.Industrial &amp; School'!M44</f>
        <v>0</v>
      </c>
    </row>
    <row r="24" spans="1:14" x14ac:dyDescent="0.2">
      <c r="A24" s="654" t="s">
        <v>68</v>
      </c>
      <c r="B24" s="655"/>
      <c r="C24" s="655"/>
      <c r="D24" s="660">
        <f>'8.Market-Rate Retail'!C91</f>
        <v>0</v>
      </c>
      <c r="E24" s="663">
        <f>'8.Market-Rate Retail'!D91</f>
        <v>0</v>
      </c>
      <c r="F24" s="664">
        <f>'8.Market-Rate Retail'!E91</f>
        <v>11762486.97033024</v>
      </c>
      <c r="G24" s="665">
        <f>'8.Market-Rate Retail'!F91</f>
        <v>9110980.6473247483</v>
      </c>
      <c r="H24" s="663">
        <f>'8.Market-Rate Retail'!G91</f>
        <v>0</v>
      </c>
      <c r="I24" s="664">
        <f>'8.Market-Rate Retail'!H91</f>
        <v>6895621.8004473485</v>
      </c>
      <c r="J24" s="665">
        <f>'8.Market-Rate Retail'!I91</f>
        <v>7033534.2364562955</v>
      </c>
      <c r="K24" s="664">
        <f>'8.Market-Rate Retail'!J91</f>
        <v>0</v>
      </c>
      <c r="L24" s="664">
        <f>'8.Market-Rate Retail'!K91</f>
        <v>0</v>
      </c>
      <c r="M24" s="664">
        <f>'8.Market-Rate Retail'!L91</f>
        <v>8138573.4512202991</v>
      </c>
      <c r="N24" s="665">
        <f>'8.Market-Rate Retail'!M91</f>
        <v>9791722.1702323798</v>
      </c>
    </row>
    <row r="25" spans="1:14" x14ac:dyDescent="0.2">
      <c r="A25" s="654" t="s">
        <v>49</v>
      </c>
      <c r="B25" s="655"/>
      <c r="C25" s="655"/>
      <c r="D25" s="660">
        <f>'9.Hotel'!C21</f>
        <v>0</v>
      </c>
      <c r="E25" s="663">
        <f>'9.Hotel'!D21</f>
        <v>0</v>
      </c>
      <c r="F25" s="664">
        <f>'9.Hotel'!E21</f>
        <v>0</v>
      </c>
      <c r="G25" s="665">
        <f>'9.Hotel'!F21</f>
        <v>0</v>
      </c>
      <c r="H25" s="663">
        <f>'9.Hotel'!G21</f>
        <v>49007905.570017494</v>
      </c>
      <c r="I25" s="664">
        <f>'9.Hotel'!H21</f>
        <v>0</v>
      </c>
      <c r="J25" s="665">
        <f>'9.Hotel'!I21</f>
        <v>0</v>
      </c>
      <c r="K25" s="664">
        <f>'9.Hotel'!J21</f>
        <v>0</v>
      </c>
      <c r="L25" s="664">
        <f>'9.Hotel'!K21</f>
        <v>0</v>
      </c>
      <c r="M25" s="664">
        <f>'9.Hotel'!L21</f>
        <v>0</v>
      </c>
      <c r="N25" s="665">
        <f>'9.Hotel'!M21</f>
        <v>0</v>
      </c>
    </row>
    <row r="26" spans="1:14" ht="17.25" customHeight="1" x14ac:dyDescent="0.2">
      <c r="A26" s="654" t="s">
        <v>50</v>
      </c>
      <c r="B26" s="655"/>
      <c r="C26" s="655"/>
      <c r="D26" s="660">
        <f>'10.Structured Parking'!C94</f>
        <v>0</v>
      </c>
      <c r="E26" s="663">
        <f>'10.Structured Parking'!D94</f>
        <v>5292986.6463695997</v>
      </c>
      <c r="F26" s="664">
        <f>'10.Structured Parking'!E94</f>
        <v>4099838.6670491518</v>
      </c>
      <c r="G26" s="665">
        <f>'10.Structured Parking'!F94</f>
        <v>0</v>
      </c>
      <c r="H26" s="663">
        <f>'10.Structured Parking'!G94</f>
        <v>3102952.1393092088</v>
      </c>
      <c r="I26" s="664">
        <f>'10.Structured Parking'!H94</f>
        <v>3165011.1820953931</v>
      </c>
      <c r="J26" s="665">
        <f>'10.Structured Parking'!I94</f>
        <v>0</v>
      </c>
      <c r="K26" s="664">
        <f>'10.Structured Parking'!J94</f>
        <v>4574611.6649865666</v>
      </c>
      <c r="L26" s="664">
        <f>'10.Structured Parking'!K94</f>
        <v>3662266.3818005286</v>
      </c>
      <c r="M26" s="664">
        <f>'10.Structured Parking'!L94</f>
        <v>4406164.6846224787</v>
      </c>
      <c r="N26" s="665">
        <f>'10.Structured Parking'!M94</f>
        <v>0</v>
      </c>
    </row>
    <row r="27" spans="1:14" ht="19" customHeight="1" x14ac:dyDescent="0.2">
      <c r="A27" s="654" t="s">
        <v>51</v>
      </c>
      <c r="B27" s="655"/>
      <c r="C27" s="655"/>
      <c r="D27" s="660">
        <f>'11.Surface Parking'!C71</f>
        <v>0</v>
      </c>
      <c r="E27" s="663">
        <f>'11.Surface Parking'!D71</f>
        <v>0</v>
      </c>
      <c r="F27" s="664">
        <f>'11.Surface Parking'!E71</f>
        <v>0</v>
      </c>
      <c r="G27" s="665">
        <f>'11.Surface Parking'!F71</f>
        <v>381902.22899999993</v>
      </c>
      <c r="H27" s="663">
        <f>'11.Surface Parking'!G71</f>
        <v>0</v>
      </c>
      <c r="I27" s="664">
        <f>'11.Surface Parking'!H71</f>
        <v>0</v>
      </c>
      <c r="J27" s="665">
        <f>'11.Surface Parking'!I71</f>
        <v>0</v>
      </c>
      <c r="K27" s="664">
        <f>'11.Surface Parking'!J71</f>
        <v>0</v>
      </c>
      <c r="L27" s="664">
        <f>'11.Surface Parking'!K71</f>
        <v>0</v>
      </c>
      <c r="M27" s="664">
        <f>'11.Surface Parking'!L71</f>
        <v>0</v>
      </c>
      <c r="N27" s="665">
        <f>'11.Surface Parking'!M71</f>
        <v>0</v>
      </c>
    </row>
    <row r="28" spans="1:14" x14ac:dyDescent="0.2">
      <c r="A28" s="654" t="s">
        <v>69</v>
      </c>
      <c r="B28" s="655"/>
      <c r="C28" s="655"/>
      <c r="D28" s="660">
        <f>'Land Values'!D13+'Land Values'!D17+'Land Values'!D22+'Land Values'!D9</f>
        <v>158514742.75</v>
      </c>
      <c r="E28" s="663"/>
      <c r="F28" s="664">
        <v>0</v>
      </c>
      <c r="G28" s="665">
        <f t="shared" ref="G28:N30" si="2">F28</f>
        <v>0</v>
      </c>
      <c r="H28" s="663">
        <f t="shared" si="2"/>
        <v>0</v>
      </c>
      <c r="I28" s="664">
        <f t="shared" si="2"/>
        <v>0</v>
      </c>
      <c r="J28" s="665">
        <f t="shared" si="2"/>
        <v>0</v>
      </c>
      <c r="K28" s="664">
        <f t="shared" si="2"/>
        <v>0</v>
      </c>
      <c r="L28" s="664">
        <f t="shared" si="2"/>
        <v>0</v>
      </c>
      <c r="M28" s="664">
        <f t="shared" si="2"/>
        <v>0</v>
      </c>
      <c r="N28" s="665">
        <f t="shared" si="2"/>
        <v>0</v>
      </c>
    </row>
    <row r="29" spans="1:14" x14ac:dyDescent="0.2">
      <c r="A29" s="654" t="s">
        <v>9</v>
      </c>
      <c r="B29" s="655"/>
      <c r="C29" s="655"/>
      <c r="D29" s="660">
        <f>'1.Infrastructure Costs'!D18</f>
        <v>0</v>
      </c>
      <c r="E29" s="663">
        <f>'1.Infrastructure Costs'!E18</f>
        <v>10886028.199999999</v>
      </c>
      <c r="F29" s="664">
        <f>'1.Infrastructure Costs'!F18</f>
        <v>5401207.8155999994</v>
      </c>
      <c r="G29" s="665">
        <f>'1.Infrastructure Costs'!G18</f>
        <v>0</v>
      </c>
      <c r="H29" s="663">
        <f>'1.Infrastructure Costs'!H18</f>
        <v>7979220.6130975671</v>
      </c>
      <c r="I29" s="664">
        <f>'1.Infrastructure Costs'!I18</f>
        <v>735778.58465306868</v>
      </c>
      <c r="J29" s="665">
        <f>'1.Infrastructure Costs'!J18</f>
        <v>0</v>
      </c>
      <c r="K29" s="664">
        <f>'1.Infrastructure Costs'!K18</f>
        <v>1531008.0789461052</v>
      </c>
      <c r="L29" s="664">
        <f>'1.Infrastructure Costs'!L18</f>
        <v>2895942.3758780528</v>
      </c>
      <c r="M29" s="664">
        <f>'1.Infrastructure Costs'!M18</f>
        <v>7638596.4459203184</v>
      </c>
      <c r="N29" s="665">
        <f>'1.Infrastructure Costs'!N18</f>
        <v>0</v>
      </c>
    </row>
    <row r="30" spans="1:14" x14ac:dyDescent="0.2">
      <c r="A30" s="666" t="s">
        <v>214</v>
      </c>
      <c r="B30" s="667"/>
      <c r="C30" s="667"/>
      <c r="D30" s="668">
        <f>'Land Acquisition'!F18</f>
        <v>3452540</v>
      </c>
      <c r="E30" s="669">
        <v>0</v>
      </c>
      <c r="F30" s="670">
        <f>E30</f>
        <v>0</v>
      </c>
      <c r="G30" s="671">
        <f t="shared" si="2"/>
        <v>0</v>
      </c>
      <c r="H30" s="669">
        <f t="shared" si="2"/>
        <v>0</v>
      </c>
      <c r="I30" s="670">
        <f t="shared" si="2"/>
        <v>0</v>
      </c>
      <c r="J30" s="671">
        <f t="shared" si="2"/>
        <v>0</v>
      </c>
      <c r="K30" s="670">
        <f t="shared" si="2"/>
        <v>0</v>
      </c>
      <c r="L30" s="670">
        <f t="shared" si="2"/>
        <v>0</v>
      </c>
      <c r="M30" s="670">
        <f t="shared" si="2"/>
        <v>0</v>
      </c>
      <c r="N30" s="671">
        <f t="shared" si="2"/>
        <v>0</v>
      </c>
    </row>
    <row r="31" spans="1:14" x14ac:dyDescent="0.2">
      <c r="A31" s="654" t="s">
        <v>337</v>
      </c>
      <c r="B31" s="655"/>
      <c r="C31" s="655"/>
      <c r="D31" s="660">
        <f>F84</f>
        <v>5921652</v>
      </c>
      <c r="E31" s="663"/>
      <c r="F31" s="664"/>
      <c r="G31" s="665"/>
      <c r="H31" s="663"/>
      <c r="I31" s="664"/>
      <c r="J31" s="665"/>
      <c r="K31" s="664"/>
      <c r="L31" s="664"/>
      <c r="M31" s="664"/>
      <c r="N31" s="665"/>
    </row>
    <row r="32" spans="1:14" ht="17" thickBot="1" x14ac:dyDescent="0.25">
      <c r="A32" s="672" t="s">
        <v>3</v>
      </c>
      <c r="B32" s="673"/>
      <c r="C32" s="681"/>
      <c r="D32" s="682">
        <f>SUM(D18:D31)</f>
        <v>167888934.75</v>
      </c>
      <c r="E32" s="675">
        <f t="shared" ref="E32:N32" si="3">SUM(E18:E30)</f>
        <v>167739638.65561378</v>
      </c>
      <c r="F32" s="676">
        <f t="shared" si="3"/>
        <v>108724362.25782338</v>
      </c>
      <c r="G32" s="677">
        <f t="shared" si="3"/>
        <v>9492882.8763247486</v>
      </c>
      <c r="H32" s="675">
        <f t="shared" si="3"/>
        <v>60090078.322424263</v>
      </c>
      <c r="I32" s="676">
        <f t="shared" si="3"/>
        <v>69147203.880833164</v>
      </c>
      <c r="J32" s="677">
        <f t="shared" si="3"/>
        <v>7033534.2364562955</v>
      </c>
      <c r="K32" s="683">
        <f t="shared" si="3"/>
        <v>95092540.480049402</v>
      </c>
      <c r="L32" s="683">
        <f t="shared" si="3"/>
        <v>152121445.87509269</v>
      </c>
      <c r="M32" s="683">
        <f t="shared" si="3"/>
        <v>63901246.820574276</v>
      </c>
      <c r="N32" s="684">
        <f t="shared" si="3"/>
        <v>9791722.1702323798</v>
      </c>
    </row>
    <row r="33" spans="1:16" ht="17" thickBot="1" x14ac:dyDescent="0.25">
      <c r="A33" s="648" t="s">
        <v>4</v>
      </c>
      <c r="B33" s="649"/>
      <c r="C33" s="649"/>
      <c r="D33" s="685"/>
      <c r="E33" s="651"/>
      <c r="F33" s="652"/>
      <c r="G33" s="653"/>
      <c r="H33" s="651"/>
      <c r="I33" s="652"/>
      <c r="J33" s="653"/>
      <c r="K33" s="651"/>
      <c r="L33" s="652"/>
      <c r="M33" s="652"/>
      <c r="N33" s="653"/>
      <c r="P33" s="686"/>
    </row>
    <row r="34" spans="1:16" x14ac:dyDescent="0.2">
      <c r="A34" s="687" t="s">
        <v>5</v>
      </c>
      <c r="B34" s="688"/>
      <c r="C34" s="689"/>
      <c r="D34" s="680">
        <f>D16</f>
        <v>0</v>
      </c>
      <c r="E34" s="657">
        <f t="shared" ref="E34:N34" si="4">E16</f>
        <v>-7341.45</v>
      </c>
      <c r="F34" s="658">
        <f t="shared" si="4"/>
        <v>62607977.262112305</v>
      </c>
      <c r="G34" s="659">
        <f t="shared" si="4"/>
        <v>70270974.927870721</v>
      </c>
      <c r="H34" s="657">
        <f t="shared" si="4"/>
        <v>77383851.812106296</v>
      </c>
      <c r="I34" s="658">
        <f t="shared" si="4"/>
        <v>35488111.748814158</v>
      </c>
      <c r="J34" s="659">
        <f t="shared" si="4"/>
        <v>43058738.811103724</v>
      </c>
      <c r="K34" s="657">
        <f t="shared" si="4"/>
        <v>48043962.37250717</v>
      </c>
      <c r="L34" s="658">
        <f t="shared" si="4"/>
        <v>73235595.518036678</v>
      </c>
      <c r="M34" s="658">
        <f t="shared" si="4"/>
        <v>99743705.316841736</v>
      </c>
      <c r="N34" s="659">
        <f t="shared" si="4"/>
        <v>108517833.33837087</v>
      </c>
    </row>
    <row r="35" spans="1:16" x14ac:dyDescent="0.2">
      <c r="A35" s="654" t="s">
        <v>59</v>
      </c>
      <c r="B35" s="690" t="s">
        <v>249</v>
      </c>
      <c r="C35" s="691">
        <f>N34/N35</f>
        <v>6.3964076338202863E-2</v>
      </c>
      <c r="D35" s="662"/>
      <c r="F35" s="692"/>
      <c r="H35" s="663"/>
      <c r="I35" s="664"/>
      <c r="J35" s="665"/>
      <c r="K35" s="663"/>
      <c r="L35" s="693"/>
      <c r="M35" s="694"/>
      <c r="N35" s="665">
        <f>SUM('2.Market-Rate Rental Housing'!M69+'4.Affordable Rental Housing'!M49+'6.Office'!M47+'7.Industrial &amp; School'!M47+'8.Market-Rate Retail'!M94+'9.Hotel'!M24+'10.Structured Parking'!M97+'11.Surface Parking'!M74)</f>
        <v>1696543427.9797151</v>
      </c>
    </row>
    <row r="36" spans="1:16" x14ac:dyDescent="0.2">
      <c r="A36" s="654" t="s">
        <v>29</v>
      </c>
      <c r="B36" s="689"/>
      <c r="C36" s="695">
        <v>0.03</v>
      </c>
      <c r="D36" s="662"/>
      <c r="E36" s="663">
        <f>-F35*C36</f>
        <v>0</v>
      </c>
      <c r="F36" s="664"/>
      <c r="G36" s="665"/>
      <c r="H36" s="663"/>
      <c r="I36" s="664"/>
      <c r="J36" s="665"/>
      <c r="K36" s="663"/>
      <c r="L36" s="664"/>
      <c r="M36" s="664"/>
      <c r="N36" s="665">
        <f>N35*-C36</f>
        <v>-50896302.839391455</v>
      </c>
    </row>
    <row r="37" spans="1:16" x14ac:dyDescent="0.2">
      <c r="A37" s="666" t="s">
        <v>215</v>
      </c>
      <c r="B37" s="696"/>
      <c r="C37" s="696"/>
      <c r="D37" s="697">
        <f>-D32</f>
        <v>-167888934.75</v>
      </c>
      <c r="E37" s="669">
        <f t="shared" ref="E37:N37" si="5">-E32</f>
        <v>-167739638.65561378</v>
      </c>
      <c r="F37" s="670">
        <f t="shared" si="5"/>
        <v>-108724362.25782338</v>
      </c>
      <c r="G37" s="671">
        <f t="shared" si="5"/>
        <v>-9492882.8763247486</v>
      </c>
      <c r="H37" s="669">
        <f t="shared" si="5"/>
        <v>-60090078.322424263</v>
      </c>
      <c r="I37" s="670">
        <f t="shared" si="5"/>
        <v>-69147203.880833164</v>
      </c>
      <c r="J37" s="671">
        <f t="shared" si="5"/>
        <v>-7033534.2364562955</v>
      </c>
      <c r="K37" s="669">
        <f t="shared" si="5"/>
        <v>-95092540.480049402</v>
      </c>
      <c r="L37" s="670">
        <f t="shared" si="5"/>
        <v>-152121445.87509269</v>
      </c>
      <c r="M37" s="670">
        <f t="shared" si="5"/>
        <v>-63901246.820574276</v>
      </c>
      <c r="N37" s="671">
        <f t="shared" si="5"/>
        <v>-9791722.1702323798</v>
      </c>
    </row>
    <row r="38" spans="1:16" x14ac:dyDescent="0.2">
      <c r="A38" s="654" t="s">
        <v>282</v>
      </c>
      <c r="B38" s="690"/>
      <c r="C38" s="690"/>
      <c r="D38" s="662">
        <f>-Financing!B20</f>
        <v>0</v>
      </c>
      <c r="E38" s="663">
        <f>-Financing!C20</f>
        <v>-10064378.319336826</v>
      </c>
      <c r="F38" s="664">
        <f>-Financing!D20</f>
        <v>-16587840.054806227</v>
      </c>
      <c r="G38" s="665">
        <f>-Financing!E20</f>
        <v>-17157413.027385712</v>
      </c>
      <c r="H38" s="663">
        <f>-Financing!F20</f>
        <v>-20762817.72673117</v>
      </c>
      <c r="I38" s="664">
        <f>-Financing!G20</f>
        <v>-24911649.959581159</v>
      </c>
      <c r="J38" s="665">
        <f>-Financing!H20</f>
        <v>-25333662.013768535</v>
      </c>
      <c r="K38" s="663">
        <f>-Financing!I20</f>
        <v>-31039214.442571498</v>
      </c>
      <c r="L38" s="664">
        <f>-Financing!J20</f>
        <v>-40166501.195077054</v>
      </c>
      <c r="M38" s="664">
        <f>-Financing!K20</f>
        <v>-44000576.004311509</v>
      </c>
      <c r="N38" s="665">
        <f>-Financing!L20</f>
        <v>-44588079.334525459</v>
      </c>
    </row>
    <row r="39" spans="1:16" ht="17" thickBot="1" x14ac:dyDescent="0.25">
      <c r="A39" s="698" t="s">
        <v>6</v>
      </c>
      <c r="B39" s="699"/>
      <c r="C39" s="699"/>
      <c r="D39" s="700">
        <f>SUM(D34:D37)</f>
        <v>-167888934.75</v>
      </c>
      <c r="E39" s="700">
        <f t="shared" ref="E39:N39" si="6">SUM(E34:E37)</f>
        <v>-167746980.10561377</v>
      </c>
      <c r="F39" s="700">
        <f t="shared" si="6"/>
        <v>-46116384.995711073</v>
      </c>
      <c r="G39" s="700">
        <f t="shared" si="6"/>
        <v>60778092.05154597</v>
      </c>
      <c r="H39" s="700">
        <f t="shared" si="6"/>
        <v>17293773.489682034</v>
      </c>
      <c r="I39" s="700">
        <f t="shared" si="6"/>
        <v>-33659092.132019006</v>
      </c>
      <c r="J39" s="700">
        <f t="shared" si="6"/>
        <v>36025204.574647427</v>
      </c>
      <c r="K39" s="700">
        <f t="shared" si="6"/>
        <v>-47048578.107542232</v>
      </c>
      <c r="L39" s="700">
        <f t="shared" si="6"/>
        <v>-78885850.357056007</v>
      </c>
      <c r="M39" s="700">
        <f t="shared" si="6"/>
        <v>35842458.49626746</v>
      </c>
      <c r="N39" s="700">
        <f t="shared" si="6"/>
        <v>1744373236.3084621</v>
      </c>
    </row>
    <row r="40" spans="1:16" ht="17" thickBot="1" x14ac:dyDescent="0.25">
      <c r="A40" s="701" t="s">
        <v>356</v>
      </c>
      <c r="B40" s="690"/>
      <c r="C40" s="690"/>
      <c r="D40" s="660">
        <f>Financing!B35</f>
        <v>-167888934.75</v>
      </c>
      <c r="E40" s="664">
        <f>Financing!C35</f>
        <v>-10071719.769336825</v>
      </c>
      <c r="F40" s="664">
        <f>Financing!D35</f>
        <v>46020137.20730608</v>
      </c>
      <c r="G40" s="664">
        <f>Financing!E35</f>
        <v>53113561.900485009</v>
      </c>
      <c r="H40" s="664">
        <f>Financing!F35</f>
        <v>56621034.08537513</v>
      </c>
      <c r="I40" s="664">
        <f>Financing!G35</f>
        <v>10576461.789232999</v>
      </c>
      <c r="J40" s="664">
        <f>Financing!H35</f>
        <v>17725076.797335189</v>
      </c>
      <c r="K40" s="664">
        <f>Financing!I35</f>
        <v>17004747.929935671</v>
      </c>
      <c r="L40" s="664">
        <f>Financing!J35</f>
        <v>33069094.322959624</v>
      </c>
      <c r="M40" s="664">
        <f>Financing!K35</f>
        <v>55743129.312530227</v>
      </c>
      <c r="N40" s="664">
        <f>Financing!L35</f>
        <v>966442223.56874478</v>
      </c>
    </row>
    <row r="41" spans="1:16" x14ac:dyDescent="0.2">
      <c r="A41" s="702"/>
      <c r="B41" s="703"/>
      <c r="C41" s="703"/>
      <c r="D41" s="704"/>
      <c r="E41" s="705"/>
      <c r="F41" s="705"/>
      <c r="G41" s="705"/>
      <c r="H41" s="705"/>
      <c r="I41" s="705"/>
      <c r="J41" s="705"/>
      <c r="K41" s="705"/>
      <c r="L41" s="705"/>
      <c r="M41" s="705"/>
      <c r="N41" s="705"/>
    </row>
    <row r="42" spans="1:16" x14ac:dyDescent="0.2">
      <c r="A42" s="706" t="s">
        <v>216</v>
      </c>
      <c r="B42" s="706"/>
      <c r="C42" s="707">
        <f>D39+NPV(0.09,E39:N39)</f>
        <v>386204888.62191796</v>
      </c>
      <c r="D42" s="708"/>
      <c r="E42" s="709"/>
      <c r="F42" s="709"/>
      <c r="G42" s="709"/>
      <c r="H42" s="710"/>
      <c r="I42" s="709"/>
      <c r="J42" s="709"/>
      <c r="K42" s="709"/>
      <c r="L42" s="709"/>
      <c r="M42" s="709"/>
      <c r="N42" s="709"/>
    </row>
    <row r="43" spans="1:16" ht="17" thickBot="1" x14ac:dyDescent="0.25">
      <c r="A43" s="711" t="s">
        <v>70</v>
      </c>
      <c r="B43" s="706"/>
      <c r="C43" s="712">
        <f>M77/N35</f>
        <v>0.34904224904910958</v>
      </c>
      <c r="D43" s="708"/>
      <c r="E43" s="709"/>
      <c r="F43" s="709"/>
      <c r="G43" s="709"/>
      <c r="H43" s="713"/>
      <c r="I43" s="709"/>
      <c r="J43" s="709"/>
      <c r="K43" s="709"/>
      <c r="L43" s="709"/>
      <c r="M43" s="709"/>
      <c r="N43" s="709"/>
    </row>
    <row r="44" spans="1:16" x14ac:dyDescent="0.2">
      <c r="A44" s="706" t="s">
        <v>71</v>
      </c>
      <c r="B44" s="706"/>
      <c r="C44" s="712">
        <f>IRR(D39:N39,0)</f>
        <v>0.18271359582052016</v>
      </c>
      <c r="D44" s="708"/>
      <c r="E44" s="709"/>
      <c r="F44" s="709"/>
      <c r="G44" s="714" t="s">
        <v>72</v>
      </c>
      <c r="H44" s="705"/>
      <c r="I44" s="705"/>
      <c r="J44" s="715">
        <f>D28</f>
        <v>158514742.75</v>
      </c>
      <c r="K44" s="709"/>
      <c r="L44" s="709"/>
      <c r="M44" s="709"/>
      <c r="N44" s="709"/>
    </row>
    <row r="45" spans="1:16" ht="17" thickBot="1" x14ac:dyDescent="0.25">
      <c r="A45" s="706" t="s">
        <v>248</v>
      </c>
      <c r="B45" s="706"/>
      <c r="C45" s="712">
        <f>Financing!$B$37</f>
        <v>0.28149912053711845</v>
      </c>
      <c r="D45" s="716" t="s">
        <v>247</v>
      </c>
      <c r="E45" s="709"/>
      <c r="F45" s="709"/>
      <c r="G45" s="717" t="s">
        <v>73</v>
      </c>
      <c r="H45" s="718"/>
      <c r="I45" s="718"/>
      <c r="J45" s="719">
        <f>N35</f>
        <v>1696543427.9797151</v>
      </c>
      <c r="K45" s="709"/>
      <c r="L45" s="709"/>
      <c r="M45" s="709"/>
      <c r="N45" s="709"/>
    </row>
    <row r="46" spans="1:16" s="710" customFormat="1" ht="17" thickBot="1" x14ac:dyDescent="0.25">
      <c r="A46" s="720"/>
      <c r="B46" s="721"/>
      <c r="C46" s="721"/>
      <c r="D46" s="722"/>
      <c r="E46" s="718"/>
      <c r="F46" s="718"/>
      <c r="G46" s="723"/>
      <c r="H46" s="718"/>
      <c r="I46" s="718"/>
      <c r="J46" s="718"/>
      <c r="K46" s="718"/>
      <c r="L46" s="718"/>
      <c r="M46" s="718"/>
      <c r="N46" s="718"/>
    </row>
    <row r="47" spans="1:16" ht="17" thickBot="1" x14ac:dyDescent="0.25">
      <c r="A47" s="552" t="s">
        <v>74</v>
      </c>
      <c r="B47" s="553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4"/>
    </row>
    <row r="48" spans="1:16" ht="17" thickBot="1" x14ac:dyDescent="0.25">
      <c r="A48" s="724"/>
      <c r="B48" s="725"/>
      <c r="C48" s="725"/>
      <c r="D48" s="726" t="s">
        <v>58</v>
      </c>
      <c r="E48" s="638" t="s">
        <v>37</v>
      </c>
      <c r="F48" s="639"/>
      <c r="G48" s="640"/>
      <c r="H48" s="638" t="s">
        <v>79</v>
      </c>
      <c r="I48" s="641"/>
      <c r="J48" s="640"/>
      <c r="K48" s="642" t="s">
        <v>80</v>
      </c>
      <c r="L48" s="642"/>
      <c r="M48" s="639"/>
      <c r="N48" s="640"/>
    </row>
    <row r="49" spans="1:14" s="632" customFormat="1" ht="17" thickBot="1" x14ac:dyDescent="0.25">
      <c r="A49" s="643"/>
      <c r="B49" s="644"/>
      <c r="C49" s="645" t="s">
        <v>30</v>
      </c>
      <c r="D49" s="645" t="s">
        <v>362</v>
      </c>
      <c r="E49" s="646">
        <v>2020</v>
      </c>
      <c r="F49" s="645">
        <f t="shared" ref="F49:N49" si="7">E49+1</f>
        <v>2021</v>
      </c>
      <c r="G49" s="647">
        <f t="shared" si="7"/>
        <v>2022</v>
      </c>
      <c r="H49" s="646">
        <f t="shared" si="7"/>
        <v>2023</v>
      </c>
      <c r="I49" s="645">
        <f t="shared" si="7"/>
        <v>2024</v>
      </c>
      <c r="J49" s="647">
        <f t="shared" si="7"/>
        <v>2025</v>
      </c>
      <c r="K49" s="645">
        <f t="shared" si="7"/>
        <v>2026</v>
      </c>
      <c r="L49" s="645">
        <f t="shared" si="7"/>
        <v>2027</v>
      </c>
      <c r="M49" s="645">
        <f t="shared" si="7"/>
        <v>2028</v>
      </c>
      <c r="N49" s="647">
        <f t="shared" si="7"/>
        <v>2029</v>
      </c>
    </row>
    <row r="50" spans="1:14" ht="17" thickBot="1" x14ac:dyDescent="0.25">
      <c r="A50" s="727" t="s">
        <v>328</v>
      </c>
      <c r="B50" s="727"/>
      <c r="C50" s="727"/>
      <c r="D50" s="728"/>
      <c r="E50" s="651"/>
      <c r="F50" s="652"/>
      <c r="G50" s="653"/>
      <c r="H50" s="651"/>
      <c r="I50" s="652"/>
      <c r="J50" s="653"/>
      <c r="K50" s="652"/>
      <c r="L50" s="652"/>
      <c r="M50" s="652"/>
      <c r="N50" s="653"/>
    </row>
    <row r="51" spans="1:14" x14ac:dyDescent="0.2">
      <c r="A51" s="654" t="s">
        <v>64</v>
      </c>
      <c r="B51" s="655"/>
      <c r="C51" s="729">
        <f>SUM('2.Market-Rate Rental Housing'!C78:C82)</f>
        <v>768.45066666666662</v>
      </c>
      <c r="D51" s="730">
        <f>SUM('2.Market-Rate Rental Housing'!C9,'2.Market-Rate Rental Housing'!C19,'2.Market-Rate Rental Housing'!C29,'2.Market-Rate Rental Housing'!C39,'2.Market-Rate Rental Housing'!C49)</f>
        <v>0</v>
      </c>
      <c r="E51" s="731">
        <f>SUM('2.Market-Rate Rental Housing'!D9,'2.Market-Rate Rental Housing'!D19,'2.Market-Rate Rental Housing'!D29,'2.Market-Rate Rental Housing'!D39,'2.Market-Rate Rental Housing'!D49)</f>
        <v>410</v>
      </c>
      <c r="F51" s="732">
        <f>SUM('2.Market-Rate Rental Housing'!E9,'2.Market-Rate Rental Housing'!E19,'2.Market-Rate Rental Housing'!E29,'2.Market-Rate Rental Housing'!E39,'2.Market-Rate Rental Housing'!E49)</f>
        <v>205</v>
      </c>
      <c r="G51" s="733">
        <f>SUM('2.Market-Rate Rental Housing'!F9,'2.Market-Rate Rental Housing'!F19,'2.Market-Rate Rental Housing'!F29,'2.Market-Rate Rental Housing'!F39,'2.Market-Rate Rental Housing'!F49)</f>
        <v>0</v>
      </c>
      <c r="H51" s="731">
        <f>SUM('2.Market-Rate Rental Housing'!G9,'2.Market-Rate Rental Housing'!G19,'2.Market-Rate Rental Housing'!G29,'2.Market-Rate Rental Housing'!G39,'2.Market-Rate Rental Housing'!G49)</f>
        <v>0</v>
      </c>
      <c r="I51" s="732">
        <f>SUM('2.Market-Rate Rental Housing'!H9,'2.Market-Rate Rental Housing'!H19,'2.Market-Rate Rental Housing'!H29,'2.Market-Rate Rental Housing'!H39,'2.Market-Rate Rental Housing'!H49)</f>
        <v>0</v>
      </c>
      <c r="J51" s="733">
        <f>SUM('2.Market-Rate Rental Housing'!I9,'2.Market-Rate Rental Housing'!I19,'2.Market-Rate Rental Housing'!I29,'2.Market-Rate Rental Housing'!I39,'2.Market-Rate Rental Housing'!I49)</f>
        <v>0</v>
      </c>
      <c r="K51" s="730">
        <f>SUM('2.Market-Rate Rental Housing'!J9,'2.Market-Rate Rental Housing'!J19,'2.Market-Rate Rental Housing'!J29,'2.Market-Rate Rental Housing'!J39,'2.Market-Rate Rental Housing'!J49)</f>
        <v>0</v>
      </c>
      <c r="L51" s="730">
        <f>SUM('2.Market-Rate Rental Housing'!K9,'2.Market-Rate Rental Housing'!K19,'2.Market-Rate Rental Housing'!K29,'2.Market-Rate Rental Housing'!K39,'2.Market-Rate Rental Housing'!K49)</f>
        <v>153</v>
      </c>
      <c r="M51" s="730">
        <f>SUM('2.Market-Rate Rental Housing'!L9,'2.Market-Rate Rental Housing'!L19,'2.Market-Rate Rental Housing'!L29,'2.Market-Rate Rental Housing'!L39,'2.Market-Rate Rental Housing'!L49)</f>
        <v>0</v>
      </c>
      <c r="N51" s="734">
        <f>SUM('2.Market-Rate Rental Housing'!M9,'2.Market-Rate Rental Housing'!M19,'2.Market-Rate Rental Housing'!M29,'2.Market-Rate Rental Housing'!M39,'2.Market-Rate Rental Housing'!M49)</f>
        <v>0</v>
      </c>
    </row>
    <row r="52" spans="1:14" x14ac:dyDescent="0.2">
      <c r="A52" s="654" t="s">
        <v>65</v>
      </c>
      <c r="B52" s="655"/>
      <c r="C52" s="729">
        <f>SUM('3.Market-Rate For-Sale Housing'!C53:C55)</f>
        <v>384.22533333333331</v>
      </c>
      <c r="D52" s="735">
        <f>SUM('3.Market-Rate For-Sale Housing'!C18,'3.Market-Rate For-Sale Housing'!C27,'3.Market-Rate For-Sale Housing'!C9)</f>
        <v>0</v>
      </c>
      <c r="E52" s="736">
        <f>SUM('3.Market-Rate For-Sale Housing'!D18,'3.Market-Rate For-Sale Housing'!D27,'3.Market-Rate For-Sale Housing'!D9)</f>
        <v>205</v>
      </c>
      <c r="F52" s="737">
        <f>SUM('3.Market-Rate For-Sale Housing'!E18,'3.Market-Rate For-Sale Housing'!E27,'3.Market-Rate For-Sale Housing'!E9)</f>
        <v>103</v>
      </c>
      <c r="G52" s="738">
        <f>SUM('3.Market-Rate For-Sale Housing'!F18,'3.Market-Rate For-Sale Housing'!F27,'3.Market-Rate For-Sale Housing'!F9)</f>
        <v>0</v>
      </c>
      <c r="H52" s="739">
        <f>SUM('3.Market-Rate For-Sale Housing'!G18,'3.Market-Rate For-Sale Housing'!G27,'3.Market-Rate For-Sale Housing'!G9)</f>
        <v>0</v>
      </c>
      <c r="I52" s="737">
        <f>SUM('3.Market-Rate For-Sale Housing'!H18,'3.Market-Rate For-Sale Housing'!H27,'3.Market-Rate For-Sale Housing'!H9)</f>
        <v>0</v>
      </c>
      <c r="J52" s="738">
        <f>SUM('3.Market-Rate For-Sale Housing'!I18,'3.Market-Rate For-Sale Housing'!I27,'3.Market-Rate For-Sale Housing'!I9)</f>
        <v>0</v>
      </c>
      <c r="K52" s="737">
        <f>SUM('3.Market-Rate For-Sale Housing'!J18,'3.Market-Rate For-Sale Housing'!J27,'3.Market-Rate For-Sale Housing'!J9)</f>
        <v>0</v>
      </c>
      <c r="L52" s="737">
        <f>SUM('3.Market-Rate For-Sale Housing'!K18,'3.Market-Rate For-Sale Housing'!K27,'3.Market-Rate For-Sale Housing'!K9)</f>
        <v>76</v>
      </c>
      <c r="M52" s="737">
        <f>SUM('3.Market-Rate For-Sale Housing'!L18,'3.Market-Rate For-Sale Housing'!L27,'3.Market-Rate For-Sale Housing'!L9)</f>
        <v>0</v>
      </c>
      <c r="N52" s="738">
        <f>SUM('3.Market-Rate For-Sale Housing'!M18,'3.Market-Rate For-Sale Housing'!M27,'3.Market-Rate For-Sale Housing'!M9)</f>
        <v>0</v>
      </c>
    </row>
    <row r="53" spans="1:14" x14ac:dyDescent="0.2">
      <c r="A53" s="654" t="s">
        <v>66</v>
      </c>
      <c r="B53" s="655"/>
      <c r="C53" s="729">
        <f>SUM('4.Affordable Rental Housing'!C58:C60)</f>
        <v>85.382666666666665</v>
      </c>
      <c r="D53" s="730">
        <f>SUM('4.Affordable Rental Housing'!C9,'4.Affordable Rental Housing'!C19,'4.Affordable Rental Housing'!C29)</f>
        <v>0</v>
      </c>
      <c r="E53" s="740">
        <f>SUM('4.Affordable Rental Housing'!D9,'4.Affordable Rental Housing'!D19,'4.Affordable Rental Housing'!D29)</f>
        <v>46</v>
      </c>
      <c r="F53" s="730">
        <f>SUM('4.Affordable Rental Housing'!E9,'4.Affordable Rental Housing'!E19,'4.Affordable Rental Housing'!E29)</f>
        <v>23</v>
      </c>
      <c r="G53" s="734">
        <f>SUM('4.Affordable Rental Housing'!F9,'4.Affordable Rental Housing'!F19,'4.Affordable Rental Housing'!F29)</f>
        <v>0</v>
      </c>
      <c r="H53" s="740">
        <f>SUM('4.Affordable Rental Housing'!G9,'4.Affordable Rental Housing'!G19,'4.Affordable Rental Housing'!G29)</f>
        <v>0</v>
      </c>
      <c r="I53" s="730">
        <f>SUM('4.Affordable Rental Housing'!H9,'4.Affordable Rental Housing'!H19,'4.Affordable Rental Housing'!H29)</f>
        <v>0</v>
      </c>
      <c r="J53" s="734">
        <f>SUM('4.Affordable Rental Housing'!I9,'4.Affordable Rental Housing'!I19,'4.Affordable Rental Housing'!I29)</f>
        <v>0</v>
      </c>
      <c r="K53" s="730">
        <f>SUM('4.Affordable Rental Housing'!J9,'4.Affordable Rental Housing'!J19,'4.Affordable Rental Housing'!J29)</f>
        <v>11</v>
      </c>
      <c r="L53" s="730">
        <f>SUM('4.Affordable Rental Housing'!K9,'4.Affordable Rental Housing'!K19,'4.Affordable Rental Housing'!K29)</f>
        <v>6</v>
      </c>
      <c r="M53" s="730">
        <f>SUM('4.Affordable Rental Housing'!L9,'4.Affordable Rental Housing'!L19,'4.Affordable Rental Housing'!L29)</f>
        <v>0</v>
      </c>
      <c r="N53" s="734">
        <f>SUM('4.Affordable Rental Housing'!M9,'4.Affordable Rental Housing'!M19,'4.Affordable Rental Housing'!M29)</f>
        <v>0</v>
      </c>
    </row>
    <row r="54" spans="1:14" x14ac:dyDescent="0.2">
      <c r="A54" s="654" t="s">
        <v>330</v>
      </c>
      <c r="B54" s="655"/>
      <c r="C54" s="729">
        <f>SUM('5.Affordable For-Sale Housing '!C53:C55)</f>
        <v>42.692000000000007</v>
      </c>
      <c r="D54" s="730">
        <f>SUM('5.Affordable For-Sale Housing '!C9,'5.Affordable For-Sale Housing '!C18,'5.Affordable For-Sale Housing '!C27)</f>
        <v>0</v>
      </c>
      <c r="E54" s="740">
        <f>SUM('5.Affordable For-Sale Housing '!D9,'5.Affordable For-Sale Housing '!D18,'5.Affordable For-Sale Housing '!D27)</f>
        <v>23</v>
      </c>
      <c r="F54" s="730">
        <f>SUM('5.Affordable For-Sale Housing '!E9,'5.Affordable For-Sale Housing '!E18,'5.Affordable For-Sale Housing '!E27)</f>
        <v>11</v>
      </c>
      <c r="G54" s="734">
        <f>SUM('5.Affordable For-Sale Housing '!F9,'5.Affordable For-Sale Housing '!F18,'5.Affordable For-Sale Housing '!F27)</f>
        <v>0</v>
      </c>
      <c r="H54" s="740">
        <f>SUM('5.Affordable For-Sale Housing '!G9,'5.Affordable For-Sale Housing '!G18,'5.Affordable For-Sale Housing '!G27)</f>
        <v>0</v>
      </c>
      <c r="I54" s="730">
        <f>SUM('5.Affordable For-Sale Housing '!H9,'5.Affordable For-Sale Housing '!H18,'5.Affordable For-Sale Housing '!H27)</f>
        <v>0</v>
      </c>
      <c r="J54" s="734">
        <f>SUM('5.Affordable For-Sale Housing '!I9,'5.Affordable For-Sale Housing '!I18,'5.Affordable For-Sale Housing '!I27)</f>
        <v>0</v>
      </c>
      <c r="K54" s="730">
        <f>SUM('5.Affordable For-Sale Housing '!J9,'5.Affordable For-Sale Housing '!J18,'5.Affordable For-Sale Housing '!J27)</f>
        <v>8</v>
      </c>
      <c r="L54" s="730">
        <f>SUM('5.Affordable For-Sale Housing '!K9,'5.Affordable For-Sale Housing '!K18,'5.Affordable For-Sale Housing '!K27)</f>
        <v>0</v>
      </c>
      <c r="M54" s="730">
        <f>SUM('5.Affordable For-Sale Housing '!L9,'5.Affordable For-Sale Housing '!L18,'5.Affordable For-Sale Housing '!L27)</f>
        <v>0</v>
      </c>
      <c r="N54" s="734">
        <f>SUM('5.Affordable For-Sale Housing '!M9,'5.Affordable For-Sale Housing '!M18,'5.Affordable For-Sale Housing '!M27)</f>
        <v>0</v>
      </c>
    </row>
    <row r="55" spans="1:14" x14ac:dyDescent="0.2">
      <c r="A55" s="741" t="s">
        <v>49</v>
      </c>
      <c r="B55" s="689"/>
      <c r="C55" s="742">
        <f>'9.Hotel'!C33</f>
        <v>330</v>
      </c>
      <c r="D55" s="730">
        <f>'9.Hotel'!C8</f>
        <v>0</v>
      </c>
      <c r="E55" s="740">
        <f>'9.Hotel'!D8</f>
        <v>0</v>
      </c>
      <c r="F55" s="730">
        <f>'9.Hotel'!E8</f>
        <v>0</v>
      </c>
      <c r="G55" s="734">
        <f>'9.Hotel'!F8</f>
        <v>0</v>
      </c>
      <c r="H55" s="740">
        <f>'9.Hotel'!G8</f>
        <v>0</v>
      </c>
      <c r="I55" s="730">
        <f>'9.Hotel'!H8</f>
        <v>330</v>
      </c>
      <c r="J55" s="734">
        <f>'9.Hotel'!I8</f>
        <v>0</v>
      </c>
      <c r="K55" s="730">
        <f>'9.Hotel'!J8</f>
        <v>0</v>
      </c>
      <c r="L55" s="730">
        <f>'9.Hotel'!K8</f>
        <v>0</v>
      </c>
      <c r="M55" s="730">
        <f>'9.Hotel'!L8</f>
        <v>0</v>
      </c>
      <c r="N55" s="734">
        <f>'9.Hotel'!M8</f>
        <v>0</v>
      </c>
    </row>
    <row r="56" spans="1:14" x14ac:dyDescent="0.2">
      <c r="A56" s="741" t="s">
        <v>50</v>
      </c>
      <c r="B56" s="689"/>
      <c r="C56" s="743">
        <f>SUM('10.Structured Parking'!C106:C109)</f>
        <v>846.32333333333327</v>
      </c>
      <c r="D56" s="730">
        <f>D67/'10.Structured Parking'!$D$112</f>
        <v>0</v>
      </c>
      <c r="E56" s="740">
        <f>E67/'10.Structured Parking'!$D$112</f>
        <v>171.16333333333333</v>
      </c>
      <c r="F56" s="730">
        <f>F67/'10.Structured Parking'!$D$112</f>
        <v>129.97999999999999</v>
      </c>
      <c r="G56" s="734">
        <f>G67/'10.Structured Parking'!$D$112</f>
        <v>0</v>
      </c>
      <c r="H56" s="740">
        <f>H67/'10.Structured Parking'!$D$112</f>
        <v>94.555000000000007</v>
      </c>
      <c r="I56" s="730">
        <f>I67/'10.Structured Parking'!$D$112</f>
        <v>94.555000000000007</v>
      </c>
      <c r="J56" s="734">
        <f>J67/'10.Structured Parking'!$D$112</f>
        <v>0</v>
      </c>
      <c r="K56" s="730">
        <f>K67/'10.Structured Parking'!$D$112</f>
        <v>131.36000000000001</v>
      </c>
      <c r="L56" s="730">
        <f>L67/'10.Structured Parking'!$D$112</f>
        <v>103.1</v>
      </c>
      <c r="M56" s="730">
        <f>M67/'10.Structured Parking'!$D$112</f>
        <v>121.61</v>
      </c>
      <c r="N56" s="734">
        <f>N67/'10.Structured Parking'!$D$112</f>
        <v>0</v>
      </c>
    </row>
    <row r="57" spans="1:14" ht="19.5" customHeight="1" thickBot="1" x14ac:dyDescent="0.25">
      <c r="A57" s="741" t="s">
        <v>51</v>
      </c>
      <c r="B57" s="689"/>
      <c r="C57" s="743">
        <f>SUM('11.Surface Parking'!C83:C85)</f>
        <v>47.983333333333334</v>
      </c>
      <c r="D57" s="730">
        <f>D68/'11.Surface Parking'!$D$88</f>
        <v>0</v>
      </c>
      <c r="E57" s="740">
        <f>E68/'11.Surface Parking'!$D$88</f>
        <v>0</v>
      </c>
      <c r="F57" s="730">
        <f>F68/'11.Surface Parking'!$D$88</f>
        <v>0</v>
      </c>
      <c r="G57" s="734">
        <f>G68/'11.Surface Parking'!$D$88</f>
        <v>47.983333333333334</v>
      </c>
      <c r="H57" s="740">
        <f>H68/'11.Surface Parking'!$D$88</f>
        <v>0</v>
      </c>
      <c r="I57" s="730">
        <f>I68/'11.Surface Parking'!$D$88</f>
        <v>0</v>
      </c>
      <c r="J57" s="734">
        <f>J68/'11.Surface Parking'!$D$88</f>
        <v>0</v>
      </c>
      <c r="K57" s="730">
        <f>K68/'11.Surface Parking'!$D$88</f>
        <v>0</v>
      </c>
      <c r="L57" s="730">
        <f>L68/'11.Surface Parking'!$D$88</f>
        <v>0</v>
      </c>
      <c r="M57" s="730">
        <f>M68/'11.Surface Parking'!$D$88</f>
        <v>0</v>
      </c>
      <c r="N57" s="734">
        <f>N68/'11.Surface Parking'!$D$88</f>
        <v>0</v>
      </c>
    </row>
    <row r="58" spans="1:14" ht="17" thickBot="1" x14ac:dyDescent="0.25">
      <c r="A58" s="744" t="s">
        <v>31</v>
      </c>
      <c r="B58" s="727"/>
      <c r="C58" s="650"/>
      <c r="D58" s="650"/>
      <c r="E58" s="651"/>
      <c r="F58" s="652"/>
      <c r="G58" s="653"/>
      <c r="H58" s="651"/>
      <c r="I58" s="652"/>
      <c r="J58" s="653"/>
      <c r="K58" s="652"/>
      <c r="L58" s="652"/>
      <c r="M58" s="652"/>
      <c r="N58" s="653"/>
    </row>
    <row r="59" spans="1:14" x14ac:dyDescent="0.2">
      <c r="A59" s="654" t="s">
        <v>64</v>
      </c>
      <c r="B59" s="745"/>
      <c r="C59" s="746">
        <f>SUM('2.Market-Rate Rental Housing'!D78:D82)</f>
        <v>576338</v>
      </c>
      <c r="D59" s="730">
        <f>D51*'2.Market-Rate Rental Housing'!$B$12</f>
        <v>0</v>
      </c>
      <c r="E59" s="740">
        <f>E51*'2.Market-Rate Rental Housing'!$B$12</f>
        <v>307500</v>
      </c>
      <c r="F59" s="730">
        <f>F51*'2.Market-Rate Rental Housing'!$B$12</f>
        <v>153750</v>
      </c>
      <c r="G59" s="734">
        <f>G51*'2.Market-Rate Rental Housing'!$B$12</f>
        <v>0</v>
      </c>
      <c r="H59" s="740">
        <f>H51*'2.Market-Rate Rental Housing'!$B$12</f>
        <v>0</v>
      </c>
      <c r="I59" s="730">
        <f>I51*'2.Market-Rate Rental Housing'!$B$12</f>
        <v>0</v>
      </c>
      <c r="J59" s="734">
        <f>J51*'2.Market-Rate Rental Housing'!$B$12</f>
        <v>0</v>
      </c>
      <c r="K59" s="730">
        <f>K51*'2.Market-Rate Rental Housing'!$B$12</f>
        <v>0</v>
      </c>
      <c r="L59" s="730">
        <f>L51*'2.Market-Rate Rental Housing'!$B$12</f>
        <v>114750</v>
      </c>
      <c r="M59" s="730">
        <f>M51*'2.Market-Rate Rental Housing'!$B$12</f>
        <v>0</v>
      </c>
      <c r="N59" s="734">
        <f>N51*'2.Market-Rate Rental Housing'!$B$12</f>
        <v>0</v>
      </c>
    </row>
    <row r="60" spans="1:14" x14ac:dyDescent="0.2">
      <c r="A60" s="654" t="s">
        <v>65</v>
      </c>
      <c r="B60" s="745"/>
      <c r="C60" s="746">
        <f>SUM('3.Market-Rate For-Sale Housing'!D53:D55)</f>
        <v>288169</v>
      </c>
      <c r="D60" s="730">
        <f>D52*'3.Market-Rate For-Sale Housing'!$B$21</f>
        <v>0</v>
      </c>
      <c r="E60" s="740">
        <f>E52*'3.Market-Rate For-Sale Housing'!$B$21</f>
        <v>153750</v>
      </c>
      <c r="F60" s="730">
        <f>F52*'3.Market-Rate For-Sale Housing'!$B$21</f>
        <v>77250</v>
      </c>
      <c r="G60" s="734">
        <f>G52*'3.Market-Rate For-Sale Housing'!$B$21</f>
        <v>0</v>
      </c>
      <c r="H60" s="740">
        <f>H52*'3.Market-Rate For-Sale Housing'!$B$21</f>
        <v>0</v>
      </c>
      <c r="I60" s="730">
        <f>I52*'3.Market-Rate For-Sale Housing'!$B$21</f>
        <v>0</v>
      </c>
      <c r="J60" s="734">
        <f>J52*'3.Market-Rate For-Sale Housing'!$B$21</f>
        <v>0</v>
      </c>
      <c r="K60" s="730">
        <f>K52*'3.Market-Rate For-Sale Housing'!$B$21</f>
        <v>0</v>
      </c>
      <c r="L60" s="730">
        <f>L52*'3.Market-Rate For-Sale Housing'!$B$21</f>
        <v>57000</v>
      </c>
      <c r="M60" s="730">
        <f>M52*'3.Market-Rate For-Sale Housing'!$B$21</f>
        <v>0</v>
      </c>
      <c r="N60" s="734">
        <f>N52*'3.Market-Rate For-Sale Housing'!$B$21</f>
        <v>0</v>
      </c>
    </row>
    <row r="61" spans="1:14" x14ac:dyDescent="0.2">
      <c r="A61" s="654" t="s">
        <v>66</v>
      </c>
      <c r="B61" s="745"/>
      <c r="C61" s="746">
        <f>SUM('4.Affordable Rental Housing'!D58:D60)</f>
        <v>64037</v>
      </c>
      <c r="D61" s="730">
        <f>D53*'4.Affordable Rental Housing'!$B$12</f>
        <v>0</v>
      </c>
      <c r="E61" s="740">
        <f>E53*'4.Affordable Rental Housing'!$B$12</f>
        <v>34500</v>
      </c>
      <c r="F61" s="730">
        <f>F53*'4.Affordable Rental Housing'!$B$12</f>
        <v>17250</v>
      </c>
      <c r="G61" s="734">
        <f>G53*'4.Affordable Rental Housing'!$B$12</f>
        <v>0</v>
      </c>
      <c r="H61" s="740">
        <f>H53*'4.Affordable Rental Housing'!$B$12</f>
        <v>0</v>
      </c>
      <c r="I61" s="730">
        <f>I53*'4.Affordable Rental Housing'!$B$12</f>
        <v>0</v>
      </c>
      <c r="J61" s="734">
        <f>J53*'4.Affordable Rental Housing'!$B$12</f>
        <v>0</v>
      </c>
      <c r="K61" s="730">
        <f>K53*'4.Affordable Rental Housing'!$B$12</f>
        <v>8250</v>
      </c>
      <c r="L61" s="730">
        <f>L53*'4.Affordable Rental Housing'!$B$12</f>
        <v>4500</v>
      </c>
      <c r="M61" s="730">
        <f>M53*'4.Affordable Rental Housing'!$B$12</f>
        <v>0</v>
      </c>
      <c r="N61" s="734">
        <f>N53*'4.Affordable Rental Housing'!$B$12</f>
        <v>0</v>
      </c>
    </row>
    <row r="62" spans="1:14" x14ac:dyDescent="0.2">
      <c r="A62" s="654" t="s">
        <v>330</v>
      </c>
      <c r="B62" s="745"/>
      <c r="C62" s="746">
        <f>SUM('5.Affordable For-Sale Housing '!D53:D55)</f>
        <v>32019</v>
      </c>
      <c r="D62" s="730">
        <f>D54*'5.Affordable For-Sale Housing '!$B$12</f>
        <v>0</v>
      </c>
      <c r="E62" s="740">
        <f>E54*'5.Affordable For-Sale Housing '!$B$12</f>
        <v>17250</v>
      </c>
      <c r="F62" s="730">
        <f>F54*'5.Affordable For-Sale Housing '!$B$12</f>
        <v>8250</v>
      </c>
      <c r="G62" s="734">
        <f>G54*'5.Affordable For-Sale Housing '!$B$12</f>
        <v>0</v>
      </c>
      <c r="H62" s="740">
        <f>H54*'5.Affordable For-Sale Housing '!$B$12</f>
        <v>0</v>
      </c>
      <c r="I62" s="730">
        <f>I54*'5.Affordable For-Sale Housing '!$B$12</f>
        <v>0</v>
      </c>
      <c r="J62" s="734">
        <f>J54*'5.Affordable For-Sale Housing '!$B$12</f>
        <v>0</v>
      </c>
      <c r="K62" s="730">
        <f>K54*'5.Affordable For-Sale Housing '!$B$12</f>
        <v>6000</v>
      </c>
      <c r="L62" s="730">
        <f>L54*'5.Affordable For-Sale Housing '!$B$12</f>
        <v>0</v>
      </c>
      <c r="M62" s="730">
        <f>M54*'5.Affordable For-Sale Housing '!$B$12</f>
        <v>0</v>
      </c>
      <c r="N62" s="734">
        <f>N54*'5.Affordable For-Sale Housing '!$B$12</f>
        <v>0</v>
      </c>
    </row>
    <row r="63" spans="1:14" x14ac:dyDescent="0.2">
      <c r="A63" s="654" t="s">
        <v>67</v>
      </c>
      <c r="B63" s="689"/>
      <c r="C63" s="746">
        <f>SUM('6.Office'!C56:C58)</f>
        <v>977154</v>
      </c>
      <c r="D63" s="730">
        <f>'Development Schedule'!D84</f>
        <v>0</v>
      </c>
      <c r="E63" s="740">
        <f>'Development Schedule'!E84</f>
        <v>0</v>
      </c>
      <c r="F63" s="730">
        <f>'Development Schedule'!F84</f>
        <v>38884</v>
      </c>
      <c r="G63" s="734">
        <f>'Development Schedule'!G84</f>
        <v>0</v>
      </c>
      <c r="H63" s="740">
        <f>'Development Schedule'!H84</f>
        <v>0</v>
      </c>
      <c r="I63" s="730">
        <f>'Development Schedule'!I84</f>
        <v>210336</v>
      </c>
      <c r="J63" s="734">
        <f>'Development Schedule'!J84</f>
        <v>0</v>
      </c>
      <c r="K63" s="730">
        <f>'Development Schedule'!K84</f>
        <v>291170</v>
      </c>
      <c r="L63" s="730">
        <f>'Development Schedule'!L84</f>
        <v>291176</v>
      </c>
      <c r="M63" s="730">
        <f>'Development Schedule'!M84</f>
        <v>145588</v>
      </c>
      <c r="N63" s="734">
        <f>'Development Schedule'!N84</f>
        <v>0</v>
      </c>
    </row>
    <row r="64" spans="1:14" x14ac:dyDescent="0.2">
      <c r="A64" s="654" t="s">
        <v>348</v>
      </c>
      <c r="B64" s="689"/>
      <c r="C64" s="746">
        <f>SUM('7.Industrial &amp; School'!C56:C58)</f>
        <v>0</v>
      </c>
      <c r="D64" s="730">
        <f>'Development Schedule'!D83</f>
        <v>0</v>
      </c>
      <c r="E64" s="740">
        <f>'Development Schedule'!E83</f>
        <v>0</v>
      </c>
      <c r="F64" s="730">
        <f>'Development Schedule'!F83</f>
        <v>0</v>
      </c>
      <c r="G64" s="734">
        <f>'Development Schedule'!G83</f>
        <v>0</v>
      </c>
      <c r="H64" s="740">
        <f>'Development Schedule'!H83</f>
        <v>0</v>
      </c>
      <c r="I64" s="730">
        <f>'Development Schedule'!I83</f>
        <v>0</v>
      </c>
      <c r="J64" s="734">
        <f>'Development Schedule'!J83</f>
        <v>0</v>
      </c>
      <c r="K64" s="730">
        <f>'Development Schedule'!K83</f>
        <v>0</v>
      </c>
      <c r="L64" s="730">
        <f>'Development Schedule'!L83</f>
        <v>0</v>
      </c>
      <c r="M64" s="730">
        <f>'Development Schedule'!M83</f>
        <v>0</v>
      </c>
      <c r="N64" s="734">
        <f>'Development Schedule'!N83</f>
        <v>0</v>
      </c>
    </row>
    <row r="65" spans="1:14" x14ac:dyDescent="0.2">
      <c r="A65" s="654" t="s">
        <v>123</v>
      </c>
      <c r="B65" s="689"/>
      <c r="C65" s="746">
        <f>SUM('8.Market-Rate Retail'!C103:C110)</f>
        <v>214489</v>
      </c>
      <c r="D65" s="730">
        <f>'Development Schedule'!D78</f>
        <v>0</v>
      </c>
      <c r="E65" s="740">
        <f>'Development Schedule'!E78</f>
        <v>51349</v>
      </c>
      <c r="F65" s="730">
        <f>'Development Schedule'!F78</f>
        <v>38994</v>
      </c>
      <c r="G65" s="734">
        <f>'Development Schedule'!G78</f>
        <v>0</v>
      </c>
      <c r="H65" s="740">
        <f>'Development Schedule'!H78</f>
        <v>28366.5</v>
      </c>
      <c r="I65" s="730">
        <f>'Development Schedule'!I78</f>
        <v>28366.5</v>
      </c>
      <c r="J65" s="734">
        <f>'Development Schedule'!J78</f>
        <v>0</v>
      </c>
      <c r="K65" s="730">
        <f>'Development Schedule'!K78</f>
        <v>0</v>
      </c>
      <c r="L65" s="730">
        <f>'Development Schedule'!L78</f>
        <v>30930</v>
      </c>
      <c r="M65" s="730">
        <f>'Development Schedule'!M78</f>
        <v>36483</v>
      </c>
      <c r="N65" s="734">
        <f>'Development Schedule'!N78</f>
        <v>0</v>
      </c>
    </row>
    <row r="66" spans="1:14" x14ac:dyDescent="0.2">
      <c r="A66" s="654" t="s">
        <v>49</v>
      </c>
      <c r="B66" s="689"/>
      <c r="C66" s="746">
        <f>SUM('9.Hotel'!D33)</f>
        <v>165000</v>
      </c>
      <c r="D66" s="730">
        <f>'Development Schedule'!D77</f>
        <v>0</v>
      </c>
      <c r="E66" s="740">
        <f>'Development Schedule'!E77</f>
        <v>0</v>
      </c>
      <c r="F66" s="730">
        <f>'Development Schedule'!F77</f>
        <v>0</v>
      </c>
      <c r="G66" s="734">
        <f>'Development Schedule'!G77</f>
        <v>0</v>
      </c>
      <c r="H66" s="740">
        <f>'Development Schedule'!H77</f>
        <v>165000</v>
      </c>
      <c r="I66" s="730">
        <f>'Development Schedule'!I77</f>
        <v>0</v>
      </c>
      <c r="J66" s="734">
        <f>'Development Schedule'!J77</f>
        <v>0</v>
      </c>
      <c r="K66" s="730">
        <f>'Development Schedule'!K77</f>
        <v>0</v>
      </c>
      <c r="L66" s="730">
        <f>'Development Schedule'!L77</f>
        <v>0</v>
      </c>
      <c r="M66" s="730">
        <f>'Development Schedule'!M77</f>
        <v>0</v>
      </c>
      <c r="N66" s="734">
        <f>'Development Schedule'!N77</f>
        <v>0</v>
      </c>
    </row>
    <row r="67" spans="1:14" x14ac:dyDescent="0.2">
      <c r="A67" s="654" t="s">
        <v>50</v>
      </c>
      <c r="B67" s="689"/>
      <c r="C67" s="746">
        <f>SUM('10.Structured Parking'!D106:D109)</f>
        <v>253897</v>
      </c>
      <c r="D67" s="730">
        <f>'Development Schedule'!D85</f>
        <v>0</v>
      </c>
      <c r="E67" s="740">
        <f>'Development Schedule'!E85</f>
        <v>51349</v>
      </c>
      <c r="F67" s="730">
        <f>'Development Schedule'!F85</f>
        <v>38994</v>
      </c>
      <c r="G67" s="734">
        <f>'Development Schedule'!G85</f>
        <v>0</v>
      </c>
      <c r="H67" s="740">
        <f>'Development Schedule'!H85</f>
        <v>28366.5</v>
      </c>
      <c r="I67" s="730">
        <f>'Development Schedule'!I85</f>
        <v>28366.5</v>
      </c>
      <c r="J67" s="734">
        <f>'Development Schedule'!J85</f>
        <v>0</v>
      </c>
      <c r="K67" s="730">
        <f>'Development Schedule'!K85</f>
        <v>39408</v>
      </c>
      <c r="L67" s="730">
        <f>'Development Schedule'!L85</f>
        <v>30930</v>
      </c>
      <c r="M67" s="730">
        <f>'Development Schedule'!M85</f>
        <v>36483</v>
      </c>
      <c r="N67" s="734">
        <f>'Development Schedule'!N85</f>
        <v>0</v>
      </c>
    </row>
    <row r="68" spans="1:14" ht="18" customHeight="1" x14ac:dyDescent="0.2">
      <c r="A68" s="666" t="s">
        <v>51</v>
      </c>
      <c r="B68" s="696"/>
      <c r="C68" s="747">
        <f>SUM('11.Surface Parking'!D83:D85)</f>
        <v>14395</v>
      </c>
      <c r="D68" s="748">
        <f>'Development Schedule'!D86</f>
        <v>0</v>
      </c>
      <c r="E68" s="749">
        <f>'Development Schedule'!E86</f>
        <v>0</v>
      </c>
      <c r="F68" s="748">
        <f>'Development Schedule'!F86</f>
        <v>0</v>
      </c>
      <c r="G68" s="750">
        <f>'Development Schedule'!G86</f>
        <v>14395</v>
      </c>
      <c r="H68" s="749">
        <f>'Development Schedule'!H86</f>
        <v>0</v>
      </c>
      <c r="I68" s="748">
        <f>'Development Schedule'!I86</f>
        <v>0</v>
      </c>
      <c r="J68" s="750">
        <f>'Development Schedule'!J86</f>
        <v>0</v>
      </c>
      <c r="K68" s="748">
        <f>'Development Schedule'!K86</f>
        <v>0</v>
      </c>
      <c r="L68" s="748">
        <f>'Development Schedule'!L86</f>
        <v>0</v>
      </c>
      <c r="M68" s="748">
        <f>'Development Schedule'!M86</f>
        <v>0</v>
      </c>
      <c r="N68" s="750">
        <f>'Development Schedule'!N86</f>
        <v>0</v>
      </c>
    </row>
    <row r="69" spans="1:14" ht="17" thickBot="1" x14ac:dyDescent="0.25">
      <c r="A69" s="751" t="s">
        <v>32</v>
      </c>
      <c r="B69" s="673"/>
      <c r="C69" s="752"/>
      <c r="D69" s="753">
        <f>SUM(D59:D68)</f>
        <v>0</v>
      </c>
      <c r="E69" s="754">
        <f t="shared" ref="E69:N69" si="8">SUM(E59:E68)</f>
        <v>615698</v>
      </c>
      <c r="F69" s="753">
        <f t="shared" si="8"/>
        <v>373372</v>
      </c>
      <c r="G69" s="755">
        <f t="shared" si="8"/>
        <v>14395</v>
      </c>
      <c r="H69" s="754">
        <f t="shared" si="8"/>
        <v>221733</v>
      </c>
      <c r="I69" s="753">
        <f t="shared" si="8"/>
        <v>267069</v>
      </c>
      <c r="J69" s="755">
        <f t="shared" si="8"/>
        <v>0</v>
      </c>
      <c r="K69" s="753">
        <f t="shared" si="8"/>
        <v>344828</v>
      </c>
      <c r="L69" s="753">
        <f t="shared" si="8"/>
        <v>529286</v>
      </c>
      <c r="M69" s="753">
        <f t="shared" si="8"/>
        <v>218554</v>
      </c>
      <c r="N69" s="755">
        <f t="shared" si="8"/>
        <v>0</v>
      </c>
    </row>
    <row r="70" spans="1:14" s="710" customFormat="1" ht="17" thickBot="1" x14ac:dyDescent="0.25">
      <c r="A70" s="756"/>
      <c r="B70" s="757"/>
      <c r="C70" s="758"/>
      <c r="D70" s="759"/>
      <c r="E70" s="759"/>
      <c r="F70" s="759"/>
      <c r="G70" s="759"/>
      <c r="H70" s="759"/>
      <c r="I70" s="759"/>
      <c r="J70" s="759"/>
      <c r="K70" s="759"/>
      <c r="L70" s="759"/>
      <c r="M70" s="759"/>
      <c r="N70" s="759"/>
    </row>
    <row r="71" spans="1:14" ht="17" thickBot="1" x14ac:dyDescent="0.25">
      <c r="A71" s="552" t="s">
        <v>126</v>
      </c>
      <c r="B71" s="553"/>
      <c r="C71" s="553"/>
      <c r="D71" s="553"/>
      <c r="E71" s="553"/>
      <c r="F71" s="554"/>
      <c r="G71" s="701"/>
      <c r="H71" s="710"/>
      <c r="I71" s="573" t="s">
        <v>228</v>
      </c>
      <c r="J71" s="574"/>
      <c r="K71" s="574"/>
      <c r="L71" s="574"/>
      <c r="M71" s="574"/>
      <c r="N71" s="575"/>
    </row>
    <row r="72" spans="1:14" s="768" customFormat="1" ht="16.5" customHeight="1" thickBot="1" x14ac:dyDescent="0.25">
      <c r="A72" s="760" t="s">
        <v>2</v>
      </c>
      <c r="B72" s="761"/>
      <c r="C72" s="762"/>
      <c r="D72" s="763"/>
      <c r="E72" s="764" t="s">
        <v>53</v>
      </c>
      <c r="F72" s="765" t="s">
        <v>35</v>
      </c>
      <c r="G72" s="726"/>
      <c r="H72" s="766"/>
      <c r="I72" s="767"/>
      <c r="J72" s="763"/>
      <c r="K72" s="763"/>
      <c r="L72" s="761"/>
      <c r="M72" s="764" t="s">
        <v>52</v>
      </c>
      <c r="N72" s="765" t="s">
        <v>75</v>
      </c>
    </row>
    <row r="73" spans="1:14" x14ac:dyDescent="0.2">
      <c r="A73" s="654" t="s">
        <v>64</v>
      </c>
      <c r="B73" s="745"/>
      <c r="C73" s="745"/>
      <c r="D73" s="689"/>
      <c r="E73" s="769">
        <f>F73/C51</f>
        <v>229354.08302570894</v>
      </c>
      <c r="F73" s="770">
        <f t="shared" ref="F73:F81" si="9">SUM(D18:N18)</f>
        <v>176247298.00382805</v>
      </c>
      <c r="G73" s="709"/>
      <c r="H73" s="710"/>
      <c r="I73" s="771" t="s">
        <v>76</v>
      </c>
      <c r="J73" s="757"/>
      <c r="K73" s="757"/>
      <c r="L73" s="772"/>
      <c r="M73" s="773"/>
      <c r="N73" s="774"/>
    </row>
    <row r="74" spans="1:14" x14ac:dyDescent="0.2">
      <c r="A74" s="654" t="s">
        <v>65</v>
      </c>
      <c r="B74" s="745"/>
      <c r="C74" s="745"/>
      <c r="D74" s="689"/>
      <c r="E74" s="775">
        <f>F74/C52</f>
        <v>229354.08302570894</v>
      </c>
      <c r="F74" s="776">
        <f t="shared" si="9"/>
        <v>88123649.001914024</v>
      </c>
      <c r="G74" s="709"/>
      <c r="H74" s="710"/>
      <c r="I74" s="741" t="s">
        <v>223</v>
      </c>
      <c r="J74" s="689"/>
      <c r="K74" s="689"/>
      <c r="L74" s="777"/>
      <c r="M74" s="657">
        <f>Budget!C14</f>
        <v>83313869.415084869</v>
      </c>
      <c r="N74" s="778">
        <f>M74/$M$85</f>
        <v>9.1450836509430616E-2</v>
      </c>
    </row>
    <row r="75" spans="1:14" x14ac:dyDescent="0.2">
      <c r="A75" s="654" t="s">
        <v>66</v>
      </c>
      <c r="B75" s="745"/>
      <c r="C75" s="745"/>
      <c r="D75" s="689"/>
      <c r="E75" s="775">
        <f>F75/C53</f>
        <v>228691.80029526312</v>
      </c>
      <c r="F75" s="776">
        <f t="shared" si="9"/>
        <v>19526315.754010353</v>
      </c>
      <c r="G75" s="709"/>
      <c r="H75" s="710"/>
      <c r="I75" s="741" t="s">
        <v>343</v>
      </c>
      <c r="J75" s="689"/>
      <c r="K75" s="689"/>
      <c r="L75" s="779"/>
      <c r="M75" s="657">
        <f>Budget!C15</f>
        <v>89621383.650000006</v>
      </c>
      <c r="N75" s="778">
        <f>M75/$M$85</f>
        <v>9.837438305849644E-2</v>
      </c>
    </row>
    <row r="76" spans="1:14" x14ac:dyDescent="0.2">
      <c r="A76" s="655" t="s">
        <v>330</v>
      </c>
      <c r="B76" s="745"/>
      <c r="C76" s="745"/>
      <c r="D76" s="689"/>
      <c r="E76" s="775">
        <f>F76/C54</f>
        <v>228360.99029179674</v>
      </c>
      <c r="F76" s="776">
        <f t="shared" si="9"/>
        <v>9749187.3975373879</v>
      </c>
      <c r="G76" s="709"/>
      <c r="H76" s="710"/>
      <c r="I76" s="780" t="s">
        <v>77</v>
      </c>
      <c r="J76" s="681"/>
      <c r="K76" s="681"/>
      <c r="L76" s="781"/>
      <c r="M76" s="741"/>
      <c r="N76" s="778"/>
    </row>
    <row r="77" spans="1:14" x14ac:dyDescent="0.2">
      <c r="A77" s="631" t="s">
        <v>316</v>
      </c>
      <c r="E77" s="782">
        <f>F77/C63</f>
        <v>288.58692167537328</v>
      </c>
      <c r="F77" s="783">
        <f t="shared" si="9"/>
        <v>281993864.86277771</v>
      </c>
      <c r="G77" s="709"/>
      <c r="H77" s="710"/>
      <c r="I77" s="741" t="s">
        <v>466</v>
      </c>
      <c r="J77" s="689"/>
      <c r="K77" s="689"/>
      <c r="L77" s="781"/>
      <c r="M77" s="663">
        <f>Budget!C12</f>
        <v>592165333.7115258</v>
      </c>
      <c r="N77" s="778">
        <f>M77/$M$85</f>
        <v>0.65000000000000013</v>
      </c>
    </row>
    <row r="78" spans="1:14" x14ac:dyDescent="0.2">
      <c r="A78" s="654" t="s">
        <v>51</v>
      </c>
      <c r="B78" s="689"/>
      <c r="C78" s="745"/>
      <c r="D78" s="689"/>
      <c r="E78" s="782">
        <f>F78/C57</f>
        <v>7959.0599999999986</v>
      </c>
      <c r="F78" s="776">
        <f>SUM(D27:N27)</f>
        <v>381902.22899999993</v>
      </c>
      <c r="G78" s="709"/>
      <c r="H78" s="710"/>
      <c r="I78" s="741" t="s">
        <v>485</v>
      </c>
      <c r="J78" s="689"/>
      <c r="K78" s="689"/>
      <c r="L78" s="781"/>
      <c r="M78" s="663">
        <f>Budget!C13</f>
        <v>136653538.54881364</v>
      </c>
      <c r="N78" s="778">
        <f>M78/$M$85</f>
        <v>0.15000000000000002</v>
      </c>
    </row>
    <row r="79" spans="1:14" x14ac:dyDescent="0.2">
      <c r="A79" s="654" t="s">
        <v>68</v>
      </c>
      <c r="B79" s="689"/>
      <c r="C79" s="745"/>
      <c r="D79" s="689"/>
      <c r="E79" s="775">
        <f>F79/C65</f>
        <v>245.85372338913092</v>
      </c>
      <c r="F79" s="776">
        <f t="shared" si="9"/>
        <v>52732919.276011303</v>
      </c>
      <c r="G79" s="709"/>
      <c r="H79" s="710"/>
      <c r="I79" s="780" t="s">
        <v>78</v>
      </c>
      <c r="J79" s="681"/>
      <c r="K79" s="681"/>
      <c r="L79" s="781"/>
      <c r="M79" s="741"/>
      <c r="N79" s="784"/>
    </row>
    <row r="80" spans="1:14" x14ac:dyDescent="0.2">
      <c r="A80" s="654" t="s">
        <v>49</v>
      </c>
      <c r="B80" s="689"/>
      <c r="C80" s="745"/>
      <c r="D80" s="689"/>
      <c r="E80" s="775">
        <f>F80/C55</f>
        <v>148508.80475762876</v>
      </c>
      <c r="F80" s="776">
        <f t="shared" si="9"/>
        <v>49007905.570017494</v>
      </c>
      <c r="G80" s="709"/>
      <c r="H80" s="710"/>
      <c r="I80" s="741" t="s">
        <v>452</v>
      </c>
      <c r="J80" s="681"/>
      <c r="K80" s="681"/>
      <c r="L80" s="781"/>
      <c r="M80" s="785">
        <f>Budget!C16</f>
        <v>1179465</v>
      </c>
      <c r="N80" s="778">
        <f>M80/$M$85</f>
        <v>1.2946591202744669E-3</v>
      </c>
    </row>
    <row r="81" spans="1:14" x14ac:dyDescent="0.2">
      <c r="A81" s="654" t="s">
        <v>50</v>
      </c>
      <c r="B81" s="689"/>
      <c r="C81" s="745"/>
      <c r="D81" s="689"/>
      <c r="E81" s="775">
        <f>F81/(C56)</f>
        <v>33443.283732654891</v>
      </c>
      <c r="F81" s="776">
        <f t="shared" si="9"/>
        <v>28303831.366232928</v>
      </c>
      <c r="G81" s="709"/>
      <c r="H81" s="710"/>
      <c r="I81" s="741" t="s">
        <v>467</v>
      </c>
      <c r="J81" s="689"/>
      <c r="K81" s="689"/>
      <c r="L81" s="781"/>
      <c r="M81" s="663">
        <f>Budget!C17</f>
        <v>6500000</v>
      </c>
      <c r="N81" s="778">
        <f>M81/$M$85</f>
        <v>7.1348317091088206E-3</v>
      </c>
    </row>
    <row r="82" spans="1:14" x14ac:dyDescent="0.2">
      <c r="A82" s="654" t="s">
        <v>217</v>
      </c>
      <c r="B82" s="689"/>
      <c r="C82" s="745"/>
      <c r="D82" s="689"/>
      <c r="E82" s="775">
        <f>F82/'Land Acquisition'!D9</f>
        <v>422.55498768440077</v>
      </c>
      <c r="F82" s="786">
        <f>SUM(D28:N28)</f>
        <v>158514742.75</v>
      </c>
      <c r="G82" s="709"/>
      <c r="H82" s="710"/>
      <c r="I82" s="741" t="s">
        <v>481</v>
      </c>
      <c r="J82" s="689"/>
      <c r="K82" s="689"/>
      <c r="L82" s="781"/>
      <c r="M82" s="663">
        <f>Budget!C18</f>
        <v>90000</v>
      </c>
      <c r="N82" s="778">
        <f>M82/$M$85</f>
        <v>9.8789977510737508E-5</v>
      </c>
    </row>
    <row r="83" spans="1:14" ht="17" thickBot="1" x14ac:dyDescent="0.25">
      <c r="A83" s="654" t="s">
        <v>214</v>
      </c>
      <c r="B83" s="689"/>
      <c r="C83" s="745"/>
      <c r="D83" s="689"/>
      <c r="E83" s="787">
        <v>4</v>
      </c>
      <c r="F83" s="788">
        <f>SUM(D30:N30)</f>
        <v>3452540</v>
      </c>
      <c r="G83" s="726"/>
      <c r="H83" s="689"/>
      <c r="I83" s="741" t="s">
        <v>483</v>
      </c>
      <c r="J83" s="689"/>
      <c r="K83" s="689"/>
      <c r="L83" s="781"/>
      <c r="M83" s="663">
        <f>Budget!C19</f>
        <v>1500000</v>
      </c>
      <c r="N83" s="778">
        <f>M83/$M$85</f>
        <v>1.6464996251789586E-3</v>
      </c>
    </row>
    <row r="84" spans="1:14" ht="17" thickBot="1" x14ac:dyDescent="0.25">
      <c r="A84" s="760" t="s">
        <v>337</v>
      </c>
      <c r="B84" s="789"/>
      <c r="C84" s="790"/>
      <c r="D84" s="789"/>
      <c r="E84" s="791"/>
      <c r="F84" s="792">
        <f>Budget!C8</f>
        <v>5921652</v>
      </c>
      <c r="G84" s="793"/>
      <c r="H84" s="689"/>
      <c r="I84" s="741"/>
      <c r="J84" s="689"/>
      <c r="K84" s="689"/>
      <c r="L84" s="781"/>
      <c r="M84" s="663"/>
      <c r="N84" s="778"/>
    </row>
    <row r="85" spans="1:14" ht="17" thickBot="1" x14ac:dyDescent="0.25">
      <c r="A85" s="760" t="s">
        <v>125</v>
      </c>
      <c r="B85" s="794"/>
      <c r="C85" s="794"/>
      <c r="D85" s="795"/>
      <c r="E85" s="764" t="s">
        <v>55</v>
      </c>
      <c r="F85" s="765" t="s">
        <v>56</v>
      </c>
      <c r="G85" s="793"/>
      <c r="H85" s="689"/>
      <c r="I85" s="672" t="s">
        <v>32</v>
      </c>
      <c r="J85" s="673"/>
      <c r="K85" s="673"/>
      <c r="L85" s="796"/>
      <c r="M85" s="675">
        <f>SUM(M74:M84)</f>
        <v>911023590.32542419</v>
      </c>
      <c r="N85" s="797">
        <f>SUM(N74:N84)</f>
        <v>1.0000000000000002</v>
      </c>
    </row>
    <row r="86" spans="1:14" x14ac:dyDescent="0.2">
      <c r="A86" s="654" t="str">
        <f>'1.Infrastructure Costs'!A12</f>
        <v>Cisterns</v>
      </c>
      <c r="B86" s="689"/>
      <c r="C86" s="745"/>
      <c r="D86" s="689"/>
      <c r="E86" s="798"/>
      <c r="F86" s="799">
        <f>SUM('1.Infrastructure Costs'!D12:N12)</f>
        <v>4435176.3487999998</v>
      </c>
      <c r="G86" s="800"/>
      <c r="H86" s="689"/>
    </row>
    <row r="87" spans="1:14" ht="22" customHeight="1" x14ac:dyDescent="0.2">
      <c r="A87" s="654" t="str">
        <f>'1.Infrastructure Costs'!A13</f>
        <v>Streets/Sidewalks</v>
      </c>
      <c r="B87" s="689"/>
      <c r="C87" s="745"/>
      <c r="D87" s="689"/>
      <c r="E87" s="801"/>
      <c r="F87" s="786">
        <f>SUM('1.Infrastructure Costs'!D13:N13)</f>
        <v>6543135.8446245668</v>
      </c>
      <c r="G87" s="710"/>
      <c r="H87" s="689"/>
    </row>
    <row r="88" spans="1:14" ht="15.5" customHeight="1" x14ac:dyDescent="0.2">
      <c r="A88" s="654" t="str">
        <f>'1.Infrastructure Costs'!A14</f>
        <v>Bridges</v>
      </c>
      <c r="B88" s="689"/>
      <c r="C88" s="745"/>
      <c r="D88" s="689"/>
      <c r="E88" s="801"/>
      <c r="F88" s="786">
        <f>SUM('1.Infrastructure Costs'!D14:N14)</f>
        <v>197852.86799999999</v>
      </c>
      <c r="G88" s="710"/>
      <c r="H88" s="689"/>
    </row>
    <row r="89" spans="1:14" x14ac:dyDescent="0.2">
      <c r="A89" s="654" t="str">
        <f>'1.Infrastructure Costs'!A15</f>
        <v>Retaining Wall</v>
      </c>
      <c r="B89" s="689"/>
      <c r="C89" s="745"/>
      <c r="D89" s="689"/>
      <c r="E89" s="801"/>
      <c r="F89" s="786">
        <f>SUM('1.Infrastructure Costs'!D15:N15)</f>
        <v>94784.112000000008</v>
      </c>
      <c r="G89" s="710"/>
      <c r="H89" s="689"/>
    </row>
    <row r="90" spans="1:14" x14ac:dyDescent="0.2">
      <c r="A90" s="654" t="str">
        <f>'1.Infrastructure Costs'!A16</f>
        <v>Solar Panels</v>
      </c>
      <c r="B90" s="689"/>
      <c r="C90" s="745"/>
      <c r="D90" s="689"/>
      <c r="E90" s="801"/>
      <c r="F90" s="786">
        <f>SUM('1.Infrastructure Costs'!D16:N16)</f>
        <v>7659344.9403917529</v>
      </c>
      <c r="G90" s="710"/>
      <c r="H90" s="689"/>
    </row>
    <row r="91" spans="1:14" ht="17" thickBot="1" x14ac:dyDescent="0.25">
      <c r="A91" s="666" t="s">
        <v>54</v>
      </c>
      <c r="B91" s="696"/>
      <c r="C91" s="802"/>
      <c r="D91" s="696"/>
      <c r="E91" s="803"/>
      <c r="F91" s="788">
        <f>SUM('1.Infrastructure Costs'!D9:N9)</f>
        <v>18137488.000278793</v>
      </c>
      <c r="G91" s="710"/>
      <c r="H91" s="689"/>
    </row>
    <row r="92" spans="1:14" ht="16.5" customHeight="1" thickBot="1" x14ac:dyDescent="0.25">
      <c r="A92" s="804" t="s">
        <v>34</v>
      </c>
      <c r="B92" s="690"/>
      <c r="C92" s="690"/>
      <c r="D92" s="689"/>
      <c r="E92" s="805">
        <f>SUM(E86:E91)</f>
        <v>0</v>
      </c>
      <c r="F92" s="805">
        <f>SUM(F86:F91)</f>
        <v>37067782.114095114</v>
      </c>
      <c r="G92" s="710"/>
      <c r="H92" s="658"/>
    </row>
    <row r="93" spans="1:14" ht="16.25" customHeight="1" thickBot="1" x14ac:dyDescent="0.25">
      <c r="A93" s="760" t="s">
        <v>3</v>
      </c>
      <c r="B93" s="806"/>
      <c r="C93" s="806"/>
      <c r="D93" s="789"/>
      <c r="E93" s="807"/>
      <c r="F93" s="808">
        <f>SUM(F73:F84,F92)+E92-SUM(F86:F90)</f>
        <v>892093296.21160793</v>
      </c>
      <c r="H93" s="809"/>
    </row>
    <row r="94" spans="1:14" ht="16.5" customHeight="1" thickBot="1" x14ac:dyDescent="0.25">
      <c r="A94" s="809"/>
      <c r="B94" s="809"/>
      <c r="C94" s="809"/>
      <c r="D94" s="810"/>
      <c r="E94" s="809"/>
      <c r="F94" s="809"/>
      <c r="G94" s="811"/>
      <c r="H94" s="809"/>
    </row>
    <row r="95" spans="1:14" ht="16.5" customHeight="1" thickBot="1" x14ac:dyDescent="0.25">
      <c r="A95" s="638" t="s">
        <v>250</v>
      </c>
      <c r="B95" s="642"/>
      <c r="C95" s="642"/>
      <c r="D95" s="642"/>
      <c r="E95" s="642"/>
      <c r="F95" s="812"/>
      <c r="H95" s="809"/>
    </row>
    <row r="96" spans="1:14" ht="15.5" customHeight="1" thickBot="1" x14ac:dyDescent="0.25">
      <c r="A96" s="813"/>
      <c r="B96" s="688"/>
      <c r="C96" s="814" t="s">
        <v>128</v>
      </c>
      <c r="D96" s="814" t="s">
        <v>129</v>
      </c>
      <c r="E96" s="814" t="s">
        <v>130</v>
      </c>
      <c r="F96" s="815" t="s">
        <v>32</v>
      </c>
      <c r="I96" s="552" t="s">
        <v>260</v>
      </c>
      <c r="J96" s="553"/>
      <c r="K96" s="553"/>
      <c r="L96" s="553"/>
      <c r="M96" s="553"/>
      <c r="N96" s="554"/>
    </row>
    <row r="97" spans="1:14" ht="19" thickBot="1" x14ac:dyDescent="0.25">
      <c r="A97" s="816" t="s">
        <v>131</v>
      </c>
      <c r="B97" s="817"/>
      <c r="C97" s="818" t="s">
        <v>550</v>
      </c>
      <c r="D97" s="818" t="s">
        <v>551</v>
      </c>
      <c r="E97" s="818" t="s">
        <v>552</v>
      </c>
      <c r="F97" s="819" t="s">
        <v>553</v>
      </c>
      <c r="I97" s="773"/>
      <c r="J97" s="688"/>
      <c r="K97" s="820" t="s">
        <v>262</v>
      </c>
      <c r="L97" s="635"/>
      <c r="M97" s="636"/>
      <c r="N97" s="821"/>
    </row>
    <row r="98" spans="1:14" ht="15" customHeight="1" thickBot="1" x14ac:dyDescent="0.25">
      <c r="A98" s="654" t="s">
        <v>255</v>
      </c>
      <c r="B98" s="689"/>
      <c r="C98" s="822">
        <f>229.04*1.02</f>
        <v>233.6208</v>
      </c>
      <c r="D98" s="823">
        <f>C98*0.2</f>
        <v>46.724160000000005</v>
      </c>
      <c r="E98" s="824">
        <f t="shared" ref="E98:E103" si="10">C98*0.04</f>
        <v>9.3448320000000002</v>
      </c>
      <c r="F98" s="825">
        <f t="shared" ref="F98:F105" si="11">SUM(C98:E98)</f>
        <v>289.68979200000001</v>
      </c>
      <c r="H98" s="809"/>
      <c r="I98" s="672" t="s">
        <v>261</v>
      </c>
      <c r="J98" s="817"/>
      <c r="K98" s="826" t="s">
        <v>554</v>
      </c>
      <c r="L98" s="827" t="s">
        <v>264</v>
      </c>
      <c r="M98" s="828"/>
      <c r="N98" s="829"/>
    </row>
    <row r="99" spans="1:14" x14ac:dyDescent="0.2">
      <c r="A99" s="741" t="s">
        <v>254</v>
      </c>
      <c r="B99" s="689"/>
      <c r="C99" s="824">
        <f>198.66*1.02</f>
        <v>202.63319999999999</v>
      </c>
      <c r="D99" s="823">
        <f t="shared" ref="D99:D105" si="12">C99*0.2</f>
        <v>40.52664</v>
      </c>
      <c r="E99" s="824">
        <f t="shared" si="10"/>
        <v>8.1053280000000001</v>
      </c>
      <c r="F99" s="830">
        <f t="shared" si="11"/>
        <v>251.26516799999996</v>
      </c>
      <c r="H99" s="809"/>
      <c r="I99" s="773" t="s">
        <v>321</v>
      </c>
      <c r="J99" s="688"/>
      <c r="K99" s="831">
        <f>2.75*1.02</f>
        <v>2.8050000000000002</v>
      </c>
      <c r="L99" s="1447" t="s">
        <v>372</v>
      </c>
      <c r="M99" s="1448"/>
      <c r="N99" s="1449"/>
    </row>
    <row r="100" spans="1:14" ht="17" thickBot="1" x14ac:dyDescent="0.25">
      <c r="A100" s="741" t="s">
        <v>256</v>
      </c>
      <c r="B100" s="689"/>
      <c r="C100" s="824">
        <f>177.56*1.02</f>
        <v>181.1112</v>
      </c>
      <c r="D100" s="823">
        <f t="shared" si="12"/>
        <v>36.222239999999999</v>
      </c>
      <c r="E100" s="824">
        <f t="shared" si="10"/>
        <v>7.2444480000000002</v>
      </c>
      <c r="F100" s="830">
        <f t="shared" si="11"/>
        <v>224.577888</v>
      </c>
      <c r="H100" s="809"/>
      <c r="I100" s="832"/>
      <c r="J100" s="817"/>
      <c r="K100" s="817"/>
      <c r="L100" s="1450"/>
      <c r="M100" s="1451"/>
      <c r="N100" s="1452"/>
    </row>
    <row r="101" spans="1:14" ht="17" thickBot="1" x14ac:dyDescent="0.25">
      <c r="A101" s="741" t="s">
        <v>257</v>
      </c>
      <c r="B101" s="689"/>
      <c r="C101" s="824">
        <f>282.17*1.02</f>
        <v>287.8134</v>
      </c>
      <c r="D101" s="823">
        <f t="shared" si="12"/>
        <v>57.56268</v>
      </c>
      <c r="E101" s="824">
        <f t="shared" si="10"/>
        <v>11.512536000000001</v>
      </c>
      <c r="F101" s="830">
        <f t="shared" si="11"/>
        <v>356.88861600000001</v>
      </c>
      <c r="H101" s="809"/>
      <c r="I101" s="833" t="s">
        <v>265</v>
      </c>
      <c r="J101" s="789"/>
      <c r="K101" s="834">
        <v>1.7000000000000001E-2</v>
      </c>
      <c r="L101" s="835" t="s">
        <v>371</v>
      </c>
      <c r="M101" s="836"/>
      <c r="N101" s="837"/>
    </row>
    <row r="102" spans="1:14" ht="17" thickBot="1" x14ac:dyDescent="0.25">
      <c r="A102" s="741" t="s">
        <v>88</v>
      </c>
      <c r="B102" s="689"/>
      <c r="C102" s="824">
        <f>161.22*1.02</f>
        <v>164.4444</v>
      </c>
      <c r="D102" s="823">
        <f t="shared" si="12"/>
        <v>32.88888</v>
      </c>
      <c r="E102" s="824">
        <f t="shared" si="10"/>
        <v>6.5777760000000001</v>
      </c>
      <c r="F102" s="830">
        <f t="shared" si="11"/>
        <v>203.911056</v>
      </c>
      <c r="H102" s="809"/>
      <c r="I102" s="833" t="s">
        <v>320</v>
      </c>
      <c r="J102" s="789"/>
      <c r="K102" s="838">
        <v>2.16</v>
      </c>
      <c r="L102" s="839" t="s">
        <v>399</v>
      </c>
      <c r="M102" s="705"/>
      <c r="N102" s="840"/>
    </row>
    <row r="103" spans="1:14" ht="15" customHeight="1" x14ac:dyDescent="0.2">
      <c r="A103" s="741" t="s">
        <v>49</v>
      </c>
      <c r="B103" s="689"/>
      <c r="C103" s="824">
        <f>216.95*1.02</f>
        <v>221.28899999999999</v>
      </c>
      <c r="D103" s="823">
        <f t="shared" si="12"/>
        <v>44.257800000000003</v>
      </c>
      <c r="E103" s="824">
        <f t="shared" si="10"/>
        <v>8.8515599999999992</v>
      </c>
      <c r="F103" s="830">
        <f t="shared" si="11"/>
        <v>274.39835999999997</v>
      </c>
      <c r="H103" s="809"/>
      <c r="I103" s="773" t="s">
        <v>266</v>
      </c>
      <c r="J103" s="688"/>
      <c r="K103" s="831">
        <f>700*1.02^2</f>
        <v>728.28</v>
      </c>
      <c r="L103" s="1447" t="s">
        <v>374</v>
      </c>
      <c r="M103" s="1448"/>
      <c r="N103" s="1449"/>
    </row>
    <row r="104" spans="1:14" x14ac:dyDescent="0.2">
      <c r="A104" s="741" t="s">
        <v>50</v>
      </c>
      <c r="B104" s="689"/>
      <c r="C104" s="824">
        <f>79.9*1.02</f>
        <v>81.498000000000005</v>
      </c>
      <c r="D104" s="823">
        <f t="shared" si="12"/>
        <v>16.299600000000002</v>
      </c>
      <c r="E104" s="824">
        <f>C104*0.04</f>
        <v>3.2599200000000002</v>
      </c>
      <c r="F104" s="830">
        <f t="shared" si="11"/>
        <v>101.05752</v>
      </c>
      <c r="H104" s="809"/>
      <c r="I104" s="741"/>
      <c r="J104" s="689"/>
      <c r="K104" s="689"/>
      <c r="L104" s="1456"/>
      <c r="M104" s="1457"/>
      <c r="N104" s="1458"/>
    </row>
    <row r="105" spans="1:14" ht="15" customHeight="1" thickBot="1" x14ac:dyDescent="0.25">
      <c r="A105" s="832" t="s">
        <v>157</v>
      </c>
      <c r="B105" s="817"/>
      <c r="C105" s="841">
        <f>147.67*1.02</f>
        <v>150.6234</v>
      </c>
      <c r="D105" s="842">
        <f t="shared" si="12"/>
        <v>30.124680000000001</v>
      </c>
      <c r="E105" s="841">
        <f>C105*0.04</f>
        <v>6.0249360000000003</v>
      </c>
      <c r="F105" s="843">
        <f t="shared" si="11"/>
        <v>186.77301600000001</v>
      </c>
      <c r="H105" s="809"/>
      <c r="I105" s="832"/>
      <c r="J105" s="817"/>
      <c r="K105" s="817"/>
      <c r="L105" s="1450"/>
      <c r="M105" s="1451"/>
      <c r="N105" s="1452"/>
    </row>
    <row r="106" spans="1:14" ht="17" thickBot="1" x14ac:dyDescent="0.25">
      <c r="A106" s="844" t="s">
        <v>403</v>
      </c>
      <c r="B106" s="809"/>
      <c r="C106" s="809"/>
      <c r="D106" s="810"/>
      <c r="E106" s="809"/>
      <c r="F106" s="809"/>
      <c r="H106" s="809"/>
      <c r="I106" s="833" t="s">
        <v>329</v>
      </c>
      <c r="J106" s="789"/>
      <c r="K106" s="845">
        <v>393.27</v>
      </c>
      <c r="L106" s="839" t="s">
        <v>399</v>
      </c>
      <c r="M106" s="705"/>
      <c r="N106" s="840"/>
    </row>
    <row r="107" spans="1:14" x14ac:dyDescent="0.2">
      <c r="A107" s="809" t="s">
        <v>338</v>
      </c>
      <c r="B107" s="809"/>
      <c r="C107" s="809"/>
      <c r="D107" s="810"/>
      <c r="E107" s="809"/>
      <c r="F107" s="809"/>
      <c r="H107" s="809"/>
      <c r="I107" s="773" t="s">
        <v>267</v>
      </c>
      <c r="J107" s="688"/>
      <c r="K107" s="831">
        <v>45</v>
      </c>
      <c r="L107" s="1447" t="s">
        <v>410</v>
      </c>
      <c r="M107" s="1448"/>
      <c r="N107" s="1449"/>
    </row>
    <row r="108" spans="1:14" ht="17" thickBot="1" x14ac:dyDescent="0.25">
      <c r="A108" s="809" t="s">
        <v>259</v>
      </c>
      <c r="B108" s="809"/>
      <c r="C108" s="809"/>
      <c r="D108" s="810"/>
      <c r="E108" s="809"/>
      <c r="F108" s="809"/>
      <c r="H108" s="809"/>
      <c r="I108" s="832"/>
      <c r="J108" s="817"/>
      <c r="K108" s="817"/>
      <c r="L108" s="1450"/>
      <c r="M108" s="1451"/>
      <c r="N108" s="1452"/>
    </row>
    <row r="109" spans="1:14" ht="17" thickBot="1" x14ac:dyDescent="0.25">
      <c r="A109" s="846" t="s">
        <v>280</v>
      </c>
      <c r="B109" s="846"/>
      <c r="C109" s="846"/>
      <c r="D109" s="846"/>
      <c r="E109" s="846"/>
      <c r="F109" s="846"/>
      <c r="H109" s="809"/>
      <c r="I109" s="833" t="s">
        <v>198</v>
      </c>
      <c r="J109" s="789"/>
      <c r="K109" s="834">
        <v>4.1000000000000002E-2</v>
      </c>
      <c r="L109" s="835" t="s">
        <v>410</v>
      </c>
      <c r="M109" s="836"/>
      <c r="N109" s="837"/>
    </row>
    <row r="110" spans="1:14" x14ac:dyDescent="0.2">
      <c r="A110" s="809" t="s">
        <v>396</v>
      </c>
      <c r="B110" s="809"/>
      <c r="C110" s="809"/>
      <c r="D110" s="810"/>
      <c r="E110" s="809"/>
      <c r="F110" s="809"/>
      <c r="H110" s="809"/>
      <c r="I110" s="773" t="s">
        <v>268</v>
      </c>
      <c r="J110" s="688"/>
      <c r="K110" s="831">
        <v>19.63</v>
      </c>
      <c r="L110" s="1441" t="s">
        <v>387</v>
      </c>
      <c r="M110" s="1442"/>
      <c r="N110" s="1443"/>
    </row>
    <row r="111" spans="1:14" ht="17" thickBot="1" x14ac:dyDescent="0.25">
      <c r="H111" s="809"/>
      <c r="I111" s="741" t="s">
        <v>269</v>
      </c>
      <c r="J111" s="689"/>
      <c r="K111" s="824">
        <v>38</v>
      </c>
      <c r="L111" s="1444"/>
      <c r="M111" s="1445"/>
      <c r="N111" s="1446"/>
    </row>
    <row r="112" spans="1:14" ht="17" thickBot="1" x14ac:dyDescent="0.25">
      <c r="B112" s="1410" t="s">
        <v>213</v>
      </c>
      <c r="C112" s="1411"/>
      <c r="D112" s="1411"/>
      <c r="E112" s="1411"/>
      <c r="F112" s="1412"/>
      <c r="H112" s="809"/>
      <c r="I112" s="741" t="s">
        <v>270</v>
      </c>
      <c r="J112" s="689"/>
      <c r="K112" s="824">
        <v>17</v>
      </c>
      <c r="L112" s="1444"/>
      <c r="M112" s="1445"/>
      <c r="N112" s="1446"/>
    </row>
    <row r="113" spans="2:14" ht="17" thickBot="1" x14ac:dyDescent="0.25">
      <c r="B113" s="847"/>
      <c r="C113" s="814" t="s">
        <v>360</v>
      </c>
      <c r="D113" s="814" t="s">
        <v>204</v>
      </c>
      <c r="E113" s="848" t="s">
        <v>205</v>
      </c>
      <c r="F113" s="815" t="s">
        <v>183</v>
      </c>
      <c r="H113" s="809"/>
      <c r="I113" s="832" t="s">
        <v>199</v>
      </c>
      <c r="J113" s="817"/>
      <c r="K113" s="849">
        <v>0.04</v>
      </c>
      <c r="L113" s="1453"/>
      <c r="M113" s="1454"/>
      <c r="N113" s="1455"/>
    </row>
    <row r="114" spans="2:14" ht="15" customHeight="1" thickBot="1" x14ac:dyDescent="0.25">
      <c r="B114" s="816" t="s">
        <v>201</v>
      </c>
      <c r="C114" s="818" t="s">
        <v>203</v>
      </c>
      <c r="D114" s="818" t="s">
        <v>183</v>
      </c>
      <c r="E114" s="850" t="s">
        <v>98</v>
      </c>
      <c r="F114" s="819" t="s">
        <v>187</v>
      </c>
      <c r="G114" s="851"/>
      <c r="H114" s="809"/>
      <c r="I114" s="773" t="s">
        <v>271</v>
      </c>
      <c r="J114" s="688"/>
      <c r="K114" s="831">
        <v>237</v>
      </c>
      <c r="L114" s="1447" t="s">
        <v>408</v>
      </c>
      <c r="M114" s="1448"/>
      <c r="N114" s="1449"/>
    </row>
    <row r="115" spans="2:14" x14ac:dyDescent="0.2">
      <c r="B115" s="852" t="s">
        <v>206</v>
      </c>
      <c r="C115" s="853" t="s">
        <v>359</v>
      </c>
      <c r="D115" s="854">
        <f>'Land Values'!D9</f>
        <v>89621383.650000006</v>
      </c>
      <c r="E115" s="855">
        <v>488001</v>
      </c>
      <c r="F115" s="856">
        <v>183.65</v>
      </c>
      <c r="G115" s="857"/>
      <c r="H115" s="809"/>
      <c r="I115" s="858" t="s">
        <v>272</v>
      </c>
      <c r="J115" s="710"/>
      <c r="K115" s="859">
        <v>0.78</v>
      </c>
      <c r="L115" s="1456"/>
      <c r="M115" s="1457"/>
      <c r="N115" s="1458"/>
    </row>
    <row r="116" spans="2:14" ht="17" thickBot="1" x14ac:dyDescent="0.25">
      <c r="B116" s="852" t="s">
        <v>207</v>
      </c>
      <c r="C116" s="853" t="s">
        <v>203</v>
      </c>
      <c r="D116" s="860">
        <f>'Land Values'!D13</f>
        <v>30465514.850000001</v>
      </c>
      <c r="E116" s="855">
        <v>165889</v>
      </c>
      <c r="F116" s="856">
        <v>183.65</v>
      </c>
      <c r="G116" s="861"/>
      <c r="I116" s="862" t="s">
        <v>273</v>
      </c>
      <c r="J116" s="720"/>
      <c r="K116" s="863">
        <v>0.25900000000000001</v>
      </c>
      <c r="L116" s="1450"/>
      <c r="M116" s="1451"/>
      <c r="N116" s="1452"/>
    </row>
    <row r="117" spans="2:14" x14ac:dyDescent="0.2">
      <c r="B117" s="852" t="s">
        <v>208</v>
      </c>
      <c r="C117" s="853" t="s">
        <v>203</v>
      </c>
      <c r="D117" s="860">
        <f>'Land Values'!D17</f>
        <v>15806939.15</v>
      </c>
      <c r="E117" s="855">
        <v>86071</v>
      </c>
      <c r="F117" s="856">
        <v>183.65</v>
      </c>
      <c r="G117" s="861"/>
      <c r="I117" s="635" t="s">
        <v>295</v>
      </c>
      <c r="J117" s="636"/>
      <c r="K117" s="864">
        <v>6.15</v>
      </c>
      <c r="L117" s="839" t="s">
        <v>391</v>
      </c>
      <c r="M117" s="705"/>
      <c r="N117" s="840"/>
    </row>
    <row r="118" spans="2:14" ht="17" thickBot="1" x14ac:dyDescent="0.25">
      <c r="B118" s="852" t="s">
        <v>363</v>
      </c>
      <c r="C118" s="853" t="s">
        <v>203</v>
      </c>
      <c r="D118" s="860">
        <f>'Land Values'!D22</f>
        <v>22620905.100000001</v>
      </c>
      <c r="E118" s="855">
        <v>123174</v>
      </c>
      <c r="F118" s="856">
        <v>183.65</v>
      </c>
      <c r="G118" s="861"/>
      <c r="I118" s="862" t="s">
        <v>200</v>
      </c>
      <c r="J118" s="720"/>
      <c r="K118" s="865">
        <v>8.9999999999999993E-3</v>
      </c>
      <c r="L118" s="866"/>
      <c r="M118" s="718"/>
      <c r="N118" s="867"/>
    </row>
    <row r="119" spans="2:14" ht="17" thickBot="1" x14ac:dyDescent="0.25">
      <c r="B119" s="816" t="s">
        <v>32</v>
      </c>
      <c r="C119" s="868"/>
      <c r="D119" s="869">
        <f>SUM(D115:D118)</f>
        <v>158514742.75</v>
      </c>
      <c r="E119" s="870">
        <f>SUM(E115:E118)</f>
        <v>863135</v>
      </c>
      <c r="F119" s="871">
        <f>K142/E119</f>
        <v>0</v>
      </c>
      <c r="G119" s="860"/>
      <c r="I119" s="635" t="s">
        <v>322</v>
      </c>
      <c r="J119" s="636"/>
      <c r="K119" s="872">
        <v>200</v>
      </c>
      <c r="L119" s="873" t="s">
        <v>392</v>
      </c>
      <c r="M119" s="709"/>
      <c r="N119" s="874"/>
    </row>
    <row r="120" spans="2:14" ht="17" thickBot="1" x14ac:dyDescent="0.25">
      <c r="B120" s="875"/>
      <c r="C120" s="876"/>
      <c r="D120" s="877"/>
      <c r="E120" s="878"/>
      <c r="F120" s="878"/>
      <c r="G120" s="860"/>
      <c r="I120" s="862" t="s">
        <v>324</v>
      </c>
      <c r="J120" s="720"/>
      <c r="K120" s="879">
        <v>5</v>
      </c>
      <c r="L120" s="873"/>
      <c r="M120" s="709"/>
      <c r="N120" s="874"/>
    </row>
    <row r="121" spans="2:14" x14ac:dyDescent="0.2">
      <c r="B121" s="875"/>
      <c r="C121" s="876"/>
      <c r="D121" s="877"/>
      <c r="E121" s="878"/>
      <c r="F121" s="878"/>
      <c r="G121" s="880"/>
      <c r="H121" s="851"/>
      <c r="I121" s="635" t="s">
        <v>274</v>
      </c>
      <c r="J121" s="636"/>
      <c r="K121" s="881">
        <v>3.7499999999999999E-2</v>
      </c>
      <c r="L121" s="1441" t="s">
        <v>371</v>
      </c>
      <c r="M121" s="1442"/>
      <c r="N121" s="1443"/>
    </row>
    <row r="122" spans="2:14" ht="17" thickBot="1" x14ac:dyDescent="0.25">
      <c r="B122" s="882"/>
      <c r="C122" s="883"/>
      <c r="D122" s="884"/>
      <c r="E122" s="885"/>
      <c r="F122" s="885"/>
      <c r="G122" s="886"/>
      <c r="H122" s="857"/>
      <c r="I122" s="858" t="s">
        <v>275</v>
      </c>
      <c r="J122" s="710"/>
      <c r="K122" s="887">
        <v>4.4999999999999998E-2</v>
      </c>
      <c r="L122" s="1444"/>
      <c r="M122" s="1445"/>
      <c r="N122" s="1446"/>
    </row>
    <row r="123" spans="2:14" ht="17" thickBot="1" x14ac:dyDescent="0.25">
      <c r="B123" s="1363" t="s">
        <v>209</v>
      </c>
      <c r="C123" s="1364"/>
      <c r="D123" s="570"/>
      <c r="E123" s="571"/>
      <c r="F123" s="572"/>
      <c r="G123" s="886"/>
      <c r="H123" s="857"/>
      <c r="I123" s="858" t="s">
        <v>276</v>
      </c>
      <c r="J123" s="710"/>
      <c r="K123" s="887">
        <v>5.6000000000000001E-2</v>
      </c>
      <c r="L123" s="1444"/>
      <c r="M123" s="1445"/>
      <c r="N123" s="1446"/>
    </row>
    <row r="124" spans="2:14" x14ac:dyDescent="0.2">
      <c r="B124" s="888" t="s">
        <v>402</v>
      </c>
      <c r="C124" s="889"/>
      <c r="D124" s="890"/>
      <c r="E124" s="891"/>
      <c r="F124" s="892">
        <f>SUM(E115,E116,E117,E118)</f>
        <v>863135</v>
      </c>
      <c r="G124" s="884"/>
      <c r="H124" s="854"/>
      <c r="I124" s="858" t="s">
        <v>277</v>
      </c>
      <c r="J124" s="710"/>
      <c r="K124" s="887">
        <v>5.7500000000000002E-2</v>
      </c>
      <c r="L124" s="1444"/>
      <c r="M124" s="1445"/>
      <c r="N124" s="1446"/>
    </row>
    <row r="125" spans="2:14" x14ac:dyDescent="0.2">
      <c r="B125" s="893"/>
      <c r="C125" s="894"/>
      <c r="D125" s="894"/>
      <c r="E125" s="894"/>
      <c r="F125" s="895"/>
      <c r="G125" s="809"/>
      <c r="H125" s="860"/>
      <c r="I125" s="858" t="s">
        <v>294</v>
      </c>
      <c r="J125" s="710"/>
      <c r="K125" s="887">
        <v>5.5E-2</v>
      </c>
      <c r="L125" s="896"/>
      <c r="M125" s="897"/>
      <c r="N125" s="898"/>
    </row>
    <row r="126" spans="2:14" ht="17" thickBot="1" x14ac:dyDescent="0.25">
      <c r="B126" s="899" t="s">
        <v>210</v>
      </c>
      <c r="C126" s="900"/>
      <c r="D126" s="900"/>
      <c r="E126" s="900"/>
      <c r="F126" s="901">
        <f>SUM(F124:F125)</f>
        <v>863135</v>
      </c>
      <c r="G126" s="809"/>
      <c r="H126" s="860"/>
      <c r="I126" s="858" t="s">
        <v>278</v>
      </c>
      <c r="J126" s="710"/>
      <c r="K126" s="887">
        <v>0.1</v>
      </c>
      <c r="L126" s="866"/>
      <c r="M126" s="718"/>
      <c r="N126" s="867"/>
    </row>
    <row r="127" spans="2:14" x14ac:dyDescent="0.2">
      <c r="B127" s="902" t="s">
        <v>451</v>
      </c>
      <c r="C127" s="903"/>
      <c r="D127" s="903"/>
      <c r="E127" s="904"/>
      <c r="F127" s="905">
        <v>4</v>
      </c>
      <c r="G127" s="809"/>
      <c r="H127" s="860"/>
      <c r="I127" s="906"/>
      <c r="J127" s="907"/>
      <c r="K127" s="908"/>
      <c r="L127" s="909"/>
      <c r="M127" s="909"/>
      <c r="N127" s="909"/>
    </row>
    <row r="128" spans="2:14" ht="19" customHeight="1" thickBot="1" x14ac:dyDescent="0.25">
      <c r="B128" s="816" t="s">
        <v>555</v>
      </c>
      <c r="C128" s="910"/>
      <c r="D128" s="910"/>
      <c r="E128" s="910"/>
      <c r="F128" s="911">
        <f>F126*F127</f>
        <v>3452540</v>
      </c>
      <c r="G128" s="809"/>
      <c r="H128" s="880"/>
      <c r="I128" s="1440" t="s">
        <v>365</v>
      </c>
      <c r="J128" s="1440"/>
      <c r="K128" s="1440"/>
      <c r="L128" s="1440"/>
      <c r="M128" s="1440"/>
      <c r="N128" s="1440"/>
    </row>
    <row r="129" spans="2:14" ht="16" customHeight="1" x14ac:dyDescent="0.2">
      <c r="B129" s="844" t="s">
        <v>364</v>
      </c>
      <c r="C129" s="844"/>
      <c r="D129" s="844"/>
      <c r="E129" s="844"/>
      <c r="F129" s="844"/>
      <c r="G129" s="809"/>
      <c r="H129" s="886"/>
      <c r="I129" s="912"/>
      <c r="J129" s="768"/>
      <c r="K129" s="768"/>
      <c r="L129" s="768"/>
      <c r="M129" s="768"/>
      <c r="N129" s="768"/>
    </row>
    <row r="130" spans="2:14" ht="16" customHeight="1" x14ac:dyDescent="0.2">
      <c r="E130" s="809"/>
      <c r="F130" s="809"/>
      <c r="G130" s="809"/>
      <c r="H130" s="886"/>
    </row>
    <row r="131" spans="2:14" x14ac:dyDescent="0.2">
      <c r="G131" s="882"/>
      <c r="H131" s="884"/>
    </row>
    <row r="132" spans="2:14" x14ac:dyDescent="0.2">
      <c r="H132" s="884"/>
    </row>
    <row r="133" spans="2:14" x14ac:dyDescent="0.2">
      <c r="H133" s="884"/>
    </row>
    <row r="134" spans="2:14" x14ac:dyDescent="0.2">
      <c r="H134" s="882"/>
      <c r="J134" s="851"/>
      <c r="K134" s="851"/>
      <c r="L134" s="851"/>
      <c r="M134" s="710"/>
    </row>
    <row r="135" spans="2:14" x14ac:dyDescent="0.2">
      <c r="H135" s="882"/>
      <c r="I135" s="851"/>
      <c r="J135" s="857"/>
      <c r="K135" s="857"/>
      <c r="L135" s="710"/>
    </row>
    <row r="136" spans="2:14" x14ac:dyDescent="0.2">
      <c r="H136" s="882"/>
      <c r="I136" s="857"/>
      <c r="J136" s="857"/>
      <c r="K136" s="857"/>
      <c r="L136" s="710"/>
    </row>
    <row r="137" spans="2:14" x14ac:dyDescent="0.2">
      <c r="H137" s="882"/>
      <c r="I137" s="857"/>
      <c r="J137" s="854"/>
      <c r="K137" s="854"/>
      <c r="L137" s="710"/>
    </row>
    <row r="138" spans="2:14" x14ac:dyDescent="0.2">
      <c r="H138" s="882"/>
      <c r="I138" s="854"/>
      <c r="J138" s="860"/>
      <c r="K138" s="860"/>
      <c r="L138" s="710"/>
    </row>
    <row r="139" spans="2:14" x14ac:dyDescent="0.2">
      <c r="I139" s="860"/>
      <c r="J139" s="860"/>
      <c r="K139" s="860"/>
      <c r="L139" s="710"/>
    </row>
    <row r="140" spans="2:14" x14ac:dyDescent="0.2">
      <c r="I140" s="860"/>
      <c r="J140" s="860"/>
      <c r="K140" s="860"/>
      <c r="L140" s="710"/>
    </row>
    <row r="141" spans="2:14" x14ac:dyDescent="0.2">
      <c r="I141" s="860"/>
      <c r="J141" s="860"/>
      <c r="K141" s="860"/>
      <c r="L141" s="710"/>
    </row>
    <row r="142" spans="2:14" x14ac:dyDescent="0.2">
      <c r="I142" s="860"/>
      <c r="J142" s="880"/>
      <c r="K142" s="880"/>
      <c r="L142" s="710"/>
    </row>
    <row r="143" spans="2:14" x14ac:dyDescent="0.2">
      <c r="I143" s="880"/>
      <c r="J143" s="886"/>
      <c r="K143" s="886"/>
      <c r="L143" s="913"/>
    </row>
    <row r="144" spans="2:14" x14ac:dyDescent="0.2">
      <c r="I144" s="886"/>
      <c r="J144" s="886"/>
      <c r="K144" s="886"/>
      <c r="L144" s="913"/>
    </row>
    <row r="145" spans="9:12" x14ac:dyDescent="0.2">
      <c r="I145" s="886"/>
      <c r="J145" s="884"/>
      <c r="K145" s="884"/>
      <c r="L145" s="914"/>
    </row>
    <row r="146" spans="9:12" x14ac:dyDescent="0.2">
      <c r="I146" s="884"/>
      <c r="J146" s="884"/>
      <c r="K146" s="884"/>
      <c r="L146" s="914"/>
    </row>
    <row r="147" spans="9:12" x14ac:dyDescent="0.2">
      <c r="I147" s="884"/>
      <c r="J147" s="884"/>
      <c r="K147" s="884"/>
      <c r="L147" s="914"/>
    </row>
    <row r="148" spans="9:12" x14ac:dyDescent="0.2">
      <c r="I148" s="884"/>
      <c r="J148" s="882"/>
      <c r="K148" s="882"/>
      <c r="L148" s="882"/>
    </row>
    <row r="149" spans="9:12" x14ac:dyDescent="0.2">
      <c r="I149" s="882"/>
      <c r="J149" s="882"/>
      <c r="K149" s="882"/>
      <c r="L149" s="882"/>
    </row>
    <row r="150" spans="9:12" x14ac:dyDescent="0.2">
      <c r="I150" s="882"/>
      <c r="J150" s="882"/>
      <c r="K150" s="882"/>
      <c r="L150" s="882"/>
    </row>
    <row r="151" spans="9:12" x14ac:dyDescent="0.2">
      <c r="I151" s="882"/>
      <c r="J151" s="882"/>
      <c r="K151" s="882"/>
      <c r="L151" s="882"/>
    </row>
    <row r="152" spans="9:12" x14ac:dyDescent="0.2">
      <c r="I152" s="882"/>
      <c r="J152" s="882"/>
      <c r="K152" s="882"/>
      <c r="L152" s="882"/>
    </row>
    <row r="153" spans="9:12" x14ac:dyDescent="0.2">
      <c r="I153" s="882"/>
    </row>
  </sheetData>
  <mergeCells count="8">
    <mergeCell ref="I128:N128"/>
    <mergeCell ref="L121:N124"/>
    <mergeCell ref="B112:F112"/>
    <mergeCell ref="L99:N100"/>
    <mergeCell ref="L107:N108"/>
    <mergeCell ref="L110:N113"/>
    <mergeCell ref="L114:N116"/>
    <mergeCell ref="L103:N105"/>
  </mergeCells>
  <phoneticPr fontId="3" type="noConversion"/>
  <pageMargins left="0.19791666666666699" right="0.25" top="0.75" bottom="0.75" header="0.3" footer="0.3"/>
  <pageSetup scale="20" orientation="landscape" r:id="rId1"/>
  <headerFooter alignWithMargins="0">
    <oddHeader xml:space="preserve">&amp;L&amp;"Arial,Bold"2013 ULI Hines Student Urban Design Competition&amp;RTeam &amp;A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G32"/>
  <sheetViews>
    <sheetView workbookViewId="0">
      <selection activeCell="A2" sqref="A2:C3"/>
    </sheetView>
  </sheetViews>
  <sheetFormatPr baseColWidth="10" defaultColWidth="9.1640625" defaultRowHeight="13" x14ac:dyDescent="0.15"/>
  <cols>
    <col min="1" max="1" width="33.83203125" style="630" customWidth="1"/>
    <col min="2" max="2" width="21.5" style="630" customWidth="1"/>
    <col min="3" max="3" width="16" style="630" customWidth="1"/>
    <col min="4" max="4" width="47" style="630" bestFit="1" customWidth="1"/>
    <col min="5" max="5" width="15.6640625" style="630" bestFit="1" customWidth="1"/>
    <col min="6" max="6" width="10.1640625" style="630" bestFit="1" customWidth="1"/>
    <col min="7" max="7" width="12.1640625" style="630" bestFit="1" customWidth="1"/>
    <col min="8" max="16384" width="9.1640625" style="630"/>
  </cols>
  <sheetData>
    <row r="1" spans="1:7" ht="14" thickBot="1" x14ac:dyDescent="0.2">
      <c r="B1" s="633" t="s">
        <v>96</v>
      </c>
      <c r="C1" s="634">
        <v>183690</v>
      </c>
    </row>
    <row r="2" spans="1:7" x14ac:dyDescent="0.15">
      <c r="A2" s="1464" t="s">
        <v>82</v>
      </c>
      <c r="B2" s="1465"/>
      <c r="C2" s="1466"/>
    </row>
    <row r="3" spans="1:7" ht="14" thickBot="1" x14ac:dyDescent="0.2">
      <c r="A3" s="1467" t="s">
        <v>222</v>
      </c>
      <c r="B3" s="1468"/>
      <c r="C3" s="1469"/>
    </row>
    <row r="4" spans="1:7" ht="3" customHeight="1" x14ac:dyDescent="0.15">
      <c r="A4" s="527"/>
      <c r="B4" s="533"/>
      <c r="C4" s="915"/>
    </row>
    <row r="5" spans="1:7" x14ac:dyDescent="0.15">
      <c r="A5" s="527" t="s">
        <v>69</v>
      </c>
      <c r="B5" s="533"/>
      <c r="C5" s="916">
        <f>'Summary Board'!F82</f>
        <v>158514742.75</v>
      </c>
    </row>
    <row r="6" spans="1:7" x14ac:dyDescent="0.15">
      <c r="A6" s="527" t="s">
        <v>214</v>
      </c>
      <c r="B6" s="533"/>
      <c r="C6" s="538">
        <f>'Summary Board'!F83</f>
        <v>3452540</v>
      </c>
    </row>
    <row r="7" spans="1:7" x14ac:dyDescent="0.15">
      <c r="A7" s="527" t="s">
        <v>221</v>
      </c>
      <c r="B7" s="533"/>
      <c r="C7" s="538">
        <f>SUM('Summary Board'!F73:F81,'Summary Board'!F92)</f>
        <v>743134655.57542431</v>
      </c>
    </row>
    <row r="8" spans="1:7" x14ac:dyDescent="0.15">
      <c r="A8" s="535" t="s">
        <v>225</v>
      </c>
      <c r="B8" s="536"/>
      <c r="C8" s="537">
        <v>5921652</v>
      </c>
      <c r="D8" s="917"/>
    </row>
    <row r="9" spans="1:7" ht="14" thickBot="1" x14ac:dyDescent="0.2">
      <c r="A9" s="918" t="s">
        <v>3</v>
      </c>
      <c r="B9" s="919"/>
      <c r="C9" s="920">
        <f>SUM(C5:C8)</f>
        <v>911023590.32542431</v>
      </c>
    </row>
    <row r="10" spans="1:7" ht="3.75" customHeight="1" x14ac:dyDescent="0.15">
      <c r="A10" s="527"/>
      <c r="B10" s="533"/>
      <c r="C10" s="921"/>
      <c r="D10" s="533"/>
      <c r="E10" s="533"/>
      <c r="F10" s="533"/>
      <c r="G10" s="533"/>
    </row>
    <row r="11" spans="1:7" x14ac:dyDescent="0.15">
      <c r="A11" s="922" t="s">
        <v>226</v>
      </c>
      <c r="B11" s="533"/>
      <c r="C11" s="921"/>
      <c r="D11" s="533"/>
      <c r="E11" s="533"/>
      <c r="F11" s="533"/>
      <c r="G11" s="533"/>
    </row>
    <row r="12" spans="1:7" x14ac:dyDescent="0.15">
      <c r="A12" s="527" t="s">
        <v>533</v>
      </c>
      <c r="B12" s="533"/>
      <c r="C12" s="534">
        <f>C9*0.65</f>
        <v>592165333.7115258</v>
      </c>
      <c r="D12" s="923"/>
      <c r="E12" s="533"/>
      <c r="F12" s="533"/>
      <c r="G12" s="533"/>
    </row>
    <row r="13" spans="1:7" x14ac:dyDescent="0.15">
      <c r="A13" s="527" t="s">
        <v>547</v>
      </c>
      <c r="B13" s="533"/>
      <c r="C13" s="534">
        <f>0.15*C9</f>
        <v>136653538.54881364</v>
      </c>
      <c r="D13" s="923"/>
      <c r="E13" s="533"/>
      <c r="F13" s="533"/>
      <c r="G13" s="533"/>
    </row>
    <row r="14" spans="1:7" x14ac:dyDescent="0.15">
      <c r="A14" s="535" t="s">
        <v>223</v>
      </c>
      <c r="B14" s="536"/>
      <c r="C14" s="537">
        <f>C9-C12-C17-C19-C15-C18-C16-C13</f>
        <v>83313869.415084869</v>
      </c>
      <c r="D14" s="924"/>
      <c r="E14" s="925"/>
      <c r="F14" s="925"/>
      <c r="G14" s="925"/>
    </row>
    <row r="15" spans="1:7" x14ac:dyDescent="0.15">
      <c r="A15" s="527" t="s">
        <v>342</v>
      </c>
      <c r="B15" s="533"/>
      <c r="C15" s="538">
        <f>'Land Values'!D9</f>
        <v>89621383.650000006</v>
      </c>
      <c r="D15" s="924"/>
      <c r="E15" s="925"/>
      <c r="F15" s="925"/>
      <c r="G15" s="925"/>
    </row>
    <row r="16" spans="1:7" x14ac:dyDescent="0.15">
      <c r="A16" s="527" t="s">
        <v>537</v>
      </c>
      <c r="B16" s="533"/>
      <c r="C16" s="538">
        <v>1179465</v>
      </c>
      <c r="D16" s="926"/>
      <c r="E16" s="925"/>
      <c r="F16" s="925"/>
      <c r="G16" s="925"/>
    </row>
    <row r="17" spans="1:7" x14ac:dyDescent="0.15">
      <c r="A17" s="539" t="s">
        <v>538</v>
      </c>
      <c r="B17" s="533"/>
      <c r="C17" s="538">
        <v>6500000</v>
      </c>
      <c r="D17" s="926" t="s">
        <v>480</v>
      </c>
      <c r="E17" s="925"/>
      <c r="F17" s="925"/>
      <c r="G17" s="925"/>
    </row>
    <row r="18" spans="1:7" x14ac:dyDescent="0.15">
      <c r="A18" s="527" t="s">
        <v>539</v>
      </c>
      <c r="B18" s="533"/>
      <c r="C18" s="538">
        <v>90000</v>
      </c>
      <c r="D18" s="926" t="s">
        <v>482</v>
      </c>
      <c r="E18" s="925"/>
      <c r="F18" s="925"/>
      <c r="G18" s="925"/>
    </row>
    <row r="19" spans="1:7" x14ac:dyDescent="0.15">
      <c r="A19" s="527" t="s">
        <v>540</v>
      </c>
      <c r="B19" s="533"/>
      <c r="C19" s="538">
        <v>1500000</v>
      </c>
      <c r="D19" s="926" t="s">
        <v>484</v>
      </c>
      <c r="E19" s="925"/>
      <c r="F19" s="925"/>
      <c r="G19" s="925"/>
    </row>
    <row r="20" spans="1:7" ht="14" thickBot="1" x14ac:dyDescent="0.2">
      <c r="A20" s="918" t="s">
        <v>224</v>
      </c>
      <c r="B20" s="927"/>
      <c r="C20" s="920">
        <f>SUM(C12:C19)</f>
        <v>911023590.32542431</v>
      </c>
      <c r="D20" s="923"/>
      <c r="E20" s="923"/>
      <c r="F20" s="923"/>
      <c r="G20" s="923"/>
    </row>
    <row r="21" spans="1:7" ht="48" customHeight="1" x14ac:dyDescent="0.2">
      <c r="A21" s="1460" t="s">
        <v>534</v>
      </c>
      <c r="B21" s="1460"/>
      <c r="C21" s="1460"/>
      <c r="D21" s="1460"/>
      <c r="E21" s="928"/>
      <c r="F21" s="928"/>
      <c r="G21" s="929"/>
    </row>
    <row r="22" spans="1:7" ht="16" x14ac:dyDescent="0.2">
      <c r="A22" s="689" t="s">
        <v>536</v>
      </c>
      <c r="B22" s="689"/>
      <c r="C22" s="689"/>
      <c r="D22" s="689"/>
      <c r="E22" s="689"/>
      <c r="F22" s="689"/>
      <c r="G22" s="533"/>
    </row>
    <row r="23" spans="1:7" ht="13" customHeight="1" x14ac:dyDescent="0.2">
      <c r="A23" s="1459" t="s">
        <v>541</v>
      </c>
      <c r="B23" s="1459"/>
      <c r="C23" s="1459"/>
      <c r="D23" s="1459"/>
      <c r="E23" s="930"/>
      <c r="F23" s="930"/>
      <c r="G23" s="533"/>
    </row>
    <row r="24" spans="1:7" ht="20" customHeight="1" x14ac:dyDescent="0.2">
      <c r="A24" s="1459"/>
      <c r="B24" s="1459"/>
      <c r="C24" s="1459"/>
      <c r="D24" s="1459"/>
      <c r="E24" s="930"/>
      <c r="F24" s="930"/>
      <c r="G24" s="533"/>
    </row>
    <row r="25" spans="1:7" ht="19" customHeight="1" x14ac:dyDescent="0.2">
      <c r="A25" s="931" t="s">
        <v>542</v>
      </c>
      <c r="B25" s="931"/>
      <c r="C25" s="931"/>
      <c r="D25" s="931"/>
      <c r="E25" s="931"/>
      <c r="F25" s="931"/>
      <c r="G25" s="533"/>
    </row>
    <row r="26" spans="1:7" ht="17" customHeight="1" x14ac:dyDescent="0.2">
      <c r="A26" s="931" t="s">
        <v>543</v>
      </c>
      <c r="B26" s="931"/>
      <c r="C26" s="931"/>
      <c r="D26" s="931"/>
      <c r="E26" s="931"/>
      <c r="F26" s="931"/>
      <c r="G26" s="533"/>
    </row>
    <row r="27" spans="1:7" ht="18" customHeight="1" x14ac:dyDescent="0.2">
      <c r="A27" s="932" t="s">
        <v>544</v>
      </c>
      <c r="B27" s="689"/>
      <c r="C27" s="689"/>
      <c r="D27" s="689"/>
      <c r="E27" s="689"/>
      <c r="F27" s="689"/>
      <c r="G27" s="533"/>
    </row>
    <row r="28" spans="1:7" x14ac:dyDescent="0.15">
      <c r="G28" s="533"/>
    </row>
    <row r="29" spans="1:7" x14ac:dyDescent="0.15">
      <c r="G29" s="533"/>
    </row>
    <row r="30" spans="1:7" x14ac:dyDescent="0.15">
      <c r="G30" s="533"/>
    </row>
    <row r="31" spans="1:7" x14ac:dyDescent="0.15">
      <c r="A31" s="533"/>
      <c r="B31" s="533"/>
      <c r="C31" s="533"/>
      <c r="D31" s="533"/>
      <c r="E31" s="533"/>
      <c r="F31" s="533"/>
      <c r="G31" s="533"/>
    </row>
    <row r="32" spans="1:7" x14ac:dyDescent="0.15">
      <c r="A32" s="533"/>
      <c r="B32" s="533"/>
      <c r="C32" s="533"/>
      <c r="D32" s="533"/>
      <c r="E32" s="533"/>
      <c r="F32" s="533"/>
      <c r="G32" s="533"/>
    </row>
  </sheetData>
  <dataConsolidate/>
  <mergeCells count="2">
    <mergeCell ref="A23:D24"/>
    <mergeCell ref="A21:D21"/>
  </mergeCells>
  <phoneticPr fontId="3" type="noConversion"/>
  <printOptions horizontalCentered="1"/>
  <pageMargins left="0.45" right="0.45" top="0.5" bottom="0.5" header="0.3" footer="0.3"/>
  <pageSetup scale="1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fitToPage="1"/>
  </sheetPr>
  <dimension ref="A1:N53"/>
  <sheetViews>
    <sheetView zoomScale="85" zoomScaleNormal="85" zoomScalePageLayoutView="85" workbookViewId="0">
      <selection activeCell="F44" sqref="F44"/>
    </sheetView>
  </sheetViews>
  <sheetFormatPr baseColWidth="10" defaultColWidth="9.1640625" defaultRowHeight="13" x14ac:dyDescent="0.15"/>
  <cols>
    <col min="1" max="1" width="31.5" style="630" customWidth="1"/>
    <col min="2" max="2" width="13.83203125" style="630" bestFit="1" customWidth="1"/>
    <col min="3" max="3" width="14.5" style="630" bestFit="1" customWidth="1"/>
    <col min="4" max="4" width="13.83203125" style="630" bestFit="1" customWidth="1"/>
    <col min="5" max="5" width="13.33203125" style="630" bestFit="1" customWidth="1"/>
    <col min="6" max="9" width="13.83203125" style="630" bestFit="1" customWidth="1"/>
    <col min="10" max="10" width="13.6640625" style="630" customWidth="1"/>
    <col min="11" max="11" width="13.83203125" style="630" bestFit="1" customWidth="1"/>
    <col min="12" max="13" width="15.5" style="630" bestFit="1" customWidth="1"/>
    <col min="14" max="14" width="12.6640625" style="630" bestFit="1" customWidth="1"/>
    <col min="15" max="16384" width="9.1640625" style="630"/>
  </cols>
  <sheetData>
    <row r="1" spans="1:14" ht="14" thickBot="1" x14ac:dyDescent="0.2">
      <c r="L1" s="633" t="s">
        <v>96</v>
      </c>
      <c r="M1" s="634">
        <v>183690</v>
      </c>
    </row>
    <row r="2" spans="1:14" x14ac:dyDescent="0.15">
      <c r="A2" s="1464" t="s">
        <v>82</v>
      </c>
      <c r="B2" s="1465"/>
      <c r="C2" s="1465"/>
      <c r="D2" s="1465"/>
      <c r="E2" s="1465"/>
      <c r="F2" s="1465"/>
      <c r="G2" s="1465"/>
      <c r="H2" s="1465"/>
      <c r="I2" s="1465"/>
      <c r="J2" s="1465"/>
      <c r="K2" s="1465"/>
      <c r="L2" s="1465"/>
      <c r="M2" s="1466"/>
    </row>
    <row r="3" spans="1:14" ht="14" thickBot="1" x14ac:dyDescent="0.2">
      <c r="A3" s="1467" t="s">
        <v>229</v>
      </c>
      <c r="B3" s="1470"/>
      <c r="C3" s="1468"/>
      <c r="D3" s="1468"/>
      <c r="E3" s="1468"/>
      <c r="F3" s="1468"/>
      <c r="G3" s="1468"/>
      <c r="H3" s="1468"/>
      <c r="I3" s="1468"/>
      <c r="J3" s="1468"/>
      <c r="K3" s="1468"/>
      <c r="L3" s="1468"/>
      <c r="M3" s="1471"/>
    </row>
    <row r="4" spans="1:14" ht="14" thickBot="1" x14ac:dyDescent="0.2">
      <c r="A4" s="933"/>
      <c r="B4" s="934" t="s">
        <v>58</v>
      </c>
      <c r="C4" s="935" t="s">
        <v>37</v>
      </c>
      <c r="D4" s="936"/>
      <c r="E4" s="937"/>
      <c r="F4" s="935" t="s">
        <v>79</v>
      </c>
      <c r="G4" s="938"/>
      <c r="H4" s="937"/>
      <c r="I4" s="935" t="s">
        <v>80</v>
      </c>
      <c r="J4" s="939"/>
      <c r="K4" s="936"/>
      <c r="L4" s="937"/>
      <c r="M4" s="940"/>
    </row>
    <row r="5" spans="1:14" ht="14" customHeight="1" thickBot="1" x14ac:dyDescent="0.2">
      <c r="A5" s="941"/>
      <c r="B5" s="934">
        <v>0</v>
      </c>
      <c r="C5" s="942">
        <f>B5+1</f>
        <v>1</v>
      </c>
      <c r="D5" s="943">
        <f t="shared" ref="D5:L6" si="0">C5+1</f>
        <v>2</v>
      </c>
      <c r="E5" s="944">
        <f t="shared" si="0"/>
        <v>3</v>
      </c>
      <c r="F5" s="942">
        <f t="shared" si="0"/>
        <v>4</v>
      </c>
      <c r="G5" s="945">
        <f t="shared" si="0"/>
        <v>5</v>
      </c>
      <c r="H5" s="944">
        <f t="shared" si="0"/>
        <v>6</v>
      </c>
      <c r="I5" s="942">
        <f t="shared" si="0"/>
        <v>7</v>
      </c>
      <c r="J5" s="943">
        <f t="shared" si="0"/>
        <v>8</v>
      </c>
      <c r="K5" s="943">
        <f t="shared" si="0"/>
        <v>9</v>
      </c>
      <c r="L5" s="944">
        <f t="shared" si="0"/>
        <v>10</v>
      </c>
      <c r="M5" s="946"/>
    </row>
    <row r="6" spans="1:14" ht="14" customHeight="1" thickBot="1" x14ac:dyDescent="0.2">
      <c r="A6" s="947"/>
      <c r="B6" s="934" t="s">
        <v>362</v>
      </c>
      <c r="C6" s="942">
        <v>2020</v>
      </c>
      <c r="D6" s="943">
        <f>C6+1</f>
        <v>2021</v>
      </c>
      <c r="E6" s="944">
        <f t="shared" si="0"/>
        <v>2022</v>
      </c>
      <c r="F6" s="942">
        <f t="shared" si="0"/>
        <v>2023</v>
      </c>
      <c r="G6" s="943">
        <f t="shared" si="0"/>
        <v>2024</v>
      </c>
      <c r="H6" s="944">
        <f t="shared" si="0"/>
        <v>2025</v>
      </c>
      <c r="I6" s="942">
        <f t="shared" si="0"/>
        <v>2026</v>
      </c>
      <c r="J6" s="943">
        <f t="shared" si="0"/>
        <v>2027</v>
      </c>
      <c r="K6" s="943">
        <f>J6+1</f>
        <v>2028</v>
      </c>
      <c r="L6" s="944">
        <f>K6+1</f>
        <v>2029</v>
      </c>
      <c r="M6" s="948" t="s">
        <v>32</v>
      </c>
    </row>
    <row r="7" spans="1:14" ht="14" customHeight="1" x14ac:dyDescent="0.15">
      <c r="A7" s="527" t="s">
        <v>69</v>
      </c>
      <c r="B7" s="949">
        <f>'Summary Board'!D28</f>
        <v>158514742.75</v>
      </c>
      <c r="C7" s="949">
        <f>'Summary Board'!E28</f>
        <v>0</v>
      </c>
      <c r="D7" s="950">
        <f>'Summary Board'!F28</f>
        <v>0</v>
      </c>
      <c r="E7" s="916">
        <f>'Summary Board'!G28</f>
        <v>0</v>
      </c>
      <c r="F7" s="949">
        <f>'Summary Board'!H28</f>
        <v>0</v>
      </c>
      <c r="G7" s="950">
        <f>'Summary Board'!I28</f>
        <v>0</v>
      </c>
      <c r="H7" s="916">
        <f>'Summary Board'!J28</f>
        <v>0</v>
      </c>
      <c r="I7" s="949">
        <f>'Summary Board'!K28</f>
        <v>0</v>
      </c>
      <c r="J7" s="950">
        <f>'Summary Board'!L28</f>
        <v>0</v>
      </c>
      <c r="K7" s="950">
        <f>'Summary Board'!M28</f>
        <v>0</v>
      </c>
      <c r="L7" s="916">
        <f>'Summary Board'!N28</f>
        <v>0</v>
      </c>
      <c r="M7" s="951">
        <f>SUM(B7:L7)</f>
        <v>158514742.75</v>
      </c>
    </row>
    <row r="8" spans="1:14" ht="14" customHeight="1" x14ac:dyDescent="0.15">
      <c r="A8" s="527" t="s">
        <v>214</v>
      </c>
      <c r="B8" s="952">
        <f>'Summary Board'!D30</f>
        <v>3452540</v>
      </c>
      <c r="C8" s="952">
        <f>'Summary Board'!E30</f>
        <v>0</v>
      </c>
      <c r="D8" s="953">
        <f>'Summary Board'!F30</f>
        <v>0</v>
      </c>
      <c r="E8" s="538">
        <f>'Summary Board'!G30</f>
        <v>0</v>
      </c>
      <c r="F8" s="952">
        <f>'Summary Board'!H30</f>
        <v>0</v>
      </c>
      <c r="G8" s="953">
        <f>'Summary Board'!I30</f>
        <v>0</v>
      </c>
      <c r="H8" s="538">
        <f>'Summary Board'!J30</f>
        <v>0</v>
      </c>
      <c r="I8" s="952">
        <f>'Summary Board'!K30</f>
        <v>0</v>
      </c>
      <c r="J8" s="953">
        <f>'Summary Board'!L30</f>
        <v>0</v>
      </c>
      <c r="K8" s="953">
        <f>'Summary Board'!M30</f>
        <v>0</v>
      </c>
      <c r="L8" s="538">
        <f>'Summary Board'!N30</f>
        <v>0</v>
      </c>
      <c r="M8" s="954">
        <f>SUM(B8:L8)</f>
        <v>3452540</v>
      </c>
    </row>
    <row r="9" spans="1:14" x14ac:dyDescent="0.15">
      <c r="A9" s="527" t="s">
        <v>221</v>
      </c>
      <c r="B9" s="952">
        <f>SUM('Summary Board'!D18:D27,'Summary Board'!D29)</f>
        <v>0</v>
      </c>
      <c r="C9" s="952">
        <f>SUM('Summary Board'!E18:E27,'Summary Board'!E29)</f>
        <v>167739638.65561378</v>
      </c>
      <c r="D9" s="953">
        <f>SUM('Summary Board'!F18:F27,'Summary Board'!F29)</f>
        <v>108724362.25782338</v>
      </c>
      <c r="E9" s="538">
        <f>SUM('Summary Board'!G18:G27,'Summary Board'!G29)</f>
        <v>9492882.8763247486</v>
      </c>
      <c r="F9" s="952">
        <f>SUM('Summary Board'!H18:H27,'Summary Board'!H29)</f>
        <v>60090078.322424263</v>
      </c>
      <c r="G9" s="953">
        <f>SUM('Summary Board'!I18:I27,'Summary Board'!I29)</f>
        <v>69147203.880833164</v>
      </c>
      <c r="H9" s="538">
        <f>SUM('Summary Board'!J18:J27,'Summary Board'!J29)</f>
        <v>7033534.2364562955</v>
      </c>
      <c r="I9" s="952">
        <f>SUM('Summary Board'!K18:K27,'Summary Board'!K29)</f>
        <v>95092540.480049402</v>
      </c>
      <c r="J9" s="953">
        <f>SUM('Summary Board'!L18:L27,'Summary Board'!L29)</f>
        <v>152121445.87509269</v>
      </c>
      <c r="K9" s="953">
        <f>SUM('Summary Board'!M18:M27,'Summary Board'!M29)</f>
        <v>63901246.820574276</v>
      </c>
      <c r="L9" s="538">
        <f>SUM('Summary Board'!N18:N27,'Summary Board'!N29)</f>
        <v>9791722.1702323798</v>
      </c>
      <c r="M9" s="954">
        <f>SUM(B9:L9)</f>
        <v>743134655.57542431</v>
      </c>
    </row>
    <row r="10" spans="1:14" ht="14" thickBot="1" x14ac:dyDescent="0.2">
      <c r="A10" s="535" t="s">
        <v>225</v>
      </c>
      <c r="B10" s="952">
        <f>Budget!C8</f>
        <v>5921652</v>
      </c>
      <c r="C10" s="955">
        <v>0</v>
      </c>
      <c r="D10" s="956">
        <f>C10</f>
        <v>0</v>
      </c>
      <c r="E10" s="537">
        <f t="shared" ref="E10:L10" si="1">D10</f>
        <v>0</v>
      </c>
      <c r="F10" s="955">
        <f t="shared" si="1"/>
        <v>0</v>
      </c>
      <c r="G10" s="956">
        <f t="shared" si="1"/>
        <v>0</v>
      </c>
      <c r="H10" s="537">
        <f t="shared" si="1"/>
        <v>0</v>
      </c>
      <c r="I10" s="955">
        <f t="shared" si="1"/>
        <v>0</v>
      </c>
      <c r="J10" s="956">
        <f t="shared" si="1"/>
        <v>0</v>
      </c>
      <c r="K10" s="956">
        <f t="shared" si="1"/>
        <v>0</v>
      </c>
      <c r="L10" s="537">
        <f t="shared" si="1"/>
        <v>0</v>
      </c>
      <c r="M10" s="957">
        <f>SUM(B10:L10)</f>
        <v>5921652</v>
      </c>
    </row>
    <row r="11" spans="1:14" ht="14" thickBot="1" x14ac:dyDescent="0.2">
      <c r="A11" s="918" t="s">
        <v>3</v>
      </c>
      <c r="B11" s="958">
        <f t="shared" ref="B11:K11" si="2">SUM(B7:B10)</f>
        <v>167888934.75</v>
      </c>
      <c r="C11" s="959">
        <f t="shared" si="2"/>
        <v>167739638.65561378</v>
      </c>
      <c r="D11" s="960">
        <f t="shared" si="2"/>
        <v>108724362.25782338</v>
      </c>
      <c r="E11" s="920">
        <f t="shared" si="2"/>
        <v>9492882.8763247486</v>
      </c>
      <c r="F11" s="959">
        <f t="shared" si="2"/>
        <v>60090078.322424263</v>
      </c>
      <c r="G11" s="960">
        <f t="shared" si="2"/>
        <v>69147203.880833164</v>
      </c>
      <c r="H11" s="920">
        <f t="shared" si="2"/>
        <v>7033534.2364562955</v>
      </c>
      <c r="I11" s="959">
        <f t="shared" si="2"/>
        <v>95092540.480049402</v>
      </c>
      <c r="J11" s="960">
        <f t="shared" si="2"/>
        <v>152121445.87509269</v>
      </c>
      <c r="K11" s="960">
        <f t="shared" si="2"/>
        <v>63901246.820574276</v>
      </c>
      <c r="L11" s="920">
        <f>SUM(L7:L10)</f>
        <v>9791722.1702323798</v>
      </c>
      <c r="M11" s="961">
        <f>SUM(M7:M10)</f>
        <v>911023590.32542431</v>
      </c>
    </row>
    <row r="12" spans="1:14" ht="18.75" customHeight="1" x14ac:dyDescent="0.15">
      <c r="A12" s="962"/>
      <c r="B12" s="963"/>
      <c r="C12" s="963"/>
      <c r="D12" s="964"/>
      <c r="E12" s="965"/>
      <c r="F12" s="963"/>
      <c r="G12" s="964"/>
      <c r="H12" s="965"/>
      <c r="I12" s="963"/>
      <c r="J12" s="964"/>
      <c r="K12" s="964"/>
      <c r="L12" s="965"/>
      <c r="M12" s="966"/>
    </row>
    <row r="13" spans="1:14" x14ac:dyDescent="0.15">
      <c r="A13" s="922" t="s">
        <v>231</v>
      </c>
      <c r="B13" s="967"/>
      <c r="C13" s="967"/>
      <c r="D13" s="968"/>
      <c r="E13" s="969"/>
      <c r="F13" s="967"/>
      <c r="G13" s="968"/>
      <c r="H13" s="969"/>
      <c r="I13" s="967"/>
      <c r="J13" s="968"/>
      <c r="K13" s="968"/>
      <c r="L13" s="969"/>
      <c r="M13" s="970"/>
    </row>
    <row r="14" spans="1:14" x14ac:dyDescent="0.15">
      <c r="A14" s="527" t="s">
        <v>218</v>
      </c>
      <c r="B14" s="949">
        <f>B11</f>
        <v>167888934.75</v>
      </c>
      <c r="C14" s="949">
        <f>IF(SUM($B$11:C11)&gt;Budget!$C$14,MAX(0,Budget!$C$14-SUM($B$14:B14)),C11)</f>
        <v>0</v>
      </c>
      <c r="D14" s="950">
        <f>IF(SUM($B$11:D11)&gt;Budget!$C$14,MAX(0,Budget!$C$14-SUM($B$14:C14)),D11)</f>
        <v>0</v>
      </c>
      <c r="E14" s="916">
        <f>IF(SUM($B$11:E11)&gt;Budget!$C$14,MAX(0,Budget!$C$14-SUM($B$14:D14)),E11)</f>
        <v>0</v>
      </c>
      <c r="F14" s="949">
        <f>IF(SUM($B$11:F11)&gt;Budget!$C$14,MAX(0,Budget!$C$14-SUM($B$14:E14)),F11)</f>
        <v>0</v>
      </c>
      <c r="G14" s="950">
        <f>IF(SUM($B$11:G11)&gt;Budget!$C$14,MAX(0,Budget!$C$14-SUM($B$14:F14)),G11)</f>
        <v>0</v>
      </c>
      <c r="H14" s="916">
        <f>IF(SUM($B$11:H11)&gt;Budget!$C$14,MAX(0,Budget!$C$14-SUM($B$14:G14)),H11)</f>
        <v>0</v>
      </c>
      <c r="I14" s="949">
        <f>IF(SUM($B$11:I11)&gt;Budget!$C$14,MAX(0,Budget!$C$14-SUM($B$14:H14)),I11)</f>
        <v>0</v>
      </c>
      <c r="J14" s="950">
        <f>IF(SUM($B$11:J11)&gt;Budget!$C$14,MAX(0,Budget!$C$14-SUM($B$14:I14)),J11)</f>
        <v>0</v>
      </c>
      <c r="K14" s="950">
        <f>IF(SUM($B$11:K11)&gt;Budget!$C$14,MAX(0,Budget!$C$14-SUM($B$14:J14)),K11)</f>
        <v>0</v>
      </c>
      <c r="L14" s="916">
        <f>IF(SUM($B$11:L11)&gt;Budget!$C$14,MAX(0,Budget!$C$14-SUM($B$14:K14)),L11)</f>
        <v>0</v>
      </c>
      <c r="M14" s="951">
        <f>SUM(B14:L14)</f>
        <v>167888934.75</v>
      </c>
      <c r="N14" s="971"/>
    </row>
    <row r="15" spans="1:14" x14ac:dyDescent="0.15">
      <c r="A15" s="527"/>
      <c r="B15" s="949"/>
      <c r="C15" s="949"/>
      <c r="D15" s="950"/>
      <c r="E15" s="916"/>
      <c r="F15" s="949"/>
      <c r="G15" s="950"/>
      <c r="H15" s="916"/>
      <c r="I15" s="949"/>
      <c r="J15" s="950"/>
      <c r="K15" s="950"/>
      <c r="L15" s="916"/>
      <c r="M15" s="951"/>
      <c r="N15" s="971"/>
    </row>
    <row r="16" spans="1:14" x14ac:dyDescent="0.15">
      <c r="A16" s="527" t="s">
        <v>219</v>
      </c>
      <c r="B16" s="949">
        <f>B11-B14</f>
        <v>0</v>
      </c>
      <c r="C16" s="949">
        <f>C11-C14</f>
        <v>167739638.65561378</v>
      </c>
      <c r="D16" s="950">
        <f>D11-D14</f>
        <v>108724362.25782338</v>
      </c>
      <c r="E16" s="916">
        <f t="shared" ref="E16:L16" si="3">E11-E14</f>
        <v>9492882.8763247486</v>
      </c>
      <c r="F16" s="949">
        <f t="shared" si="3"/>
        <v>60090078.322424263</v>
      </c>
      <c r="G16" s="950">
        <f t="shared" si="3"/>
        <v>69147203.880833164</v>
      </c>
      <c r="H16" s="916">
        <f t="shared" si="3"/>
        <v>7033534.2364562955</v>
      </c>
      <c r="I16" s="949">
        <f t="shared" si="3"/>
        <v>95092540.480049402</v>
      </c>
      <c r="J16" s="950">
        <f t="shared" si="3"/>
        <v>152121445.87509269</v>
      </c>
      <c r="K16" s="950">
        <f t="shared" si="3"/>
        <v>63901246.820574276</v>
      </c>
      <c r="L16" s="916">
        <f t="shared" si="3"/>
        <v>9791722.1702323798</v>
      </c>
      <c r="M16" s="951">
        <f>SUM(B16:L16)</f>
        <v>743134655.57542431</v>
      </c>
      <c r="N16" s="972"/>
    </row>
    <row r="17" spans="1:14" ht="14" thickBot="1" x14ac:dyDescent="0.2">
      <c r="A17" s="973" t="s">
        <v>220</v>
      </c>
      <c r="B17" s="974">
        <f>SUM($B$16:B16)</f>
        <v>0</v>
      </c>
      <c r="C17" s="974">
        <f>SUM($B$16:C16)</f>
        <v>167739638.65561378</v>
      </c>
      <c r="D17" s="975">
        <f>SUM($B$16:D16)</f>
        <v>276464000.91343713</v>
      </c>
      <c r="E17" s="976">
        <f>SUM($B$16:E16)</f>
        <v>285956883.7897619</v>
      </c>
      <c r="F17" s="974">
        <f>SUM($B$16:F16)</f>
        <v>346046962.11218619</v>
      </c>
      <c r="G17" s="975">
        <f>SUM($B$16:G16)</f>
        <v>415194165.99301934</v>
      </c>
      <c r="H17" s="976">
        <f>SUM($B$16:H16)</f>
        <v>422227700.22947562</v>
      </c>
      <c r="I17" s="974">
        <f>SUM($B$16:I16)</f>
        <v>517320240.70952499</v>
      </c>
      <c r="J17" s="975">
        <f>SUM($B$16:J16)</f>
        <v>669441686.58461761</v>
      </c>
      <c r="K17" s="975">
        <f>SUM($B$16:K16)</f>
        <v>733342933.4051919</v>
      </c>
      <c r="L17" s="976">
        <f>SUM($B$16:L16)</f>
        <v>743134655.57542431</v>
      </c>
      <c r="M17" s="977"/>
    </row>
    <row r="18" spans="1:14" ht="4.5" customHeight="1" x14ac:dyDescent="0.15">
      <c r="A18" s="527"/>
      <c r="B18" s="967"/>
      <c r="C18" s="967"/>
      <c r="D18" s="968"/>
      <c r="E18" s="969"/>
      <c r="F18" s="967"/>
      <c r="G18" s="968"/>
      <c r="H18" s="969"/>
      <c r="I18" s="967"/>
      <c r="J18" s="968"/>
      <c r="K18" s="968"/>
      <c r="L18" s="969"/>
      <c r="M18" s="970"/>
      <c r="N18" s="971"/>
    </row>
    <row r="19" spans="1:14" x14ac:dyDescent="0.15">
      <c r="A19" s="922" t="s">
        <v>232</v>
      </c>
      <c r="B19" s="967"/>
      <c r="C19" s="967"/>
      <c r="D19" s="968"/>
      <c r="E19" s="969"/>
      <c r="F19" s="967"/>
      <c r="G19" s="968"/>
      <c r="H19" s="969"/>
      <c r="I19" s="967"/>
      <c r="J19" s="968"/>
      <c r="K19" s="968"/>
      <c r="L19" s="969"/>
      <c r="M19" s="970"/>
      <c r="N19" s="971"/>
    </row>
    <row r="20" spans="1:14" x14ac:dyDescent="0.15">
      <c r="A20" s="527" t="s">
        <v>427</v>
      </c>
      <c r="B20" s="949">
        <f t="shared" ref="B20:L20" si="4">B17*$B$40</f>
        <v>0</v>
      </c>
      <c r="C20" s="949">
        <f t="shared" si="4"/>
        <v>10064378.319336826</v>
      </c>
      <c r="D20" s="950">
        <f>D17*$B$40</f>
        <v>16587840.054806227</v>
      </c>
      <c r="E20" s="916">
        <f t="shared" si="4"/>
        <v>17157413.027385712</v>
      </c>
      <c r="F20" s="949">
        <f t="shared" si="4"/>
        <v>20762817.72673117</v>
      </c>
      <c r="G20" s="950">
        <f t="shared" si="4"/>
        <v>24911649.959581159</v>
      </c>
      <c r="H20" s="916">
        <f t="shared" si="4"/>
        <v>25333662.013768535</v>
      </c>
      <c r="I20" s="949">
        <f t="shared" si="4"/>
        <v>31039214.442571498</v>
      </c>
      <c r="J20" s="950">
        <f t="shared" si="4"/>
        <v>40166501.195077054</v>
      </c>
      <c r="K20" s="950">
        <f t="shared" si="4"/>
        <v>44000576.004311509</v>
      </c>
      <c r="L20" s="916">
        <f t="shared" si="4"/>
        <v>44588079.334525459</v>
      </c>
      <c r="M20" s="951">
        <f>SUM(B20:L20)</f>
        <v>274612132.07809514</v>
      </c>
    </row>
    <row r="21" spans="1:14" x14ac:dyDescent="0.15">
      <c r="A21" s="535" t="s">
        <v>230</v>
      </c>
      <c r="B21" s="955">
        <v>0</v>
      </c>
      <c r="C21" s="955">
        <f>B21</f>
        <v>0</v>
      </c>
      <c r="D21" s="956">
        <v>0</v>
      </c>
      <c r="E21" s="537">
        <v>0</v>
      </c>
      <c r="F21" s="955">
        <f>E21</f>
        <v>0</v>
      </c>
      <c r="G21" s="956">
        <f>F21</f>
        <v>0</v>
      </c>
      <c r="H21" s="537">
        <f>G21</f>
        <v>0</v>
      </c>
      <c r="I21" s="955"/>
      <c r="J21" s="956"/>
      <c r="K21" s="956"/>
      <c r="L21" s="537">
        <f>L17-SUM(C21:K21)</f>
        <v>743134655.57542431</v>
      </c>
      <c r="M21" s="957">
        <f>SUM(B21:L21)</f>
        <v>743134655.57542431</v>
      </c>
    </row>
    <row r="22" spans="1:14" ht="14" thickBot="1" x14ac:dyDescent="0.2">
      <c r="A22" s="918" t="s">
        <v>233</v>
      </c>
      <c r="B22" s="959">
        <f>SUM(B20:B21)</f>
        <v>0</v>
      </c>
      <c r="C22" s="959">
        <f t="shared" ref="C22:M22" si="5">SUM(C20:C21)</f>
        <v>10064378.319336826</v>
      </c>
      <c r="D22" s="960">
        <f t="shared" si="5"/>
        <v>16587840.054806227</v>
      </c>
      <c r="E22" s="920">
        <f t="shared" si="5"/>
        <v>17157413.027385712</v>
      </c>
      <c r="F22" s="959">
        <f t="shared" si="5"/>
        <v>20762817.72673117</v>
      </c>
      <c r="G22" s="960">
        <f t="shared" si="5"/>
        <v>24911649.959581159</v>
      </c>
      <c r="H22" s="920">
        <f t="shared" si="5"/>
        <v>25333662.013768535</v>
      </c>
      <c r="I22" s="959">
        <f t="shared" si="5"/>
        <v>31039214.442571498</v>
      </c>
      <c r="J22" s="960">
        <f t="shared" si="5"/>
        <v>40166501.195077054</v>
      </c>
      <c r="K22" s="960">
        <f t="shared" si="5"/>
        <v>44000576.004311509</v>
      </c>
      <c r="L22" s="920">
        <f t="shared" si="5"/>
        <v>787722734.90994978</v>
      </c>
      <c r="M22" s="961">
        <f t="shared" si="5"/>
        <v>1017746787.6535194</v>
      </c>
      <c r="N22" s="533"/>
    </row>
    <row r="23" spans="1:14" ht="20.25" customHeight="1" x14ac:dyDescent="0.15">
      <c r="A23" s="978"/>
      <c r="B23" s="979"/>
      <c r="C23" s="979"/>
      <c r="D23" s="980"/>
      <c r="E23" s="981"/>
      <c r="F23" s="979"/>
      <c r="G23" s="980"/>
      <c r="H23" s="981"/>
      <c r="I23" s="979"/>
      <c r="J23" s="980"/>
      <c r="K23" s="980"/>
      <c r="L23" s="981"/>
      <c r="M23" s="982"/>
      <c r="N23" s="533"/>
    </row>
    <row r="24" spans="1:14" x14ac:dyDescent="0.15">
      <c r="A24" s="922" t="s">
        <v>239</v>
      </c>
      <c r="B24" s="967"/>
      <c r="C24" s="967"/>
      <c r="D24" s="968"/>
      <c r="E24" s="969"/>
      <c r="F24" s="967"/>
      <c r="G24" s="968"/>
      <c r="H24" s="969"/>
      <c r="I24" s="967"/>
      <c r="J24" s="968"/>
      <c r="K24" s="968"/>
      <c r="L24" s="969"/>
      <c r="M24" s="970"/>
      <c r="N24" s="533"/>
    </row>
    <row r="25" spans="1:14" x14ac:dyDescent="0.15">
      <c r="A25" s="527" t="s">
        <v>5</v>
      </c>
      <c r="B25" s="949">
        <f>'Summary Board'!D16</f>
        <v>0</v>
      </c>
      <c r="C25" s="949">
        <f>'Summary Board'!E16</f>
        <v>-7341.45</v>
      </c>
      <c r="D25" s="950">
        <f>'Summary Board'!F16</f>
        <v>62607977.262112305</v>
      </c>
      <c r="E25" s="916">
        <f>'Summary Board'!G16</f>
        <v>70270974.927870721</v>
      </c>
      <c r="F25" s="949">
        <f>'Summary Board'!H16</f>
        <v>77383851.812106296</v>
      </c>
      <c r="G25" s="950">
        <f>'Summary Board'!I16</f>
        <v>35488111.748814158</v>
      </c>
      <c r="H25" s="916">
        <f>'Summary Board'!J16</f>
        <v>43058738.811103724</v>
      </c>
      <c r="I25" s="949">
        <f>'Summary Board'!K16</f>
        <v>48043962.37250717</v>
      </c>
      <c r="J25" s="950">
        <f>'Summary Board'!L16</f>
        <v>73235595.518036678</v>
      </c>
      <c r="K25" s="950">
        <f>'Summary Board'!M16</f>
        <v>99743705.316841736</v>
      </c>
      <c r="L25" s="916">
        <f>'Summary Board'!N16</f>
        <v>108517833.33837087</v>
      </c>
      <c r="M25" s="951">
        <f>SUM(B25:L25)</f>
        <v>618343409.6577636</v>
      </c>
      <c r="N25" s="533"/>
    </row>
    <row r="26" spans="1:14" x14ac:dyDescent="0.15">
      <c r="A26" s="535" t="s">
        <v>241</v>
      </c>
      <c r="B26" s="955">
        <f>-B20</f>
        <v>0</v>
      </c>
      <c r="C26" s="955">
        <f t="shared" ref="C26:L26" si="6">-C20</f>
        <v>-10064378.319336826</v>
      </c>
      <c r="D26" s="956">
        <f t="shared" si="6"/>
        <v>-16587840.054806227</v>
      </c>
      <c r="E26" s="537">
        <f t="shared" si="6"/>
        <v>-17157413.027385712</v>
      </c>
      <c r="F26" s="955">
        <f t="shared" si="6"/>
        <v>-20762817.72673117</v>
      </c>
      <c r="G26" s="956">
        <f t="shared" si="6"/>
        <v>-24911649.959581159</v>
      </c>
      <c r="H26" s="537">
        <f t="shared" si="6"/>
        <v>-25333662.013768535</v>
      </c>
      <c r="I26" s="955">
        <f t="shared" si="6"/>
        <v>-31039214.442571498</v>
      </c>
      <c r="J26" s="956">
        <f t="shared" si="6"/>
        <v>-40166501.195077054</v>
      </c>
      <c r="K26" s="956">
        <f t="shared" si="6"/>
        <v>-44000576.004311509</v>
      </c>
      <c r="L26" s="537">
        <f t="shared" si="6"/>
        <v>-44588079.334525459</v>
      </c>
      <c r="M26" s="957">
        <f>SUM(B26:L26)</f>
        <v>-274612132.07809514</v>
      </c>
      <c r="N26" s="533"/>
    </row>
    <row r="27" spans="1:14" ht="14" thickBot="1" x14ac:dyDescent="0.2">
      <c r="A27" s="918" t="s">
        <v>240</v>
      </c>
      <c r="B27" s="959">
        <f>SUM(B25:B26)</f>
        <v>0</v>
      </c>
      <c r="C27" s="959">
        <f t="shared" ref="C27:L27" si="7">SUM(C25:C26)</f>
        <v>-10071719.769336825</v>
      </c>
      <c r="D27" s="960">
        <f t="shared" si="7"/>
        <v>46020137.20730608</v>
      </c>
      <c r="E27" s="920">
        <f t="shared" si="7"/>
        <v>53113561.900485009</v>
      </c>
      <c r="F27" s="959">
        <f t="shared" si="7"/>
        <v>56621034.08537513</v>
      </c>
      <c r="G27" s="960">
        <f t="shared" si="7"/>
        <v>10576461.789232999</v>
      </c>
      <c r="H27" s="920">
        <f t="shared" si="7"/>
        <v>17725076.797335189</v>
      </c>
      <c r="I27" s="959">
        <f t="shared" si="7"/>
        <v>17004747.929935671</v>
      </c>
      <c r="J27" s="960">
        <f t="shared" si="7"/>
        <v>33069094.322959624</v>
      </c>
      <c r="K27" s="960">
        <f t="shared" si="7"/>
        <v>55743129.312530227</v>
      </c>
      <c r="L27" s="920">
        <f t="shared" si="7"/>
        <v>63929754.003845416</v>
      </c>
      <c r="M27" s="961">
        <f>SUM(M25:M26)</f>
        <v>343731277.57966846</v>
      </c>
      <c r="N27" s="533"/>
    </row>
    <row r="28" spans="1:14" ht="13.5" customHeight="1" x14ac:dyDescent="0.15">
      <c r="A28" s="983"/>
      <c r="B28" s="984"/>
      <c r="C28" s="984"/>
      <c r="D28" s="985"/>
      <c r="E28" s="986"/>
      <c r="F28" s="984"/>
      <c r="G28" s="985"/>
      <c r="H28" s="986"/>
      <c r="I28" s="984"/>
      <c r="J28" s="985"/>
      <c r="K28" s="985"/>
      <c r="L28" s="986"/>
      <c r="M28" s="987"/>
      <c r="N28" s="533"/>
    </row>
    <row r="29" spans="1:14" x14ac:dyDescent="0.15">
      <c r="A29" s="922" t="s">
        <v>236</v>
      </c>
      <c r="B29" s="967"/>
      <c r="C29" s="967"/>
      <c r="D29" s="968"/>
      <c r="E29" s="969"/>
      <c r="F29" s="967"/>
      <c r="G29" s="968"/>
      <c r="H29" s="969"/>
      <c r="I29" s="967"/>
      <c r="J29" s="968"/>
      <c r="K29" s="968"/>
      <c r="L29" s="969"/>
      <c r="M29" s="970"/>
      <c r="N29" s="533"/>
    </row>
    <row r="30" spans="1:14" x14ac:dyDescent="0.15">
      <c r="A30" s="527" t="s">
        <v>237</v>
      </c>
      <c r="B30" s="949">
        <f>-B14</f>
        <v>-167888934.75</v>
      </c>
      <c r="C30" s="949">
        <f t="shared" ref="C30:L30" si="8">-C14</f>
        <v>0</v>
      </c>
      <c r="D30" s="950">
        <f t="shared" si="8"/>
        <v>0</v>
      </c>
      <c r="E30" s="916">
        <f t="shared" si="8"/>
        <v>0</v>
      </c>
      <c r="F30" s="949">
        <f t="shared" si="8"/>
        <v>0</v>
      </c>
      <c r="G30" s="950">
        <f t="shared" si="8"/>
        <v>0</v>
      </c>
      <c r="H30" s="916">
        <f t="shared" si="8"/>
        <v>0</v>
      </c>
      <c r="I30" s="949">
        <f t="shared" si="8"/>
        <v>0</v>
      </c>
      <c r="J30" s="950">
        <f t="shared" si="8"/>
        <v>0</v>
      </c>
      <c r="K30" s="950">
        <f t="shared" si="8"/>
        <v>0</v>
      </c>
      <c r="L30" s="916">
        <f t="shared" si="8"/>
        <v>0</v>
      </c>
      <c r="M30" s="951">
        <f>SUM(B30:L30)</f>
        <v>-167888934.75</v>
      </c>
      <c r="N30" s="533"/>
    </row>
    <row r="31" spans="1:14" x14ac:dyDescent="0.15">
      <c r="A31" s="527" t="s">
        <v>238</v>
      </c>
      <c r="B31" s="952">
        <f>B27</f>
        <v>0</v>
      </c>
      <c r="C31" s="952">
        <f>C27</f>
        <v>-10071719.769336825</v>
      </c>
      <c r="D31" s="953">
        <f t="shared" ref="D31:L31" si="9">D27</f>
        <v>46020137.20730608</v>
      </c>
      <c r="E31" s="538">
        <f t="shared" si="9"/>
        <v>53113561.900485009</v>
      </c>
      <c r="F31" s="952">
        <f t="shared" si="9"/>
        <v>56621034.08537513</v>
      </c>
      <c r="G31" s="953">
        <f t="shared" si="9"/>
        <v>10576461.789232999</v>
      </c>
      <c r="H31" s="538">
        <f t="shared" si="9"/>
        <v>17725076.797335189</v>
      </c>
      <c r="I31" s="952">
        <f t="shared" si="9"/>
        <v>17004747.929935671</v>
      </c>
      <c r="J31" s="953">
        <f t="shared" si="9"/>
        <v>33069094.322959624</v>
      </c>
      <c r="K31" s="953">
        <f t="shared" si="9"/>
        <v>55743129.312530227</v>
      </c>
      <c r="L31" s="538">
        <f t="shared" si="9"/>
        <v>63929754.003845416</v>
      </c>
      <c r="M31" s="954">
        <f>SUM(B31:L31)</f>
        <v>343731277.57966846</v>
      </c>
      <c r="N31" s="533"/>
    </row>
    <row r="32" spans="1:14" x14ac:dyDescent="0.15">
      <c r="A32" s="527" t="s">
        <v>242</v>
      </c>
      <c r="B32" s="952">
        <f>'Summary Board'!D35</f>
        <v>0</v>
      </c>
      <c r="C32" s="952">
        <f>'Summary Board'!E35</f>
        <v>0</v>
      </c>
      <c r="D32" s="953"/>
      <c r="E32" s="953">
        <f>'Summary Board'!G35</f>
        <v>0</v>
      </c>
      <c r="F32" s="952">
        <f>'Summary Board'!H35</f>
        <v>0</v>
      </c>
      <c r="G32" s="953">
        <f>'Summary Board'!I35</f>
        <v>0</v>
      </c>
      <c r="H32" s="538">
        <f>'Summary Board'!J35</f>
        <v>0</v>
      </c>
      <c r="I32" s="952">
        <f>'Summary Board'!K35</f>
        <v>0</v>
      </c>
      <c r="J32" s="953">
        <f>'Summary Board'!L35</f>
        <v>0</v>
      </c>
      <c r="K32" s="953">
        <f>'Summary Board'!M35</f>
        <v>0</v>
      </c>
      <c r="L32" s="538">
        <f>'Summary Board'!N35</f>
        <v>1696543427.9797151</v>
      </c>
      <c r="M32" s="954">
        <f>SUM(B32:L32)</f>
        <v>1696543427.9797151</v>
      </c>
      <c r="N32" s="533"/>
    </row>
    <row r="33" spans="1:14" x14ac:dyDescent="0.15">
      <c r="A33" s="527" t="s">
        <v>243</v>
      </c>
      <c r="B33" s="952">
        <f>'Summary Board'!D36</f>
        <v>0</v>
      </c>
      <c r="C33" s="952">
        <f>'Summary Board'!E36</f>
        <v>0</v>
      </c>
      <c r="D33" s="953">
        <f>'Summary Board'!F36</f>
        <v>0</v>
      </c>
      <c r="E33" s="538">
        <f>'Summary Board'!G36</f>
        <v>0</v>
      </c>
      <c r="F33" s="952">
        <f>'Summary Board'!H36</f>
        <v>0</v>
      </c>
      <c r="G33" s="953">
        <f>'Summary Board'!I36</f>
        <v>0</v>
      </c>
      <c r="H33" s="538">
        <f>'Summary Board'!J36</f>
        <v>0</v>
      </c>
      <c r="I33" s="952">
        <f>'Summary Board'!K36</f>
        <v>0</v>
      </c>
      <c r="J33" s="953">
        <f>'Summary Board'!L36</f>
        <v>0</v>
      </c>
      <c r="K33" s="953">
        <f>'Summary Board'!M36</f>
        <v>0</v>
      </c>
      <c r="L33" s="538">
        <f>'Summary Board'!N36</f>
        <v>-50896302.839391455</v>
      </c>
      <c r="M33" s="954">
        <f>SUM(B33:L33)</f>
        <v>-50896302.839391455</v>
      </c>
      <c r="N33" s="533"/>
    </row>
    <row r="34" spans="1:14" x14ac:dyDescent="0.15">
      <c r="A34" s="535" t="s">
        <v>244</v>
      </c>
      <c r="B34" s="955">
        <f>-B21</f>
        <v>0</v>
      </c>
      <c r="C34" s="955">
        <f t="shared" ref="C34:K34" si="10">-C21</f>
        <v>0</v>
      </c>
      <c r="D34" s="956">
        <f t="shared" si="10"/>
        <v>0</v>
      </c>
      <c r="E34" s="537">
        <f t="shared" si="10"/>
        <v>0</v>
      </c>
      <c r="F34" s="955">
        <f t="shared" si="10"/>
        <v>0</v>
      </c>
      <c r="G34" s="956">
        <f t="shared" si="10"/>
        <v>0</v>
      </c>
      <c r="H34" s="537">
        <f t="shared" si="10"/>
        <v>0</v>
      </c>
      <c r="I34" s="955">
        <f t="shared" si="10"/>
        <v>0</v>
      </c>
      <c r="J34" s="956">
        <f t="shared" si="10"/>
        <v>0</v>
      </c>
      <c r="K34" s="956">
        <f t="shared" si="10"/>
        <v>0</v>
      </c>
      <c r="L34" s="537">
        <f>-L21</f>
        <v>-743134655.57542431</v>
      </c>
      <c r="M34" s="957">
        <f>SUM(B34:L34)</f>
        <v>-743134655.57542431</v>
      </c>
      <c r="N34" s="533"/>
    </row>
    <row r="35" spans="1:14" ht="14" thickBot="1" x14ac:dyDescent="0.2">
      <c r="A35" s="918" t="s">
        <v>245</v>
      </c>
      <c r="B35" s="959">
        <f t="shared" ref="B35:M35" si="11">SUM(B30:B34)</f>
        <v>-167888934.75</v>
      </c>
      <c r="C35" s="959">
        <f>SUM(C30:C34)</f>
        <v>-10071719.769336825</v>
      </c>
      <c r="D35" s="960">
        <f t="shared" si="11"/>
        <v>46020137.20730608</v>
      </c>
      <c r="E35" s="920">
        <f t="shared" si="11"/>
        <v>53113561.900485009</v>
      </c>
      <c r="F35" s="959">
        <f t="shared" si="11"/>
        <v>56621034.08537513</v>
      </c>
      <c r="G35" s="960">
        <f t="shared" si="11"/>
        <v>10576461.789232999</v>
      </c>
      <c r="H35" s="920">
        <f t="shared" si="11"/>
        <v>17725076.797335189</v>
      </c>
      <c r="I35" s="959">
        <f t="shared" si="11"/>
        <v>17004747.929935671</v>
      </c>
      <c r="J35" s="960">
        <f t="shared" si="11"/>
        <v>33069094.322959624</v>
      </c>
      <c r="K35" s="960">
        <f t="shared" si="11"/>
        <v>55743129.312530227</v>
      </c>
      <c r="L35" s="920">
        <f t="shared" si="11"/>
        <v>966442223.56874478</v>
      </c>
      <c r="M35" s="961">
        <f t="shared" si="11"/>
        <v>1078354812.394568</v>
      </c>
      <c r="N35" s="533"/>
    </row>
    <row r="36" spans="1:14" ht="14" thickBot="1" x14ac:dyDescent="0.2">
      <c r="A36" s="988" t="s">
        <v>27</v>
      </c>
      <c r="B36" s="987">
        <f>B35+NPV(B41,C35:L35)</f>
        <v>419972993.37855685</v>
      </c>
      <c r="C36" s="952"/>
      <c r="D36" s="953"/>
      <c r="E36" s="538"/>
      <c r="F36" s="952"/>
      <c r="G36" s="953"/>
      <c r="H36" s="538"/>
      <c r="I36" s="952"/>
      <c r="J36" s="953"/>
      <c r="K36" s="953"/>
      <c r="L36" s="538"/>
      <c r="M36" s="982"/>
      <c r="N36" s="533"/>
    </row>
    <row r="37" spans="1:14" ht="14" thickBot="1" x14ac:dyDescent="0.2">
      <c r="A37" s="989" t="s">
        <v>246</v>
      </c>
      <c r="B37" s="990">
        <f>IRR(B35:L35,0)</f>
        <v>0.28149912053711845</v>
      </c>
      <c r="C37" s="991"/>
      <c r="D37" s="992"/>
      <c r="E37" s="993"/>
      <c r="F37" s="991"/>
      <c r="G37" s="992"/>
      <c r="H37" s="993"/>
      <c r="I37" s="991"/>
      <c r="J37" s="992"/>
      <c r="K37" s="992"/>
      <c r="L37" s="993"/>
      <c r="M37" s="994"/>
      <c r="N37" s="533"/>
    </row>
    <row r="38" spans="1:14" ht="14" thickBot="1" x14ac:dyDescent="0.2">
      <c r="A38" s="533"/>
      <c r="B38" s="953"/>
      <c r="C38" s="953"/>
      <c r="D38" s="953"/>
      <c r="E38" s="953"/>
      <c r="F38" s="953"/>
      <c r="G38" s="953"/>
      <c r="H38" s="953"/>
      <c r="I38" s="953"/>
      <c r="J38" s="953"/>
      <c r="K38" s="953"/>
      <c r="L38" s="953"/>
      <c r="M38" s="980"/>
      <c r="N38" s="533"/>
    </row>
    <row r="39" spans="1:14" ht="14" thickBot="1" x14ac:dyDescent="0.2">
      <c r="A39" s="1476" t="s">
        <v>235</v>
      </c>
      <c r="B39" s="1477"/>
      <c r="C39" s="968"/>
      <c r="D39" s="968"/>
      <c r="E39" s="968"/>
      <c r="F39" s="968"/>
      <c r="G39" s="968"/>
      <c r="H39" s="968"/>
      <c r="I39" s="968"/>
      <c r="J39" s="968"/>
      <c r="K39" s="968"/>
      <c r="L39" s="968"/>
      <c r="M39" s="968"/>
      <c r="N39" s="533"/>
    </row>
    <row r="40" spans="1:14" x14ac:dyDescent="0.15">
      <c r="A40" s="962" t="s">
        <v>234</v>
      </c>
      <c r="B40" s="995">
        <v>0.06</v>
      </c>
      <c r="C40" s="923"/>
      <c r="D40" s="923"/>
      <c r="E40" s="923"/>
      <c r="F40" s="923"/>
      <c r="G40" s="923"/>
      <c r="H40" s="923"/>
      <c r="I40" s="923"/>
      <c r="J40" s="923"/>
      <c r="K40" s="923"/>
      <c r="L40" s="923"/>
      <c r="M40" s="533"/>
      <c r="N40" s="533"/>
    </row>
    <row r="41" spans="1:14" ht="14" thickBot="1" x14ac:dyDescent="0.2">
      <c r="A41" s="973" t="s">
        <v>95</v>
      </c>
      <c r="B41" s="996">
        <v>0.09</v>
      </c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533"/>
      <c r="N41" s="533"/>
    </row>
    <row r="42" spans="1:14" x14ac:dyDescent="0.15">
      <c r="A42" s="533"/>
      <c r="B42" s="968"/>
      <c r="C42" s="968"/>
      <c r="D42" s="968"/>
      <c r="E42" s="968"/>
      <c r="F42" s="968"/>
      <c r="G42" s="968"/>
      <c r="H42" s="968"/>
      <c r="I42" s="968"/>
      <c r="J42" s="968"/>
      <c r="K42" s="968"/>
      <c r="L42" s="968"/>
      <c r="M42" s="533"/>
      <c r="N42" s="533"/>
    </row>
    <row r="43" spans="1:14" x14ac:dyDescent="0.15">
      <c r="A43" s="533"/>
      <c r="B43" s="968"/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533"/>
      <c r="N43" s="533"/>
    </row>
    <row r="44" spans="1:14" x14ac:dyDescent="0.15">
      <c r="A44" s="533"/>
      <c r="B44" s="968"/>
      <c r="C44" s="968"/>
      <c r="D44" s="968"/>
      <c r="E44" s="968"/>
      <c r="F44" s="968"/>
      <c r="G44" s="968"/>
      <c r="H44" s="968"/>
      <c r="I44" s="968"/>
      <c r="J44" s="968"/>
      <c r="K44" s="968"/>
      <c r="L44" s="968"/>
      <c r="M44" s="533"/>
      <c r="N44" s="533"/>
    </row>
    <row r="45" spans="1:14" x14ac:dyDescent="0.15">
      <c r="A45" s="533"/>
      <c r="B45" s="968"/>
      <c r="C45" s="968"/>
      <c r="D45" s="968"/>
      <c r="E45" s="968"/>
      <c r="F45" s="968"/>
      <c r="G45" s="968"/>
      <c r="H45" s="968"/>
      <c r="I45" s="968"/>
      <c r="J45" s="968"/>
      <c r="K45" s="968"/>
      <c r="L45" s="968"/>
      <c r="M45" s="533"/>
      <c r="N45" s="533"/>
    </row>
    <row r="46" spans="1:14" x14ac:dyDescent="0.15">
      <c r="A46" s="533"/>
      <c r="B46" s="968"/>
      <c r="C46" s="968"/>
      <c r="D46" s="968"/>
      <c r="E46" s="968"/>
      <c r="F46" s="968"/>
      <c r="G46" s="968"/>
      <c r="H46" s="968"/>
      <c r="I46" s="968"/>
      <c r="J46" s="968"/>
      <c r="K46" s="968"/>
      <c r="L46" s="968"/>
      <c r="M46" s="533"/>
      <c r="N46" s="533"/>
    </row>
    <row r="47" spans="1:14" x14ac:dyDescent="0.15">
      <c r="A47" s="533"/>
      <c r="B47" s="968"/>
      <c r="C47" s="968"/>
      <c r="D47" s="968"/>
      <c r="E47" s="968"/>
      <c r="F47" s="968"/>
      <c r="G47" s="968"/>
      <c r="H47" s="968"/>
      <c r="I47" s="968"/>
      <c r="J47" s="968"/>
      <c r="K47" s="968"/>
      <c r="L47" s="968"/>
      <c r="M47" s="533"/>
      <c r="N47" s="533"/>
    </row>
    <row r="48" spans="1:14" x14ac:dyDescent="0.15">
      <c r="A48" s="533"/>
      <c r="B48" s="968"/>
      <c r="C48" s="968"/>
      <c r="D48" s="968"/>
      <c r="E48" s="968"/>
      <c r="F48" s="968"/>
      <c r="G48" s="968"/>
      <c r="H48" s="968"/>
      <c r="I48" s="968"/>
      <c r="J48" s="968"/>
      <c r="K48" s="968"/>
      <c r="L48" s="968"/>
      <c r="M48" s="533"/>
      <c r="N48" s="533"/>
    </row>
    <row r="49" spans="1:14" x14ac:dyDescent="0.15">
      <c r="A49" s="533"/>
      <c r="B49" s="968"/>
      <c r="C49" s="968"/>
      <c r="D49" s="968"/>
      <c r="E49" s="968"/>
      <c r="F49" s="968"/>
      <c r="G49" s="968"/>
      <c r="H49" s="968"/>
      <c r="I49" s="968"/>
      <c r="J49" s="968"/>
      <c r="K49" s="968"/>
      <c r="L49" s="968"/>
      <c r="M49" s="533"/>
      <c r="N49" s="533"/>
    </row>
    <row r="50" spans="1:14" x14ac:dyDescent="0.15">
      <c r="A50" s="533"/>
      <c r="B50" s="968"/>
      <c r="C50" s="968"/>
      <c r="D50" s="968"/>
      <c r="E50" s="968"/>
      <c r="F50" s="968"/>
      <c r="G50" s="968"/>
      <c r="H50" s="968"/>
      <c r="I50" s="968"/>
      <c r="J50" s="968"/>
      <c r="K50" s="968"/>
      <c r="L50" s="968"/>
      <c r="M50" s="533"/>
      <c r="N50" s="533"/>
    </row>
    <row r="51" spans="1:14" x14ac:dyDescent="0.15">
      <c r="A51" s="533"/>
      <c r="B51" s="929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</row>
    <row r="52" spans="1:14" x14ac:dyDescent="0.15">
      <c r="A52" s="533"/>
      <c r="B52" s="968"/>
      <c r="C52" s="968"/>
      <c r="D52" s="968"/>
      <c r="E52" s="968"/>
      <c r="F52" s="968"/>
      <c r="G52" s="968"/>
      <c r="H52" s="968"/>
      <c r="I52" s="968"/>
      <c r="J52" s="968"/>
      <c r="K52" s="968"/>
      <c r="L52" s="968"/>
      <c r="M52" s="533"/>
      <c r="N52" s="533"/>
    </row>
    <row r="53" spans="1:14" x14ac:dyDescent="0.15">
      <c r="B53" s="997"/>
    </row>
  </sheetData>
  <phoneticPr fontId="3" type="noConversion"/>
  <printOptions horizontalCentered="1"/>
  <pageMargins left="0.45" right="0.45" top="0.5" bottom="0.5" header="0.3" footer="0.3"/>
  <pageSetup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O31"/>
  <sheetViews>
    <sheetView view="pageBreakPreview" zoomScale="85" zoomScaleSheetLayoutView="85" workbookViewId="0">
      <selection activeCell="H44" sqref="H44"/>
    </sheetView>
  </sheetViews>
  <sheetFormatPr baseColWidth="10" defaultColWidth="9.1640625" defaultRowHeight="13" x14ac:dyDescent="0.15"/>
  <cols>
    <col min="1" max="1" width="9.1640625" style="882"/>
    <col min="2" max="2" width="13.6640625" style="882" customWidth="1"/>
    <col min="3" max="3" width="8.33203125" style="883" customWidth="1"/>
    <col min="4" max="4" width="13.6640625" style="883" customWidth="1"/>
    <col min="5" max="14" width="13.6640625" style="882" customWidth="1"/>
    <col min="15" max="16384" width="9.1640625" style="882"/>
  </cols>
  <sheetData>
    <row r="1" spans="1:15" ht="13.5" customHeight="1" thickBot="1" x14ac:dyDescent="0.2">
      <c r="A1" s="998"/>
      <c r="B1" s="998"/>
      <c r="C1" s="999"/>
      <c r="M1" s="633" t="s">
        <v>96</v>
      </c>
      <c r="N1" s="634">
        <v>183690</v>
      </c>
    </row>
    <row r="2" spans="1:15" ht="14" customHeight="1" thickBot="1" x14ac:dyDescent="0.2">
      <c r="O2" s="1000"/>
    </row>
    <row r="3" spans="1:15" ht="14" customHeight="1" thickBot="1" x14ac:dyDescent="0.2">
      <c r="A3" s="1001"/>
      <c r="B3" s="1002"/>
      <c r="C3" s="1003"/>
      <c r="D3" s="1004" t="s">
        <v>58</v>
      </c>
      <c r="E3" s="935" t="s">
        <v>37</v>
      </c>
      <c r="F3" s="936"/>
      <c r="G3" s="937"/>
      <c r="H3" s="935" t="s">
        <v>79</v>
      </c>
      <c r="I3" s="938"/>
      <c r="J3" s="937"/>
      <c r="K3" s="939" t="s">
        <v>80</v>
      </c>
      <c r="L3" s="939"/>
      <c r="M3" s="936"/>
      <c r="N3" s="937"/>
    </row>
    <row r="4" spans="1:15" ht="14" customHeight="1" thickBot="1" x14ac:dyDescent="0.2">
      <c r="A4" s="1005"/>
      <c r="B4" s="1006"/>
      <c r="C4" s="1007"/>
      <c r="D4" s="1004">
        <v>0</v>
      </c>
      <c r="E4" s="942">
        <f>D4+1</f>
        <v>1</v>
      </c>
      <c r="F4" s="943">
        <f t="shared" ref="F4:N4" si="0">E4+1</f>
        <v>2</v>
      </c>
      <c r="G4" s="944">
        <f t="shared" si="0"/>
        <v>3</v>
      </c>
      <c r="H4" s="942">
        <f t="shared" si="0"/>
        <v>4</v>
      </c>
      <c r="I4" s="945">
        <f t="shared" si="0"/>
        <v>5</v>
      </c>
      <c r="J4" s="944">
        <f t="shared" si="0"/>
        <v>6</v>
      </c>
      <c r="K4" s="943">
        <f t="shared" si="0"/>
        <v>7</v>
      </c>
      <c r="L4" s="943">
        <f t="shared" si="0"/>
        <v>8</v>
      </c>
      <c r="M4" s="943">
        <f t="shared" si="0"/>
        <v>9</v>
      </c>
      <c r="N4" s="944">
        <f t="shared" si="0"/>
        <v>10</v>
      </c>
    </row>
    <row r="5" spans="1:15" ht="14" customHeight="1" thickBot="1" x14ac:dyDescent="0.2">
      <c r="A5" s="1008"/>
      <c r="B5" s="1009"/>
      <c r="C5" s="1010"/>
      <c r="D5" s="1004" t="s">
        <v>362</v>
      </c>
      <c r="E5" s="942">
        <v>2020</v>
      </c>
      <c r="F5" s="943">
        <f>E5+1</f>
        <v>2021</v>
      </c>
      <c r="G5" s="944">
        <f t="shared" ref="G5:L5" si="1">F5+1</f>
        <v>2022</v>
      </c>
      <c r="H5" s="942">
        <f t="shared" si="1"/>
        <v>2023</v>
      </c>
      <c r="I5" s="943">
        <f t="shared" si="1"/>
        <v>2024</v>
      </c>
      <c r="J5" s="944">
        <f t="shared" si="1"/>
        <v>2025</v>
      </c>
      <c r="K5" s="943">
        <f t="shared" si="1"/>
        <v>2026</v>
      </c>
      <c r="L5" s="943">
        <f t="shared" si="1"/>
        <v>2027</v>
      </c>
      <c r="M5" s="943">
        <f>L5+1</f>
        <v>2028</v>
      </c>
      <c r="N5" s="944">
        <f>M5+1</f>
        <v>2029</v>
      </c>
    </row>
    <row r="6" spans="1:15" x14ac:dyDescent="0.15">
      <c r="A6" s="1011" t="s">
        <v>94</v>
      </c>
      <c r="B6" s="1012"/>
      <c r="C6" s="1013">
        <v>0.02</v>
      </c>
      <c r="D6" s="1014"/>
      <c r="E6" s="1015"/>
      <c r="F6" s="1016"/>
      <c r="G6" s="1017"/>
      <c r="H6" s="1015"/>
      <c r="I6" s="1016"/>
      <c r="J6" s="1017"/>
      <c r="K6" s="1016"/>
      <c r="L6" s="1016"/>
      <c r="M6" s="1016"/>
      <c r="N6" s="1017"/>
    </row>
    <row r="7" spans="1:15" ht="14" thickBot="1" x14ac:dyDescent="0.2">
      <c r="A7" s="1011"/>
      <c r="B7" s="1012"/>
      <c r="C7" s="1018"/>
      <c r="D7" s="1014"/>
      <c r="E7" s="1015"/>
      <c r="F7" s="1016"/>
      <c r="G7" s="1017"/>
      <c r="H7" s="1015"/>
      <c r="I7" s="1016"/>
      <c r="J7" s="1017"/>
      <c r="K7" s="1016"/>
      <c r="L7" s="1016"/>
      <c r="M7" s="1016"/>
      <c r="N7" s="1017"/>
    </row>
    <row r="8" spans="1:15" ht="14" thickBot="1" x14ac:dyDescent="0.2">
      <c r="A8" s="1019" t="s">
        <v>7</v>
      </c>
      <c r="B8" s="1020"/>
      <c r="C8" s="1021"/>
      <c r="D8" s="1022"/>
      <c r="E8" s="1023"/>
      <c r="F8" s="1020"/>
      <c r="G8" s="1024"/>
      <c r="H8" s="1023"/>
      <c r="I8" s="1020"/>
      <c r="J8" s="1024"/>
      <c r="K8" s="1020"/>
      <c r="L8" s="1020"/>
      <c r="M8" s="1020"/>
      <c r="N8" s="1024"/>
    </row>
    <row r="9" spans="1:15" ht="14" customHeight="1" x14ac:dyDescent="0.15">
      <c r="A9" s="1025" t="s">
        <v>54</v>
      </c>
      <c r="B9" s="1012"/>
      <c r="C9" s="1018"/>
      <c r="D9" s="1026">
        <f>'Development Schedule'!D87*$E$23*((1+$C$6)^D$4)</f>
        <v>0</v>
      </c>
      <c r="E9" s="1027">
        <f>'Development Schedule'!E87*$E$23*((1+$C$6)^E$4)</f>
        <v>3732530.1999999997</v>
      </c>
      <c r="F9" s="1028">
        <f>'Development Schedule'!F87*$E$23*((1+$C$6)^F$4)</f>
        <v>1903590.4019999998</v>
      </c>
      <c r="G9" s="1029">
        <f>'Development Schedule'!G87*$E$23*((1+$C$6)^G$4)</f>
        <v>0</v>
      </c>
      <c r="H9" s="1027">
        <f>'Development Schedule'!H87*$E$23*((1+$C$6)^H$4)</f>
        <v>5941486.3627223996</v>
      </c>
      <c r="I9" s="1028">
        <f>'Development Schedule'!I87*$E$23*((1+$C$6)^I$4)</f>
        <v>0</v>
      </c>
      <c r="J9" s="1029">
        <f>'Development Schedule'!J87*$E$23*((1+$C$6)^J$4)</f>
        <v>0</v>
      </c>
      <c r="K9" s="1028">
        <f>'Development Schedule'!K87*$E$23*((1+$C$6)^K$4)</f>
        <v>0</v>
      </c>
      <c r="L9" s="1028">
        <f>'Development Schedule'!L87*$E$23*((1+$C$6)^L$4)</f>
        <v>0</v>
      </c>
      <c r="M9" s="1028">
        <f>'Development Schedule'!M87*$E$23*((1+$C$6)^M$4)</f>
        <v>6559881.0355563937</v>
      </c>
      <c r="N9" s="1029">
        <f>'Development Schedule'!N87*$E$23*((1+$C$6)^N$4)</f>
        <v>0</v>
      </c>
    </row>
    <row r="10" spans="1:15" ht="13.5" customHeight="1" thickBot="1" x14ac:dyDescent="0.2">
      <c r="A10" s="1030" t="s">
        <v>33</v>
      </c>
      <c r="B10" s="1031"/>
      <c r="C10" s="1032"/>
      <c r="D10" s="1033">
        <f t="shared" ref="D10:N10" si="2">SUM(D9:D9)</f>
        <v>0</v>
      </c>
      <c r="E10" s="1034">
        <f t="shared" si="2"/>
        <v>3732530.1999999997</v>
      </c>
      <c r="F10" s="1035">
        <f t="shared" si="2"/>
        <v>1903590.4019999998</v>
      </c>
      <c r="G10" s="1036">
        <f t="shared" si="2"/>
        <v>0</v>
      </c>
      <c r="H10" s="1034">
        <f t="shared" si="2"/>
        <v>5941486.3627223996</v>
      </c>
      <c r="I10" s="1035">
        <f t="shared" si="2"/>
        <v>0</v>
      </c>
      <c r="J10" s="1036">
        <f t="shared" si="2"/>
        <v>0</v>
      </c>
      <c r="K10" s="1035">
        <f t="shared" si="2"/>
        <v>0</v>
      </c>
      <c r="L10" s="1035">
        <f t="shared" si="2"/>
        <v>0</v>
      </c>
      <c r="M10" s="1035">
        <f t="shared" si="2"/>
        <v>6559881.0355563937</v>
      </c>
      <c r="N10" s="1036">
        <f t="shared" si="2"/>
        <v>0</v>
      </c>
    </row>
    <row r="11" spans="1:15" ht="14" thickBot="1" x14ac:dyDescent="0.2">
      <c r="A11" s="1019" t="s">
        <v>8</v>
      </c>
      <c r="B11" s="1020"/>
      <c r="C11" s="1021"/>
      <c r="D11" s="1022"/>
      <c r="E11" s="1023"/>
      <c r="F11" s="1020"/>
      <c r="G11" s="1024"/>
      <c r="H11" s="1023"/>
      <c r="I11" s="1020"/>
      <c r="J11" s="1024"/>
      <c r="K11" s="1020"/>
      <c r="L11" s="1020"/>
      <c r="M11" s="1020"/>
      <c r="N11" s="1024"/>
    </row>
    <row r="12" spans="1:15" ht="14" customHeight="1" x14ac:dyDescent="0.15">
      <c r="A12" s="1037" t="s">
        <v>455</v>
      </c>
      <c r="B12" s="1038"/>
      <c r="C12" s="1012"/>
      <c r="D12" s="1026">
        <f>'Development Schedule'!D88*$E$22*((1+$C$6)^D$4)</f>
        <v>0</v>
      </c>
      <c r="E12" s="1027">
        <f>'Development Schedule'!E88*$E$22*((1+$C$6)^E$4)</f>
        <v>2937202.88</v>
      </c>
      <c r="F12" s="1028">
        <f>'Development Schedule'!F88*$E$22*((1+$C$6)^F$4)</f>
        <v>1497973.4687999999</v>
      </c>
      <c r="G12" s="1029">
        <f>'Development Schedule'!G88*$E$22*((1+$C$6)^G$4)</f>
        <v>0</v>
      </c>
      <c r="H12" s="1027">
        <f>'Development Schedule'!H88*$E$22*((1+$C$6)^H$4)</f>
        <v>0</v>
      </c>
      <c r="I12" s="1028">
        <f>'Development Schedule'!I88*$E$22*((1+$C$6)^I$4)</f>
        <v>0</v>
      </c>
      <c r="J12" s="1029">
        <f>'Development Schedule'!J88*$E$22*((1+$C$6)^J$4)</f>
        <v>0</v>
      </c>
      <c r="K12" s="1028">
        <f>'Development Schedule'!K88*$E$22*((1+$C$6)^K$4)</f>
        <v>0</v>
      </c>
      <c r="L12" s="1028">
        <f>'Development Schedule'!L88*$E$22*((1+$C$6)^L$4)</f>
        <v>0</v>
      </c>
      <c r="M12" s="1028">
        <f>'Development Schedule'!M88*$E$22*((1+$C$6)^M$4)</f>
        <v>0</v>
      </c>
      <c r="N12" s="1029">
        <f>'Development Schedule'!N88*$E$22*((1+$C$6)^N$4)</f>
        <v>0</v>
      </c>
    </row>
    <row r="13" spans="1:15" ht="14" customHeight="1" x14ac:dyDescent="0.15">
      <c r="A13" s="1037" t="s">
        <v>490</v>
      </c>
      <c r="B13" s="1038"/>
      <c r="C13" s="1012"/>
      <c r="D13" s="1039">
        <f>'Development Schedule'!D89*$E$25*((1+$C$6)^D$4)</f>
        <v>0</v>
      </c>
      <c r="E13" s="1040">
        <f>'Development Schedule'!E89*$E$25*((1+$C$6)^E$4)</f>
        <v>1359491.3599999999</v>
      </c>
      <c r="F13" s="1041">
        <f>'Development Schedule'!F89*$E$25*((1+$C$6)^F$4)</f>
        <v>693340.59359999991</v>
      </c>
      <c r="G13" s="1042">
        <f>'Development Schedule'!G89*$E$25*((1+$C$6)^G$4)</f>
        <v>0</v>
      </c>
      <c r="H13" s="1040">
        <f>'Development Schedule'!H89*$E$25*((1+$C$6)^H$4)</f>
        <v>1442703.1071628798</v>
      </c>
      <c r="I13" s="1041">
        <f>'Development Schedule'!I89*$E$25*((1+$C$6)^I$4)</f>
        <v>735778.58465306868</v>
      </c>
      <c r="J13" s="1042">
        <f>'Development Schedule'!J89*$E$25*((1+$C$6)^J$4)</f>
        <v>0</v>
      </c>
      <c r="K13" s="1041">
        <f>'Development Schedule'!K89*$E$25*((1+$C$6)^K$4)</f>
        <v>1531008.0789461052</v>
      </c>
      <c r="L13" s="1041">
        <f>'Development Schedule'!L89*$E$25*((1+$C$6)^L$4)</f>
        <v>780814.12026251364</v>
      </c>
      <c r="M13" s="1041">
        <f>'Development Schedule'!M89*$E$25*((1+$C$6)^M$4)</f>
        <v>0</v>
      </c>
      <c r="N13" s="1042">
        <f>'Development Schedule'!N89*$E$25*((1+$C$6)^N$4)</f>
        <v>0</v>
      </c>
    </row>
    <row r="14" spans="1:15" ht="14" customHeight="1" x14ac:dyDescent="0.15">
      <c r="A14" s="1037" t="s">
        <v>486</v>
      </c>
      <c r="B14" s="1038"/>
      <c r="C14" s="1012"/>
      <c r="D14" s="1039">
        <f>'Development Schedule'!D90*$E$27*((1+$C$6)^D$4)</f>
        <v>0</v>
      </c>
      <c r="E14" s="1040">
        <f>'Development Schedule'!E90*$E$27*((1+$C$6)^E$4)</f>
        <v>0</v>
      </c>
      <c r="F14" s="1041">
        <f>'Development Schedule'!F90*$E$27*((1+$C$6)^F$4)</f>
        <v>197852.86799999999</v>
      </c>
      <c r="G14" s="1042">
        <f>'Development Schedule'!G90*$E$27*((1+$C$6)^G$4)</f>
        <v>0</v>
      </c>
      <c r="H14" s="1040">
        <f>'Development Schedule'!H90*$E$27*((1+$C$6)^H$4)</f>
        <v>0</v>
      </c>
      <c r="I14" s="1041">
        <f>'Development Schedule'!I90*$E$27*((1+$C$6)^I$4)</f>
        <v>0</v>
      </c>
      <c r="J14" s="1042">
        <f>'Development Schedule'!J90*$E$27*((1+$C$6)^J$4)</f>
        <v>0</v>
      </c>
      <c r="K14" s="1041">
        <f>'Development Schedule'!K90*$E$27*((1+$C$6)^K$4)</f>
        <v>0</v>
      </c>
      <c r="L14" s="1041">
        <f>'Development Schedule'!L90*$E$27*((1+$C$6)^L$4)</f>
        <v>0</v>
      </c>
      <c r="M14" s="1041">
        <f>'Development Schedule'!M90*$E$27*((1+$C$6)^M$4)</f>
        <v>0</v>
      </c>
      <c r="N14" s="1042">
        <f>'Development Schedule'!N90*$E$27*((1+$C$6)^N$4)</f>
        <v>0</v>
      </c>
    </row>
    <row r="15" spans="1:15" ht="14" customHeight="1" x14ac:dyDescent="0.15">
      <c r="A15" s="1037" t="s">
        <v>462</v>
      </c>
      <c r="B15" s="1038"/>
      <c r="C15" s="1012"/>
      <c r="D15" s="1039">
        <f>'Development Schedule'!D91*$E$26*((1+$C$6)^D$4)</f>
        <v>0</v>
      </c>
      <c r="E15" s="1040">
        <f>'Development Schedule'!E91*$E$26*((1+$C$6)^E$4)</f>
        <v>94784.112000000008</v>
      </c>
      <c r="F15" s="1041">
        <f>'Development Schedule'!F91*$E$26*((1+$C$6)^F$4)</f>
        <v>0</v>
      </c>
      <c r="G15" s="1042">
        <f>'Development Schedule'!G91*$E$26*((1+$C$6)^G$4)</f>
        <v>0</v>
      </c>
      <c r="H15" s="1040">
        <f>'Development Schedule'!H91*$E$26*((1+$C$6)^H$4)</f>
        <v>0</v>
      </c>
      <c r="I15" s="1041">
        <f>'Development Schedule'!I91*$E$26*((1+$C$6)^I$4)</f>
        <v>0</v>
      </c>
      <c r="J15" s="1042">
        <f>'Development Schedule'!J91*$E$26*((1+$C$6)^J$4)</f>
        <v>0</v>
      </c>
      <c r="K15" s="1041">
        <f>'Development Schedule'!K91*$E$26*((1+$C$6)^K$4)</f>
        <v>0</v>
      </c>
      <c r="L15" s="1041">
        <f>'Development Schedule'!L91*$E$26*((1+$C$6)^L$4)</f>
        <v>0</v>
      </c>
      <c r="M15" s="1041">
        <f>'Development Schedule'!M91*$E$26*((1+$C$6)^M$4)</f>
        <v>0</v>
      </c>
      <c r="N15" s="1042">
        <f>'Development Schedule'!N91*$E$26*((1+$C$6)^N$4)</f>
        <v>0</v>
      </c>
    </row>
    <row r="16" spans="1:15" ht="14" customHeight="1" x14ac:dyDescent="0.15">
      <c r="A16" s="1037" t="s">
        <v>489</v>
      </c>
      <c r="B16" s="1038"/>
      <c r="C16" s="1012"/>
      <c r="D16" s="1043">
        <f>'Development Schedule'!D92*$E$25*((1+$C$6)^D$4)</f>
        <v>0</v>
      </c>
      <c r="E16" s="1040">
        <f>'Development Schedule'!E92*$E$24*((1+$C$6)^E$4)</f>
        <v>2762019.648</v>
      </c>
      <c r="F16" s="1044">
        <f>'Development Schedule'!F92*$E$24*((1+$C$6)^F$4)</f>
        <v>1108450.4831999999</v>
      </c>
      <c r="G16" s="1044">
        <f>'Development Schedule'!G92*$E$24*((1+$C$6)^G$4)</f>
        <v>0</v>
      </c>
      <c r="H16" s="1040">
        <f>'Development Schedule'!H92*$E$24*((1+$C$6)^H$4)</f>
        <v>595031.14321228804</v>
      </c>
      <c r="I16" s="1044">
        <f>'Development Schedule'!I92*$E$24*((1+$C$6)^I$4)</f>
        <v>0</v>
      </c>
      <c r="J16" s="1042">
        <f>'Development Schedule'!J92*$E$24*((1+$C$6)^J$4)</f>
        <v>0</v>
      </c>
      <c r="K16" s="1041">
        <f>'Development Schedule'!K92*$E$24*((1+$C$6)^K$4)</f>
        <v>0</v>
      </c>
      <c r="L16" s="1044">
        <f>'Development Schedule'!L92*$E$24*((1+$C$6)^L$4)</f>
        <v>2115128.2556155394</v>
      </c>
      <c r="M16" s="1044">
        <f>'Development Schedule'!M92*$E$24*((1+$C$6)^M$4)</f>
        <v>1078715.4103639252</v>
      </c>
      <c r="N16" s="1042">
        <f>'Development Schedule'!N92*$E$24*((1+$C$6)^N$4)</f>
        <v>0</v>
      </c>
    </row>
    <row r="17" spans="1:14" s="1050" customFormat="1" ht="14" customHeight="1" thickBot="1" x14ac:dyDescent="0.2">
      <c r="A17" s="1461" t="s">
        <v>33</v>
      </c>
      <c r="B17" s="1462"/>
      <c r="C17" s="1045"/>
      <c r="D17" s="1046">
        <f>SUM(D12:D16)</f>
        <v>0</v>
      </c>
      <c r="E17" s="1047">
        <f t="shared" ref="E17:N17" si="3">SUM(E12:E16)</f>
        <v>7153498</v>
      </c>
      <c r="F17" s="1048">
        <f t="shared" si="3"/>
        <v>3497617.4135999996</v>
      </c>
      <c r="G17" s="1049">
        <f t="shared" si="3"/>
        <v>0</v>
      </c>
      <c r="H17" s="1047">
        <f t="shared" si="3"/>
        <v>2037734.2503751679</v>
      </c>
      <c r="I17" s="1048">
        <f t="shared" si="3"/>
        <v>735778.58465306868</v>
      </c>
      <c r="J17" s="1049">
        <f t="shared" si="3"/>
        <v>0</v>
      </c>
      <c r="K17" s="1048">
        <f t="shared" si="3"/>
        <v>1531008.0789461052</v>
      </c>
      <c r="L17" s="1048">
        <f t="shared" si="3"/>
        <v>2895942.3758780528</v>
      </c>
      <c r="M17" s="1048">
        <f t="shared" si="3"/>
        <v>1078715.4103639252</v>
      </c>
      <c r="N17" s="1049">
        <f t="shared" si="3"/>
        <v>0</v>
      </c>
    </row>
    <row r="18" spans="1:14" ht="14" thickBot="1" x14ac:dyDescent="0.2">
      <c r="A18" s="989" t="s">
        <v>9</v>
      </c>
      <c r="B18" s="1051"/>
      <c r="C18" s="1052"/>
      <c r="D18" s="1046">
        <f t="shared" ref="D18:N18" si="4">SUM(D10,D17)</f>
        <v>0</v>
      </c>
      <c r="E18" s="1047">
        <f t="shared" si="4"/>
        <v>10886028.199999999</v>
      </c>
      <c r="F18" s="1048">
        <f t="shared" si="4"/>
        <v>5401207.8155999994</v>
      </c>
      <c r="G18" s="1049">
        <f t="shared" si="4"/>
        <v>0</v>
      </c>
      <c r="H18" s="1047">
        <f t="shared" si="4"/>
        <v>7979220.6130975671</v>
      </c>
      <c r="I18" s="1048">
        <f t="shared" si="4"/>
        <v>735778.58465306868</v>
      </c>
      <c r="J18" s="1049">
        <f t="shared" si="4"/>
        <v>0</v>
      </c>
      <c r="K18" s="1048">
        <f t="shared" si="4"/>
        <v>1531008.0789461052</v>
      </c>
      <c r="L18" s="1048">
        <f t="shared" si="4"/>
        <v>2895942.3758780528</v>
      </c>
      <c r="M18" s="1048">
        <f t="shared" si="4"/>
        <v>7638596.4459203184</v>
      </c>
      <c r="N18" s="1049">
        <f t="shared" si="4"/>
        <v>0</v>
      </c>
    </row>
    <row r="19" spans="1:14" ht="14" thickBot="1" x14ac:dyDescent="0.2">
      <c r="A19" s="1053" t="s">
        <v>36</v>
      </c>
      <c r="B19" s="1054"/>
      <c r="C19" s="1055"/>
      <c r="D19" s="1046">
        <f>D18+NPV(E28,E18:N18)</f>
        <v>26472068.710089628</v>
      </c>
      <c r="E19" s="1056"/>
      <c r="F19" s="1057"/>
      <c r="G19" s="1057"/>
      <c r="H19" s="1057"/>
      <c r="I19" s="1057"/>
      <c r="J19" s="1057"/>
      <c r="K19" s="1057"/>
      <c r="L19" s="1057"/>
      <c r="M19" s="1057"/>
      <c r="N19" s="1058"/>
    </row>
    <row r="20" spans="1:14" ht="14" thickBot="1" x14ac:dyDescent="0.2"/>
    <row r="21" spans="1:14" ht="14" thickBot="1" x14ac:dyDescent="0.2">
      <c r="A21" s="1472" t="s">
        <v>15</v>
      </c>
      <c r="B21" s="1473"/>
      <c r="C21" s="1473"/>
      <c r="D21" s="1474"/>
      <c r="E21" s="1475"/>
    </row>
    <row r="22" spans="1:14" x14ac:dyDescent="0.15">
      <c r="A22" s="941" t="s">
        <v>456</v>
      </c>
      <c r="B22" s="1059"/>
      <c r="C22" s="1059"/>
      <c r="D22" s="1059"/>
      <c r="E22" s="1060">
        <f>50*1.24</f>
        <v>62</v>
      </c>
      <c r="F22" s="882" t="s">
        <v>463</v>
      </c>
    </row>
    <row r="23" spans="1:14" x14ac:dyDescent="0.15">
      <c r="A23" s="941" t="s">
        <v>124</v>
      </c>
      <c r="B23" s="1059"/>
      <c r="C23" s="532"/>
      <c r="D23" s="1059"/>
      <c r="E23" s="1060">
        <f>25*1.24</f>
        <v>31</v>
      </c>
    </row>
    <row r="24" spans="1:14" ht="15" x14ac:dyDescent="0.15">
      <c r="A24" s="941" t="s">
        <v>556</v>
      </c>
      <c r="B24" s="1059"/>
      <c r="C24" s="532"/>
      <c r="D24" s="1059"/>
      <c r="E24" s="1060">
        <f>40*1.24</f>
        <v>49.6</v>
      </c>
      <c r="F24" s="882" t="s">
        <v>465</v>
      </c>
    </row>
    <row r="25" spans="1:14" x14ac:dyDescent="0.15">
      <c r="A25" s="941" t="s">
        <v>458</v>
      </c>
      <c r="B25" s="1059"/>
      <c r="C25" s="532"/>
      <c r="D25" s="1059"/>
      <c r="E25" s="1060">
        <f>20*1.24</f>
        <v>24.8</v>
      </c>
    </row>
    <row r="26" spans="1:14" x14ac:dyDescent="0.15">
      <c r="A26" s="941" t="s">
        <v>459</v>
      </c>
      <c r="B26" s="1059"/>
      <c r="C26" s="532"/>
      <c r="D26" s="1059"/>
      <c r="E26" s="1060">
        <f>30*1.24</f>
        <v>37.200000000000003</v>
      </c>
      <c r="F26" s="882" t="s">
        <v>464</v>
      </c>
    </row>
    <row r="27" spans="1:14" x14ac:dyDescent="0.15">
      <c r="A27" s="941" t="s">
        <v>527</v>
      </c>
      <c r="B27" s="1059"/>
      <c r="C27" s="532"/>
      <c r="D27" s="1059"/>
      <c r="E27" s="1060">
        <v>18</v>
      </c>
      <c r="F27" s="882" t="s">
        <v>526</v>
      </c>
    </row>
    <row r="28" spans="1:14" ht="14" thickBot="1" x14ac:dyDescent="0.2">
      <c r="A28" s="947" t="s">
        <v>95</v>
      </c>
      <c r="B28" s="1061"/>
      <c r="C28" s="1062"/>
      <c r="D28" s="1061"/>
      <c r="E28" s="1063">
        <v>0.09</v>
      </c>
    </row>
    <row r="30" spans="1:14" x14ac:dyDescent="0.15">
      <c r="A30" s="882" t="s">
        <v>548</v>
      </c>
    </row>
    <row r="31" spans="1:14" x14ac:dyDescent="0.15">
      <c r="A31" s="998"/>
      <c r="B31" s="998"/>
    </row>
  </sheetData>
  <mergeCells count="1">
    <mergeCell ref="A17:B17"/>
  </mergeCells>
  <phoneticPr fontId="3" type="noConversion"/>
  <printOptions horizontalCentered="1"/>
  <pageMargins left="0.5" right="0.5" top="1" bottom="0.5" header="0.5" footer="0.5"/>
  <pageSetup scale="70" orientation="landscape" r:id="rId1"/>
  <headerFooter alignWithMargins="0">
    <oddHeader>&amp;L&amp;"Arial,Bold"1. Infrastructure Costs by Year, Allocated by Use Types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/>
  </sheetPr>
  <dimension ref="A1:N93"/>
  <sheetViews>
    <sheetView view="pageBreakPreview" zoomScale="85" zoomScaleSheetLayoutView="85" workbookViewId="0">
      <selection activeCell="H94" sqref="H94:H95"/>
    </sheetView>
  </sheetViews>
  <sheetFormatPr baseColWidth="10" defaultColWidth="9.1640625" defaultRowHeight="13" x14ac:dyDescent="0.15"/>
  <cols>
    <col min="1" max="1" width="28.1640625" style="1064" customWidth="1"/>
    <col min="2" max="2" width="12.6640625" style="1104" customWidth="1"/>
    <col min="3" max="3" width="15.5" style="1104" bestFit="1" customWidth="1"/>
    <col min="4" max="4" width="13.6640625" style="1064" customWidth="1"/>
    <col min="5" max="5" width="14.5" style="1064" bestFit="1" customWidth="1"/>
    <col min="6" max="12" width="13.6640625" style="1064" customWidth="1"/>
    <col min="13" max="13" width="15.5" style="1064" bestFit="1" customWidth="1"/>
    <col min="14" max="14" width="15.33203125" style="1064" bestFit="1" customWidth="1"/>
    <col min="15" max="16384" width="9.1640625" style="1064"/>
  </cols>
  <sheetData>
    <row r="1" spans="1:13" ht="14" customHeight="1" thickBot="1" x14ac:dyDescent="0.2">
      <c r="A1" s="882"/>
      <c r="B1" s="883"/>
      <c r="C1" s="883"/>
      <c r="D1" s="882"/>
      <c r="E1" s="882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13" ht="14" customHeight="1" thickBot="1" x14ac:dyDescent="0.2">
      <c r="A2" s="882"/>
      <c r="B2" s="883"/>
      <c r="C2" s="883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14" customHeight="1" thickBot="1" x14ac:dyDescent="0.2">
      <c r="A3" s="933"/>
      <c r="B3" s="1065"/>
      <c r="C3" s="1004" t="s">
        <v>58</v>
      </c>
      <c r="D3" s="935" t="s">
        <v>37</v>
      </c>
      <c r="E3" s="936"/>
      <c r="F3" s="937"/>
      <c r="G3" s="935" t="s">
        <v>79</v>
      </c>
      <c r="H3" s="938"/>
      <c r="I3" s="937"/>
      <c r="J3" s="939" t="s">
        <v>80</v>
      </c>
      <c r="K3" s="939"/>
      <c r="L3" s="936"/>
      <c r="M3" s="937"/>
    </row>
    <row r="4" spans="1:13" ht="14" customHeight="1" thickBot="1" x14ac:dyDescent="0.2">
      <c r="A4" s="941"/>
      <c r="B4" s="532"/>
      <c r="C4" s="1004">
        <v>0</v>
      </c>
      <c r="D4" s="942">
        <f>C4+1</f>
        <v>1</v>
      </c>
      <c r="E4" s="943">
        <f t="shared" ref="E4:M5" si="0">D4+1</f>
        <v>2</v>
      </c>
      <c r="F4" s="944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3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</row>
    <row r="5" spans="1:13" ht="13.5" customHeight="1" thickBot="1" x14ac:dyDescent="0.2">
      <c r="A5" s="947"/>
      <c r="B5" s="945"/>
      <c r="C5" s="1004" t="s">
        <v>362</v>
      </c>
      <c r="D5" s="942">
        <v>2020</v>
      </c>
      <c r="E5" s="943">
        <f>D5+1</f>
        <v>2021</v>
      </c>
      <c r="F5" s="944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3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</row>
    <row r="6" spans="1:13" ht="39.75" customHeight="1" thickBot="1" x14ac:dyDescent="0.2">
      <c r="A6" s="1023" t="s">
        <v>10</v>
      </c>
      <c r="B6" s="1066"/>
      <c r="C6" s="1067"/>
      <c r="D6" s="1068"/>
      <c r="E6" s="1069"/>
      <c r="F6" s="1070"/>
      <c r="G6" s="1068"/>
      <c r="H6" s="1069"/>
      <c r="I6" s="1070"/>
      <c r="J6" s="1068"/>
      <c r="K6" s="1069"/>
      <c r="L6" s="1069"/>
      <c r="M6" s="1070"/>
    </row>
    <row r="7" spans="1:13" s="882" customFormat="1" hidden="1" x14ac:dyDescent="0.15">
      <c r="A7" s="1071" t="s">
        <v>37</v>
      </c>
      <c r="B7" s="532"/>
      <c r="C7" s="1072"/>
      <c r="D7" s="941"/>
      <c r="E7" s="1059"/>
      <c r="F7" s="1073"/>
      <c r="G7" s="941"/>
      <c r="H7" s="1059"/>
      <c r="I7" s="1073"/>
      <c r="J7" s="941"/>
      <c r="K7" s="1059"/>
      <c r="L7" s="1059"/>
      <c r="M7" s="1073"/>
    </row>
    <row r="8" spans="1:13" s="882" customFormat="1" hidden="1" x14ac:dyDescent="0.15">
      <c r="A8" s="1011" t="s">
        <v>11</v>
      </c>
      <c r="B8" s="1013">
        <v>0.02</v>
      </c>
      <c r="C8" s="1014"/>
      <c r="D8" s="1015"/>
      <c r="E8" s="1016"/>
      <c r="F8" s="1017"/>
      <c r="G8" s="1015"/>
      <c r="H8" s="1016"/>
      <c r="I8" s="1017"/>
      <c r="J8" s="1015"/>
      <c r="K8" s="1016"/>
      <c r="L8" s="1016"/>
      <c r="M8" s="1017"/>
    </row>
    <row r="9" spans="1:13" s="882" customFormat="1" hidden="1" x14ac:dyDescent="0.15">
      <c r="A9" s="1011" t="s">
        <v>100</v>
      </c>
      <c r="B9" s="1018"/>
      <c r="C9" s="1014"/>
      <c r="D9" s="1074">
        <v>0</v>
      </c>
      <c r="E9" s="1074">
        <f>D9</f>
        <v>0</v>
      </c>
      <c r="F9" s="1075">
        <v>0</v>
      </c>
      <c r="G9" s="1076">
        <f>ROUND('Development Schedule'!H13/$B$12,0)</f>
        <v>0</v>
      </c>
      <c r="H9" s="1074">
        <f>ROUND('Development Schedule'!I13/$B$12,0)</f>
        <v>0</v>
      </c>
      <c r="I9" s="1075">
        <f>ROUND('Development Schedule'!J13/$B$12,0)</f>
        <v>0</v>
      </c>
      <c r="J9" s="1076">
        <f>ROUND('Development Schedule'!K13/$B$12,0)</f>
        <v>0</v>
      </c>
      <c r="K9" s="1074">
        <f>ROUND('Development Schedule'!L13/$B$12,0)</f>
        <v>0</v>
      </c>
      <c r="L9" s="1074">
        <f>ROUND('Development Schedule'!M13/$B$12,0)</f>
        <v>0</v>
      </c>
      <c r="M9" s="1075">
        <f>ROUND('Development Schedule'!N13/$B$12,0)</f>
        <v>0</v>
      </c>
    </row>
    <row r="10" spans="1:13" s="882" customFormat="1" ht="14" hidden="1" customHeight="1" x14ac:dyDescent="0.15">
      <c r="A10" s="1011" t="s">
        <v>38</v>
      </c>
      <c r="B10" s="532"/>
      <c r="C10" s="1072"/>
      <c r="D10" s="1077">
        <f>ROUND($C$78*D15,0)</f>
        <v>0</v>
      </c>
      <c r="E10" s="532">
        <f>E11-SUM($D$10:D10)</f>
        <v>0</v>
      </c>
      <c r="F10" s="1078">
        <f>F11-SUM($D$10:E10)</f>
        <v>0</v>
      </c>
      <c r="G10" s="1077">
        <f>G11-SUM($D$10:F10)</f>
        <v>0</v>
      </c>
      <c r="H10" s="532">
        <f>H11-SUM($D$10:G10)</f>
        <v>0</v>
      </c>
      <c r="I10" s="1078">
        <f>I11-SUM($D$10:H10)</f>
        <v>0</v>
      </c>
      <c r="J10" s="1077">
        <f>J11-SUM($D$10:I10)</f>
        <v>0</v>
      </c>
      <c r="K10" s="532">
        <f>K11-SUM($D$10:J10)</f>
        <v>0</v>
      </c>
      <c r="L10" s="532">
        <f>L11-SUM($D$10:K10)</f>
        <v>0</v>
      </c>
      <c r="M10" s="1078">
        <f>M11-SUM($D$10:L10)</f>
        <v>0</v>
      </c>
    </row>
    <row r="11" spans="1:13" s="882" customFormat="1" ht="14" hidden="1" customHeight="1" x14ac:dyDescent="0.15">
      <c r="A11" s="1011" t="s">
        <v>101</v>
      </c>
      <c r="B11" s="1079"/>
      <c r="C11" s="1072"/>
      <c r="D11" s="1077">
        <f t="shared" ref="D11:M11" si="1">ROUND($C$78*D15,0)</f>
        <v>0</v>
      </c>
      <c r="E11" s="532">
        <f t="shared" si="1"/>
        <v>0</v>
      </c>
      <c r="F11" s="1078">
        <f t="shared" si="1"/>
        <v>0</v>
      </c>
      <c r="G11" s="1077">
        <f t="shared" si="1"/>
        <v>0</v>
      </c>
      <c r="H11" s="532">
        <f t="shared" si="1"/>
        <v>0</v>
      </c>
      <c r="I11" s="1078">
        <f t="shared" si="1"/>
        <v>0</v>
      </c>
      <c r="J11" s="1077">
        <f t="shared" si="1"/>
        <v>0</v>
      </c>
      <c r="K11" s="532">
        <f t="shared" si="1"/>
        <v>0</v>
      </c>
      <c r="L11" s="532">
        <f t="shared" si="1"/>
        <v>0</v>
      </c>
      <c r="M11" s="1078">
        <f t="shared" si="1"/>
        <v>0</v>
      </c>
    </row>
    <row r="12" spans="1:13" s="882" customFormat="1" ht="14" hidden="1" customHeight="1" x14ac:dyDescent="0.15">
      <c r="A12" s="1011" t="s">
        <v>39</v>
      </c>
      <c r="B12" s="1079">
        <v>750</v>
      </c>
      <c r="C12" s="1072"/>
      <c r="D12" s="1080"/>
      <c r="E12" s="1012"/>
      <c r="F12" s="1081"/>
      <c r="G12" s="1080"/>
      <c r="H12" s="1012"/>
      <c r="I12" s="1081"/>
      <c r="J12" s="1080"/>
      <c r="K12" s="1012"/>
      <c r="L12" s="1012"/>
      <c r="M12" s="1081"/>
    </row>
    <row r="13" spans="1:13" s="882" customFormat="1" ht="14" hidden="1" customHeight="1" x14ac:dyDescent="0.15">
      <c r="A13" s="1011" t="s">
        <v>40</v>
      </c>
      <c r="B13" s="532"/>
      <c r="C13" s="1072"/>
      <c r="D13" s="1082">
        <f>SUM($D$9:D9)*$B$12</f>
        <v>0</v>
      </c>
      <c r="E13" s="1079">
        <f>SUM($D$9:E9)*$B$12</f>
        <v>0</v>
      </c>
      <c r="F13" s="1083">
        <f>SUM($D$9:F9)*$B$12</f>
        <v>0</v>
      </c>
      <c r="G13" s="1082">
        <f>SUM($D$9:G9)*$B$12</f>
        <v>0</v>
      </c>
      <c r="H13" s="1079">
        <f>SUM($D$9:H9)*$B$12</f>
        <v>0</v>
      </c>
      <c r="I13" s="1083">
        <f>SUM($D$9:I9)*$B$12</f>
        <v>0</v>
      </c>
      <c r="J13" s="1082">
        <f>SUM($D$9:J9)*$B$12</f>
        <v>0</v>
      </c>
      <c r="K13" s="1079">
        <f>SUM($D$9:K9)*$B$12</f>
        <v>0</v>
      </c>
      <c r="L13" s="1079">
        <f>SUM($D$9:L9)*$B$12</f>
        <v>0</v>
      </c>
      <c r="M13" s="1083">
        <f>SUM($D$9:M9)*$B$12</f>
        <v>0</v>
      </c>
    </row>
    <row r="14" spans="1:13" s="882" customFormat="1" ht="14" hidden="1" customHeight="1" x14ac:dyDescent="0.15">
      <c r="A14" s="1011" t="s">
        <v>102</v>
      </c>
      <c r="B14" s="532"/>
      <c r="C14" s="1084">
        <f>'Summary Board'!K99</f>
        <v>2.8050000000000002</v>
      </c>
      <c r="D14" s="1085">
        <f>$C$24*(1+$B$18)^D4</f>
        <v>2.8611000000000004</v>
      </c>
      <c r="E14" s="1086">
        <f t="shared" ref="E14:M14" si="2">$C$14*(1+$B$8)^E4</f>
        <v>2.9183220000000003</v>
      </c>
      <c r="F14" s="1087">
        <f t="shared" si="2"/>
        <v>2.9766884399999998</v>
      </c>
      <c r="G14" s="1085">
        <f t="shared" si="2"/>
        <v>3.0362222087999999</v>
      </c>
      <c r="H14" s="1086">
        <f t="shared" si="2"/>
        <v>3.0969466529760004</v>
      </c>
      <c r="I14" s="1087">
        <f t="shared" si="2"/>
        <v>3.1588855860355203</v>
      </c>
      <c r="J14" s="1085">
        <f t="shared" si="2"/>
        <v>3.2220632977562302</v>
      </c>
      <c r="K14" s="1086">
        <f t="shared" si="2"/>
        <v>3.2865045637113548</v>
      </c>
      <c r="L14" s="1086">
        <f t="shared" si="2"/>
        <v>3.3522346549855819</v>
      </c>
      <c r="M14" s="1087">
        <f t="shared" si="2"/>
        <v>3.4192793480852939</v>
      </c>
    </row>
    <row r="15" spans="1:13" s="882" customFormat="1" ht="14" hidden="1" customHeight="1" thickBot="1" x14ac:dyDescent="0.2">
      <c r="A15" s="1088" t="s">
        <v>41</v>
      </c>
      <c r="B15" s="1089"/>
      <c r="C15" s="1090"/>
      <c r="D15" s="1091">
        <v>0</v>
      </c>
      <c r="E15" s="1092">
        <v>0.3</v>
      </c>
      <c r="F15" s="1093">
        <v>0.75</v>
      </c>
      <c r="G15" s="1094">
        <v>0.95</v>
      </c>
      <c r="H15" s="1089">
        <f t="shared" ref="H15:M15" si="3">G15</f>
        <v>0.95</v>
      </c>
      <c r="I15" s="1093">
        <f t="shared" si="3"/>
        <v>0.95</v>
      </c>
      <c r="J15" s="1094">
        <f t="shared" si="3"/>
        <v>0.95</v>
      </c>
      <c r="K15" s="1089">
        <f t="shared" si="3"/>
        <v>0.95</v>
      </c>
      <c r="L15" s="1089">
        <f t="shared" si="3"/>
        <v>0.95</v>
      </c>
      <c r="M15" s="1093">
        <f t="shared" si="3"/>
        <v>0.95</v>
      </c>
    </row>
    <row r="16" spans="1:13" s="1059" customFormat="1" ht="10" customHeight="1" x14ac:dyDescent="0.15">
      <c r="A16" s="1011"/>
      <c r="B16" s="1106"/>
      <c r="C16" s="1107"/>
      <c r="D16" s="1108"/>
      <c r="E16" s="1109"/>
      <c r="F16" s="1110"/>
      <c r="G16" s="1111"/>
      <c r="H16" s="1106"/>
      <c r="I16" s="1110"/>
      <c r="J16" s="1111"/>
      <c r="K16" s="1106"/>
      <c r="L16" s="1106"/>
      <c r="M16" s="1110"/>
    </row>
    <row r="17" spans="1:13" s="1059" customFormat="1" ht="14" customHeight="1" x14ac:dyDescent="0.15">
      <c r="A17" s="1071" t="s">
        <v>37</v>
      </c>
      <c r="B17" s="1038"/>
      <c r="C17" s="1112"/>
      <c r="D17" s="1037"/>
      <c r="E17" s="1038"/>
      <c r="F17" s="1113"/>
      <c r="G17" s="1037"/>
      <c r="H17" s="1038"/>
      <c r="I17" s="1113"/>
      <c r="J17" s="1037"/>
      <c r="K17" s="1038"/>
      <c r="L17" s="1038"/>
      <c r="M17" s="1113"/>
    </row>
    <row r="18" spans="1:13" s="1059" customFormat="1" ht="14" customHeight="1" x14ac:dyDescent="0.15">
      <c r="A18" s="1011" t="s">
        <v>11</v>
      </c>
      <c r="B18" s="1106">
        <v>0.02</v>
      </c>
      <c r="C18" s="1114"/>
      <c r="D18" s="1115"/>
      <c r="E18" s="1116"/>
      <c r="F18" s="1117"/>
      <c r="G18" s="1115"/>
      <c r="H18" s="1116"/>
      <c r="I18" s="1117"/>
      <c r="J18" s="1115"/>
      <c r="K18" s="1116"/>
      <c r="L18" s="1116"/>
      <c r="M18" s="1117"/>
    </row>
    <row r="19" spans="1:13" s="1059" customFormat="1" ht="14" customHeight="1" x14ac:dyDescent="0.15">
      <c r="A19" s="1011" t="s">
        <v>100</v>
      </c>
      <c r="B19" s="1106"/>
      <c r="C19" s="1114"/>
      <c r="D19" s="1118">
        <f>ROUND('Development Schedule'!E30/$B$22,0)</f>
        <v>410</v>
      </c>
      <c r="E19" s="1119">
        <f>ROUND('Development Schedule'!F30/$B$22,0)</f>
        <v>205</v>
      </c>
      <c r="F19" s="1120">
        <f>ROUND('Development Schedule'!G30/$B$22,0)</f>
        <v>0</v>
      </c>
      <c r="G19" s="1118">
        <f>ROUND('Development Schedule'!H30/$B$22,0)</f>
        <v>0</v>
      </c>
      <c r="H19" s="1119">
        <f>ROUND('Development Schedule'!I30/$B$22,0)</f>
        <v>0</v>
      </c>
      <c r="I19" s="1120">
        <f>ROUND('Development Schedule'!J30/$B$22,0)</f>
        <v>0</v>
      </c>
      <c r="J19" s="1118">
        <f>ROUND('Development Schedule'!K30/$B$22,0)</f>
        <v>0</v>
      </c>
      <c r="K19" s="1119">
        <f>ROUND('Development Schedule'!L30/$B$22,0)</f>
        <v>0</v>
      </c>
      <c r="L19" s="1119">
        <f>ROUND('Development Schedule'!M30/$B$22,0)</f>
        <v>0</v>
      </c>
      <c r="M19" s="1120">
        <f>ROUND('Development Schedule'!N30/$B$22,0)</f>
        <v>0</v>
      </c>
    </row>
    <row r="20" spans="1:13" s="1059" customFormat="1" ht="14" customHeight="1" x14ac:dyDescent="0.15">
      <c r="A20" s="1011" t="s">
        <v>38</v>
      </c>
      <c r="B20" s="1038"/>
      <c r="C20" s="1112"/>
      <c r="D20" s="1037">
        <f>ROUND($C$79*D25,0)</f>
        <v>0</v>
      </c>
      <c r="E20" s="1038">
        <f>E21-SUM($D$20:D20)</f>
        <v>0</v>
      </c>
      <c r="F20" s="1113">
        <f>F21-SUM($D$20:E20)</f>
        <v>185</v>
      </c>
      <c r="G20" s="1037">
        <f>G21-SUM($D$20:F20)</f>
        <v>277</v>
      </c>
      <c r="H20" s="1038">
        <f>H21-SUM($D$20:G20)</f>
        <v>122</v>
      </c>
      <c r="I20" s="1113">
        <f>I21-SUM($D$20:H20)</f>
        <v>0</v>
      </c>
      <c r="J20" s="1037">
        <f>J21-SUM($D$20:I20)</f>
        <v>0</v>
      </c>
      <c r="K20" s="1038">
        <f>K21-SUM($D$20:J20)</f>
        <v>0</v>
      </c>
      <c r="L20" s="1038">
        <f>L21-SUM($D$20:K20)</f>
        <v>0</v>
      </c>
      <c r="M20" s="1113">
        <f>M21-SUM($D$20:L20)</f>
        <v>0</v>
      </c>
    </row>
    <row r="21" spans="1:13" s="1059" customFormat="1" ht="14" customHeight="1" x14ac:dyDescent="0.15">
      <c r="A21" s="1011" t="s">
        <v>101</v>
      </c>
      <c r="B21" s="1121"/>
      <c r="C21" s="1112"/>
      <c r="D21" s="1037">
        <f t="shared" ref="D21:M21" si="4">ROUND($C$79*D25,0)</f>
        <v>0</v>
      </c>
      <c r="E21" s="1038">
        <f t="shared" si="4"/>
        <v>0</v>
      </c>
      <c r="F21" s="1113">
        <f t="shared" si="4"/>
        <v>185</v>
      </c>
      <c r="G21" s="1037">
        <f t="shared" si="4"/>
        <v>462</v>
      </c>
      <c r="H21" s="1038">
        <f t="shared" si="4"/>
        <v>584</v>
      </c>
      <c r="I21" s="1113">
        <f t="shared" si="4"/>
        <v>584</v>
      </c>
      <c r="J21" s="1037">
        <f t="shared" si="4"/>
        <v>584</v>
      </c>
      <c r="K21" s="1038">
        <f t="shared" si="4"/>
        <v>584</v>
      </c>
      <c r="L21" s="1038">
        <f t="shared" si="4"/>
        <v>584</v>
      </c>
      <c r="M21" s="1113">
        <f t="shared" si="4"/>
        <v>584</v>
      </c>
    </row>
    <row r="22" spans="1:13" s="1059" customFormat="1" ht="14" customHeight="1" x14ac:dyDescent="0.15">
      <c r="A22" s="1011" t="s">
        <v>39</v>
      </c>
      <c r="B22" s="1122">
        <v>750</v>
      </c>
      <c r="C22" s="1113"/>
      <c r="D22" s="1037"/>
      <c r="E22" s="1038"/>
      <c r="F22" s="1113"/>
      <c r="G22" s="1037"/>
      <c r="H22" s="1038"/>
      <c r="I22" s="1113"/>
      <c r="J22" s="1037"/>
      <c r="K22" s="1038"/>
      <c r="L22" s="1038"/>
      <c r="M22" s="1113"/>
    </row>
    <row r="23" spans="1:13" s="1059" customFormat="1" ht="14" customHeight="1" x14ac:dyDescent="0.15">
      <c r="A23" s="1011" t="s">
        <v>40</v>
      </c>
      <c r="B23" s="1038"/>
      <c r="C23" s="1112"/>
      <c r="D23" s="1123">
        <f>SUM($D$19:D19)*$B$22</f>
        <v>307500</v>
      </c>
      <c r="E23" s="1121">
        <f>SUM($D$19:E19)*$B$22</f>
        <v>461250</v>
      </c>
      <c r="F23" s="1124">
        <f>SUM($D$19:F19)*$B$22</f>
        <v>461250</v>
      </c>
      <c r="G23" s="1123">
        <f>SUM($D$19:G19)*$B$22</f>
        <v>461250</v>
      </c>
      <c r="H23" s="1121">
        <f>SUM($D$19:H19)*$B$22</f>
        <v>461250</v>
      </c>
      <c r="I23" s="1124">
        <f>SUM($D$19:I19)*$B$22</f>
        <v>461250</v>
      </c>
      <c r="J23" s="1123">
        <f>SUM($D$19:J19)*$B$22</f>
        <v>461250</v>
      </c>
      <c r="K23" s="1121">
        <f>SUM($D$19:K19)*$B$22</f>
        <v>461250</v>
      </c>
      <c r="L23" s="1121">
        <f>SUM($D$19:L19)*$B$22</f>
        <v>461250</v>
      </c>
      <c r="M23" s="1124">
        <f>SUM($D$19:M19)*$B$22</f>
        <v>461250</v>
      </c>
    </row>
    <row r="24" spans="1:13" s="1059" customFormat="1" ht="14" customHeight="1" x14ac:dyDescent="0.15">
      <c r="A24" s="1011" t="s">
        <v>102</v>
      </c>
      <c r="B24" s="1038"/>
      <c r="C24" s="1125">
        <f>'Summary Board'!K99</f>
        <v>2.8050000000000002</v>
      </c>
      <c r="D24" s="1126">
        <f t="shared" ref="D24:M24" si="5">$C$24*(1+$B$18)^D4</f>
        <v>2.8611000000000004</v>
      </c>
      <c r="E24" s="1126">
        <f t="shared" si="5"/>
        <v>2.9183220000000003</v>
      </c>
      <c r="F24" s="1127">
        <f t="shared" si="5"/>
        <v>2.9766884399999998</v>
      </c>
      <c r="G24" s="1126">
        <f t="shared" si="5"/>
        <v>3.0362222087999999</v>
      </c>
      <c r="H24" s="1126">
        <f t="shared" si="5"/>
        <v>3.0969466529760004</v>
      </c>
      <c r="I24" s="1127">
        <f t="shared" si="5"/>
        <v>3.1588855860355203</v>
      </c>
      <c r="J24" s="1126">
        <f t="shared" si="5"/>
        <v>3.2220632977562302</v>
      </c>
      <c r="K24" s="1126">
        <f t="shared" si="5"/>
        <v>3.2865045637113548</v>
      </c>
      <c r="L24" s="1126">
        <f t="shared" si="5"/>
        <v>3.3522346549855819</v>
      </c>
      <c r="M24" s="1127">
        <f t="shared" si="5"/>
        <v>3.4192793480852939</v>
      </c>
    </row>
    <row r="25" spans="1:13" s="1059" customFormat="1" ht="14" customHeight="1" thickBot="1" x14ac:dyDescent="0.2">
      <c r="A25" s="1088" t="s">
        <v>41</v>
      </c>
      <c r="B25" s="1128"/>
      <c r="C25" s="1129"/>
      <c r="D25" s="1130">
        <v>0</v>
      </c>
      <c r="E25" s="1131">
        <f>D25</f>
        <v>0</v>
      </c>
      <c r="F25" s="1132">
        <v>0.3</v>
      </c>
      <c r="G25" s="1133">
        <v>0.75</v>
      </c>
      <c r="H25" s="1128">
        <v>0.94899999999999995</v>
      </c>
      <c r="I25" s="1132">
        <f>H25</f>
        <v>0.94899999999999995</v>
      </c>
      <c r="J25" s="1133">
        <f>I25</f>
        <v>0.94899999999999995</v>
      </c>
      <c r="K25" s="1128">
        <f>J25</f>
        <v>0.94899999999999995</v>
      </c>
      <c r="L25" s="1128">
        <f>K25</f>
        <v>0.94899999999999995</v>
      </c>
      <c r="M25" s="1132">
        <f>L25</f>
        <v>0.94899999999999995</v>
      </c>
    </row>
    <row r="26" spans="1:13" s="1059" customFormat="1" ht="4.5" customHeight="1" x14ac:dyDescent="0.15">
      <c r="A26" s="1011"/>
      <c r="B26" s="1106"/>
      <c r="C26" s="1107"/>
      <c r="D26" s="1108"/>
      <c r="E26" s="1109"/>
      <c r="F26" s="1110"/>
      <c r="G26" s="1111"/>
      <c r="H26" s="1106"/>
      <c r="I26" s="1110"/>
      <c r="J26" s="1111"/>
      <c r="K26" s="1106"/>
      <c r="L26" s="1106"/>
      <c r="M26" s="1110"/>
    </row>
    <row r="27" spans="1:13" s="1059" customFormat="1" ht="14" customHeight="1" x14ac:dyDescent="0.15">
      <c r="A27" s="1071" t="s">
        <v>79</v>
      </c>
      <c r="B27" s="1038"/>
      <c r="C27" s="1112"/>
      <c r="D27" s="1037"/>
      <c r="E27" s="1038"/>
      <c r="F27" s="1113"/>
      <c r="G27" s="1037"/>
      <c r="H27" s="1038"/>
      <c r="I27" s="1113"/>
      <c r="J27" s="1037"/>
      <c r="K27" s="1038"/>
      <c r="L27" s="1038"/>
      <c r="M27" s="1113"/>
    </row>
    <row r="28" spans="1:13" s="1059" customFormat="1" ht="14" customHeight="1" x14ac:dyDescent="0.15">
      <c r="A28" s="1011" t="s">
        <v>11</v>
      </c>
      <c r="B28" s="1106">
        <v>0.02</v>
      </c>
      <c r="C28" s="1114"/>
      <c r="D28" s="1115"/>
      <c r="E28" s="1116"/>
      <c r="F28" s="1117"/>
      <c r="G28" s="1115"/>
      <c r="H28" s="1116"/>
      <c r="I28" s="1117"/>
      <c r="J28" s="1115"/>
      <c r="K28" s="1116"/>
      <c r="L28" s="1116"/>
      <c r="M28" s="1117"/>
    </row>
    <row r="29" spans="1:13" s="1059" customFormat="1" ht="14" customHeight="1" x14ac:dyDescent="0.15">
      <c r="A29" s="1011" t="s">
        <v>100</v>
      </c>
      <c r="B29" s="1106"/>
      <c r="C29" s="1114"/>
      <c r="D29" s="1118">
        <f>ROUND('Development Schedule'!E36/$B$32,0)</f>
        <v>0</v>
      </c>
      <c r="E29" s="1119">
        <f>ROUND('Development Schedule'!F36/$B$32,0)</f>
        <v>0</v>
      </c>
      <c r="F29" s="1120">
        <f>ROUND('Development Schedule'!G36/$B$32,0)</f>
        <v>0</v>
      </c>
      <c r="G29" s="1118">
        <f>ROUND('Development Schedule'!H36/$B$32,0)</f>
        <v>0</v>
      </c>
      <c r="H29" s="1119">
        <f>ROUND('Development Schedule'!I36/$B$32,0)</f>
        <v>0</v>
      </c>
      <c r="I29" s="1120">
        <f>ROUND('Development Schedule'!J36/$B$32,0)</f>
        <v>0</v>
      </c>
      <c r="J29" s="1118">
        <f>ROUND('Development Schedule'!K36/$B$32,0)</f>
        <v>0</v>
      </c>
      <c r="K29" s="1119">
        <f>ROUND('Development Schedule'!L36/$B$32,0)</f>
        <v>0</v>
      </c>
      <c r="L29" s="1119">
        <f>ROUND('Development Schedule'!M36/$B$32,0)</f>
        <v>0</v>
      </c>
      <c r="M29" s="1120">
        <f>ROUND('Development Schedule'!N36/$B$32,0)</f>
        <v>0</v>
      </c>
    </row>
    <row r="30" spans="1:13" s="1059" customFormat="1" ht="14" customHeight="1" x14ac:dyDescent="0.15">
      <c r="A30" s="1011" t="s">
        <v>38</v>
      </c>
      <c r="B30" s="1038"/>
      <c r="C30" s="1112"/>
      <c r="D30" s="1037">
        <f>ROUND($C$80*D35,0)</f>
        <v>0</v>
      </c>
      <c r="E30" s="1038">
        <f>E31-SUM($D$30:D30)</f>
        <v>0</v>
      </c>
      <c r="F30" s="1113">
        <f>F31-SUM($D$30:E30)</f>
        <v>0</v>
      </c>
      <c r="G30" s="1037">
        <f>G31-SUM($D$30:F30)</f>
        <v>0</v>
      </c>
      <c r="H30" s="1038">
        <f>H31-SUM($D$30:G30)</f>
        <v>0</v>
      </c>
      <c r="I30" s="1113">
        <f>I31-SUM($D$30:H30)</f>
        <v>0</v>
      </c>
      <c r="J30" s="1037">
        <f>J31-SUM($D$30:I30)</f>
        <v>0</v>
      </c>
      <c r="K30" s="1038">
        <f>K31-SUM($D$30:J30)</f>
        <v>0</v>
      </c>
      <c r="L30" s="1038">
        <f>L31-SUM($D$30:K30)</f>
        <v>0</v>
      </c>
      <c r="M30" s="1113">
        <f>M31-SUM($D$30:L30)</f>
        <v>0</v>
      </c>
    </row>
    <row r="31" spans="1:13" s="1059" customFormat="1" ht="14" customHeight="1" x14ac:dyDescent="0.15">
      <c r="A31" s="1011" t="s">
        <v>101</v>
      </c>
      <c r="B31" s="1121"/>
      <c r="C31" s="1112"/>
      <c r="D31" s="1037">
        <f t="shared" ref="D31:M31" si="6">ROUND($C$80*D35,0)</f>
        <v>0</v>
      </c>
      <c r="E31" s="1038">
        <f t="shared" si="6"/>
        <v>0</v>
      </c>
      <c r="F31" s="1113">
        <f t="shared" si="6"/>
        <v>0</v>
      </c>
      <c r="G31" s="1037">
        <f t="shared" si="6"/>
        <v>0</v>
      </c>
      <c r="H31" s="1038">
        <f t="shared" si="6"/>
        <v>0</v>
      </c>
      <c r="I31" s="1113">
        <f t="shared" si="6"/>
        <v>0</v>
      </c>
      <c r="J31" s="1037">
        <f t="shared" si="6"/>
        <v>0</v>
      </c>
      <c r="K31" s="1038">
        <f t="shared" si="6"/>
        <v>0</v>
      </c>
      <c r="L31" s="1038">
        <f t="shared" si="6"/>
        <v>0</v>
      </c>
      <c r="M31" s="1113">
        <f t="shared" si="6"/>
        <v>0</v>
      </c>
    </row>
    <row r="32" spans="1:13" s="1059" customFormat="1" ht="14" customHeight="1" x14ac:dyDescent="0.15">
      <c r="A32" s="1011" t="s">
        <v>39</v>
      </c>
      <c r="B32" s="1121">
        <v>750</v>
      </c>
      <c r="C32" s="1112"/>
      <c r="D32" s="1037"/>
      <c r="E32" s="1038"/>
      <c r="F32" s="1113"/>
      <c r="G32" s="1037"/>
      <c r="H32" s="1038"/>
      <c r="I32" s="1113"/>
      <c r="J32" s="1037"/>
      <c r="K32" s="1038"/>
      <c r="L32" s="1038"/>
      <c r="M32" s="1113"/>
    </row>
    <row r="33" spans="1:13" s="1059" customFormat="1" ht="14" customHeight="1" x14ac:dyDescent="0.15">
      <c r="A33" s="1011" t="s">
        <v>40</v>
      </c>
      <c r="B33" s="1038"/>
      <c r="C33" s="1112"/>
      <c r="D33" s="1123">
        <f>SUM($D$29:D29)*$B$32</f>
        <v>0</v>
      </c>
      <c r="E33" s="1121">
        <f>SUM($D$29:E29)*$B$32</f>
        <v>0</v>
      </c>
      <c r="F33" s="1124">
        <f>SUM($D$29:F29)*$B$32</f>
        <v>0</v>
      </c>
      <c r="G33" s="1123">
        <f>SUM($D$29:G29)*$B$32</f>
        <v>0</v>
      </c>
      <c r="H33" s="1121">
        <f>SUM($D$29:H29)*$B$32</f>
        <v>0</v>
      </c>
      <c r="I33" s="1124">
        <f>SUM($D$29:I29)*$B$32</f>
        <v>0</v>
      </c>
      <c r="J33" s="1123">
        <f>SUM($D$29:J29)*$B$32</f>
        <v>0</v>
      </c>
      <c r="K33" s="1121">
        <f>SUM($D$29:K29)*$B$32</f>
        <v>0</v>
      </c>
      <c r="L33" s="1121">
        <f>SUM($D$29:L29)*$B$32</f>
        <v>0</v>
      </c>
      <c r="M33" s="1124">
        <f>SUM($D$29:M29)*$B$32</f>
        <v>0</v>
      </c>
    </row>
    <row r="34" spans="1:13" s="1059" customFormat="1" ht="14" customHeight="1" x14ac:dyDescent="0.15">
      <c r="A34" s="1011" t="s">
        <v>102</v>
      </c>
      <c r="B34" s="1038"/>
      <c r="C34" s="1134">
        <f t="shared" ref="C34:M34" si="7">C24</f>
        <v>2.8050000000000002</v>
      </c>
      <c r="D34" s="1135">
        <f t="shared" si="7"/>
        <v>2.8611000000000004</v>
      </c>
      <c r="E34" s="1126">
        <f t="shared" si="7"/>
        <v>2.9183220000000003</v>
      </c>
      <c r="F34" s="1127">
        <f t="shared" si="7"/>
        <v>2.9766884399999998</v>
      </c>
      <c r="G34" s="1135">
        <f t="shared" si="7"/>
        <v>3.0362222087999999</v>
      </c>
      <c r="H34" s="1126">
        <f t="shared" si="7"/>
        <v>3.0969466529760004</v>
      </c>
      <c r="I34" s="1127">
        <f t="shared" si="7"/>
        <v>3.1588855860355203</v>
      </c>
      <c r="J34" s="1135">
        <f t="shared" si="7"/>
        <v>3.2220632977562302</v>
      </c>
      <c r="K34" s="1126">
        <f t="shared" si="7"/>
        <v>3.2865045637113548</v>
      </c>
      <c r="L34" s="1126">
        <f t="shared" si="7"/>
        <v>3.3522346549855819</v>
      </c>
      <c r="M34" s="1127">
        <f t="shared" si="7"/>
        <v>3.4192793480852939</v>
      </c>
    </row>
    <row r="35" spans="1:13" s="1059" customFormat="1" ht="14" customHeight="1" thickBot="1" x14ac:dyDescent="0.2">
      <c r="A35" s="1088" t="s">
        <v>41</v>
      </c>
      <c r="B35" s="1128"/>
      <c r="C35" s="1129"/>
      <c r="D35" s="1130">
        <v>0</v>
      </c>
      <c r="E35" s="1131">
        <f>D35</f>
        <v>0</v>
      </c>
      <c r="F35" s="1132">
        <f>E35</f>
        <v>0</v>
      </c>
      <c r="G35" s="1133">
        <f>F35</f>
        <v>0</v>
      </c>
      <c r="H35" s="1128">
        <v>0.3</v>
      </c>
      <c r="I35" s="1132">
        <v>0.75</v>
      </c>
      <c r="J35" s="1133">
        <v>0.94899999999999995</v>
      </c>
      <c r="K35" s="1128">
        <f>J35</f>
        <v>0.94899999999999995</v>
      </c>
      <c r="L35" s="1128">
        <f>K35</f>
        <v>0.94899999999999995</v>
      </c>
      <c r="M35" s="1132">
        <f>L35</f>
        <v>0.94899999999999995</v>
      </c>
    </row>
    <row r="36" spans="1:13" s="1059" customFormat="1" ht="13" hidden="1" customHeight="1" x14ac:dyDescent="0.15">
      <c r="A36" s="1011"/>
      <c r="B36" s="1106"/>
      <c r="C36" s="1107"/>
      <c r="D36" s="1108"/>
      <c r="E36" s="1109"/>
      <c r="F36" s="1110"/>
      <c r="G36" s="1111"/>
      <c r="H36" s="1106"/>
      <c r="I36" s="1110"/>
      <c r="J36" s="1111"/>
      <c r="K36" s="1106"/>
      <c r="L36" s="1106"/>
      <c r="M36" s="1110"/>
    </row>
    <row r="37" spans="1:13" s="1059" customFormat="1" ht="13" hidden="1" customHeight="1" x14ac:dyDescent="0.15">
      <c r="A37" s="1071" t="s">
        <v>79</v>
      </c>
      <c r="B37" s="1038"/>
      <c r="C37" s="1112"/>
      <c r="D37" s="1037"/>
      <c r="E37" s="1038"/>
      <c r="F37" s="1113"/>
      <c r="G37" s="1037"/>
      <c r="H37" s="1038"/>
      <c r="I37" s="1113"/>
      <c r="J37" s="1037"/>
      <c r="K37" s="1038"/>
      <c r="L37" s="1038"/>
      <c r="M37" s="1113"/>
    </row>
    <row r="38" spans="1:13" s="1059" customFormat="1" ht="13" hidden="1" customHeight="1" x14ac:dyDescent="0.15">
      <c r="A38" s="1011" t="s">
        <v>11</v>
      </c>
      <c r="B38" s="1106">
        <v>0.02</v>
      </c>
      <c r="C38" s="1114"/>
      <c r="D38" s="1115"/>
      <c r="E38" s="1116"/>
      <c r="F38" s="1117"/>
      <c r="G38" s="1115"/>
      <c r="H38" s="1116"/>
      <c r="I38" s="1117"/>
      <c r="J38" s="1115"/>
      <c r="K38" s="1116"/>
      <c r="L38" s="1116"/>
      <c r="M38" s="1117"/>
    </row>
    <row r="39" spans="1:13" s="1059" customFormat="1" ht="13" hidden="1" customHeight="1" x14ac:dyDescent="0.15">
      <c r="A39" s="1011" t="s">
        <v>100</v>
      </c>
      <c r="B39" s="1106"/>
      <c r="C39" s="1114"/>
      <c r="D39" s="1118">
        <f>ROUND('Development Schedule'!E47/$B$42,0)</f>
        <v>0</v>
      </c>
      <c r="E39" s="1119">
        <f>ROUND('Development Schedule'!F47/$B$42,0)</f>
        <v>0</v>
      </c>
      <c r="F39" s="1120">
        <f>ROUND('Development Schedule'!G47/$B$42,0)</f>
        <v>0</v>
      </c>
      <c r="G39" s="1118">
        <f>ROUND('Development Schedule'!H47/$B$42,0)</f>
        <v>0</v>
      </c>
      <c r="H39" s="1119">
        <f>ROUND('Development Schedule'!I47/$B$42,0)</f>
        <v>0</v>
      </c>
      <c r="I39" s="1120">
        <f>ROUND('Development Schedule'!J47/$B$42,0)</f>
        <v>0</v>
      </c>
      <c r="J39" s="1118">
        <f>ROUND('Development Schedule'!K47/$B$42,0)</f>
        <v>0</v>
      </c>
      <c r="K39" s="1119">
        <f>ROUND('Development Schedule'!L47/$B$42,0)</f>
        <v>0</v>
      </c>
      <c r="L39" s="1119">
        <f>ROUND('Development Schedule'!M47/$B$42,0)</f>
        <v>0</v>
      </c>
      <c r="M39" s="1120">
        <f>ROUND('Development Schedule'!N47/$B$42,0)</f>
        <v>0</v>
      </c>
    </row>
    <row r="40" spans="1:13" s="1059" customFormat="1" ht="13" hidden="1" customHeight="1" x14ac:dyDescent="0.15">
      <c r="A40" s="1011" t="s">
        <v>38</v>
      </c>
      <c r="B40" s="1038"/>
      <c r="C40" s="1112"/>
      <c r="D40" s="1037">
        <f>ROUND($C$81*D45,0)</f>
        <v>0</v>
      </c>
      <c r="E40" s="1038">
        <f>E41-SUM($D$40:D40)</f>
        <v>0</v>
      </c>
      <c r="F40" s="1113">
        <f>F41-SUM($D$40:E40)</f>
        <v>0</v>
      </c>
      <c r="G40" s="1037">
        <f>G41-SUM($D$40:F40)</f>
        <v>0</v>
      </c>
      <c r="H40" s="1038">
        <f>H41-SUM($D$40:G40)</f>
        <v>0</v>
      </c>
      <c r="I40" s="1113">
        <f>I41-SUM($D$40:H40)</f>
        <v>0</v>
      </c>
      <c r="J40" s="1037">
        <f>J41-SUM($D$40:I40)</f>
        <v>0</v>
      </c>
      <c r="K40" s="1038">
        <f>K41-SUM($D$40:J40)</f>
        <v>0</v>
      </c>
      <c r="L40" s="1038">
        <f>L41-SUM($D$40:K40)</f>
        <v>0</v>
      </c>
      <c r="M40" s="1113">
        <f>M41-SUM($D$40:L40)</f>
        <v>0</v>
      </c>
    </row>
    <row r="41" spans="1:13" s="1059" customFormat="1" ht="13" hidden="1" customHeight="1" x14ac:dyDescent="0.15">
      <c r="A41" s="1011" t="s">
        <v>101</v>
      </c>
      <c r="B41" s="1121"/>
      <c r="C41" s="1112"/>
      <c r="D41" s="1037">
        <f t="shared" ref="D41:M41" si="8">ROUND($C$81*D45,0)</f>
        <v>0</v>
      </c>
      <c r="E41" s="1038">
        <f t="shared" si="8"/>
        <v>0</v>
      </c>
      <c r="F41" s="1113">
        <f t="shared" si="8"/>
        <v>0</v>
      </c>
      <c r="G41" s="1037">
        <f t="shared" si="8"/>
        <v>0</v>
      </c>
      <c r="H41" s="1038">
        <f t="shared" si="8"/>
        <v>0</v>
      </c>
      <c r="I41" s="1113">
        <f t="shared" si="8"/>
        <v>0</v>
      </c>
      <c r="J41" s="1037">
        <f t="shared" si="8"/>
        <v>0</v>
      </c>
      <c r="K41" s="1038">
        <f t="shared" si="8"/>
        <v>0</v>
      </c>
      <c r="L41" s="1038">
        <f t="shared" si="8"/>
        <v>0</v>
      </c>
      <c r="M41" s="1113">
        <f t="shared" si="8"/>
        <v>0</v>
      </c>
    </row>
    <row r="42" spans="1:13" s="1059" customFormat="1" ht="13" hidden="1" customHeight="1" x14ac:dyDescent="0.15">
      <c r="A42" s="1011" t="s">
        <v>39</v>
      </c>
      <c r="B42" s="1121">
        <v>750</v>
      </c>
      <c r="C42" s="1112"/>
      <c r="D42" s="1037"/>
      <c r="E42" s="1038"/>
      <c r="F42" s="1113"/>
      <c r="G42" s="1037"/>
      <c r="H42" s="1038"/>
      <c r="I42" s="1113"/>
      <c r="J42" s="1037"/>
      <c r="K42" s="1038"/>
      <c r="L42" s="1038"/>
      <c r="M42" s="1113"/>
    </row>
    <row r="43" spans="1:13" s="1059" customFormat="1" ht="13" hidden="1" customHeight="1" x14ac:dyDescent="0.15">
      <c r="A43" s="1011" t="s">
        <v>40</v>
      </c>
      <c r="B43" s="1038"/>
      <c r="C43" s="1112"/>
      <c r="D43" s="1123">
        <f>SUM($D$39:D39)*$B$42</f>
        <v>0</v>
      </c>
      <c r="E43" s="1121">
        <f>SUM($D$39:E39)*$B$42</f>
        <v>0</v>
      </c>
      <c r="F43" s="1124">
        <f>SUM($D$39:F39)*$B$42</f>
        <v>0</v>
      </c>
      <c r="G43" s="1123">
        <f>SUM($D$39:G39)*$B$42</f>
        <v>0</v>
      </c>
      <c r="H43" s="1121">
        <f>SUM($D$39:H39)*$B$42</f>
        <v>0</v>
      </c>
      <c r="I43" s="1124">
        <f>SUM($D$39:I39)*$B$42</f>
        <v>0</v>
      </c>
      <c r="J43" s="1123">
        <f>SUM($D$39:J39)*$B$42</f>
        <v>0</v>
      </c>
      <c r="K43" s="1121">
        <f>SUM($D$39:K39)*$B$42</f>
        <v>0</v>
      </c>
      <c r="L43" s="1121">
        <f>SUM($D$39:L39)*$B$42</f>
        <v>0</v>
      </c>
      <c r="M43" s="1124">
        <f>SUM($D$39:M39)*$B$42</f>
        <v>0</v>
      </c>
    </row>
    <row r="44" spans="1:13" s="1059" customFormat="1" ht="13" hidden="1" customHeight="1" x14ac:dyDescent="0.15">
      <c r="A44" s="1011" t="s">
        <v>102</v>
      </c>
      <c r="B44" s="1038"/>
      <c r="C44" s="1134">
        <f t="shared" ref="C44:M44" si="9">C34</f>
        <v>2.8050000000000002</v>
      </c>
      <c r="D44" s="1135">
        <f t="shared" si="9"/>
        <v>2.8611000000000004</v>
      </c>
      <c r="E44" s="1126">
        <f t="shared" si="9"/>
        <v>2.9183220000000003</v>
      </c>
      <c r="F44" s="1127">
        <f t="shared" si="9"/>
        <v>2.9766884399999998</v>
      </c>
      <c r="G44" s="1135">
        <f t="shared" si="9"/>
        <v>3.0362222087999999</v>
      </c>
      <c r="H44" s="1126">
        <f t="shared" si="9"/>
        <v>3.0969466529760004</v>
      </c>
      <c r="I44" s="1127">
        <f t="shared" si="9"/>
        <v>3.1588855860355203</v>
      </c>
      <c r="J44" s="1135">
        <f t="shared" si="9"/>
        <v>3.2220632977562302</v>
      </c>
      <c r="K44" s="1126">
        <f t="shared" si="9"/>
        <v>3.2865045637113548</v>
      </c>
      <c r="L44" s="1126">
        <f t="shared" si="9"/>
        <v>3.3522346549855819</v>
      </c>
      <c r="M44" s="1127">
        <f t="shared" si="9"/>
        <v>3.4192793480852939</v>
      </c>
    </row>
    <row r="45" spans="1:13" s="1059" customFormat="1" ht="13" hidden="1" customHeight="1" thickBot="1" x14ac:dyDescent="0.2">
      <c r="A45" s="1088" t="s">
        <v>41</v>
      </c>
      <c r="B45" s="1128"/>
      <c r="C45" s="1129"/>
      <c r="D45" s="1130">
        <v>0</v>
      </c>
      <c r="E45" s="1131">
        <f>D45</f>
        <v>0</v>
      </c>
      <c r="F45" s="1132">
        <f>E45</f>
        <v>0</v>
      </c>
      <c r="G45" s="1133">
        <f>F45</f>
        <v>0</v>
      </c>
      <c r="H45" s="1128">
        <f>G45</f>
        <v>0</v>
      </c>
      <c r="I45" s="1132">
        <v>0.3</v>
      </c>
      <c r="J45" s="1133">
        <v>0.75</v>
      </c>
      <c r="K45" s="1128">
        <v>0.94899999999999995</v>
      </c>
      <c r="L45" s="1128">
        <v>0.95</v>
      </c>
      <c r="M45" s="1132">
        <f>L45</f>
        <v>0.95</v>
      </c>
    </row>
    <row r="46" spans="1:13" s="1059" customFormat="1" ht="13" customHeight="1" x14ac:dyDescent="0.15">
      <c r="A46" s="1097"/>
      <c r="B46" s="1136"/>
      <c r="C46" s="1137"/>
      <c r="D46" s="1138"/>
      <c r="E46" s="1139"/>
      <c r="F46" s="1140"/>
      <c r="G46" s="1141"/>
      <c r="H46" s="1136"/>
      <c r="I46" s="1140"/>
      <c r="J46" s="1141"/>
      <c r="K46" s="1136"/>
      <c r="L46" s="1136"/>
      <c r="M46" s="1140"/>
    </row>
    <row r="47" spans="1:13" s="1059" customFormat="1" ht="13" customHeight="1" x14ac:dyDescent="0.15">
      <c r="A47" s="1071" t="s">
        <v>80</v>
      </c>
      <c r="B47" s="1038"/>
      <c r="C47" s="1112"/>
      <c r="D47" s="1037"/>
      <c r="E47" s="1038"/>
      <c r="F47" s="1113"/>
      <c r="G47" s="1037"/>
      <c r="H47" s="1038"/>
      <c r="I47" s="1113"/>
      <c r="J47" s="1037"/>
      <c r="K47" s="1038"/>
      <c r="L47" s="1038"/>
      <c r="M47" s="1113"/>
    </row>
    <row r="48" spans="1:13" s="1059" customFormat="1" ht="14" customHeight="1" x14ac:dyDescent="0.15">
      <c r="A48" s="1011" t="s">
        <v>11</v>
      </c>
      <c r="B48" s="1106">
        <v>0.02</v>
      </c>
      <c r="C48" s="1114"/>
      <c r="D48" s="1115"/>
      <c r="E48" s="1116"/>
      <c r="F48" s="1117"/>
      <c r="G48" s="1115"/>
      <c r="H48" s="1116"/>
      <c r="I48" s="1117"/>
      <c r="J48" s="1115"/>
      <c r="K48" s="1116"/>
      <c r="L48" s="1116"/>
      <c r="M48" s="1117"/>
    </row>
    <row r="49" spans="1:14" s="1059" customFormat="1" ht="14" customHeight="1" x14ac:dyDescent="0.15">
      <c r="A49" s="1011" t="s">
        <v>100</v>
      </c>
      <c r="B49" s="1106"/>
      <c r="C49" s="1114"/>
      <c r="D49" s="1118">
        <f>ROUND(('Development Schedule'!E59+'Development Schedule'!E70)/$B$52,0)</f>
        <v>0</v>
      </c>
      <c r="E49" s="1119">
        <f>ROUND(('Development Schedule'!F59+'Development Schedule'!F70)/$B$52,0)</f>
        <v>0</v>
      </c>
      <c r="F49" s="1120">
        <f>ROUND(('Development Schedule'!G59+'Development Schedule'!G70)/$B$52,0)</f>
        <v>0</v>
      </c>
      <c r="G49" s="1118">
        <f>ROUND(('Development Schedule'!H59+'Development Schedule'!H70)/$B$52,0)</f>
        <v>0</v>
      </c>
      <c r="H49" s="1119">
        <f>ROUND(('Development Schedule'!I59+'Development Schedule'!I70)/$B$52,0)</f>
        <v>0</v>
      </c>
      <c r="I49" s="1120">
        <f>ROUND(('Development Schedule'!J59+'Development Schedule'!J70)/$B$52,0)</f>
        <v>0</v>
      </c>
      <c r="J49" s="1118">
        <f>ROUND(('Development Schedule'!K59+'Development Schedule'!K70)/$B$52,0)</f>
        <v>0</v>
      </c>
      <c r="K49" s="1119">
        <f>ROUND(('Development Schedule'!L59+'Development Schedule'!L70)/$B$52,0)</f>
        <v>153</v>
      </c>
      <c r="L49" s="1119">
        <f>ROUND(('Development Schedule'!M59+'Development Schedule'!M70)/$B$52,0)</f>
        <v>0</v>
      </c>
      <c r="M49" s="1120">
        <f>ROUND(('Development Schedule'!N59+'Development Schedule'!N70)/$B$52,0)</f>
        <v>0</v>
      </c>
    </row>
    <row r="50" spans="1:14" s="1059" customFormat="1" ht="14" customHeight="1" x14ac:dyDescent="0.15">
      <c r="A50" s="1011" t="s">
        <v>38</v>
      </c>
      <c r="B50" s="1038"/>
      <c r="C50" s="1112"/>
      <c r="D50" s="1037">
        <f>ROUND($C$82*D55,0)</f>
        <v>0</v>
      </c>
      <c r="E50" s="1038">
        <f>E51-SUM($D$50:D50)</f>
        <v>0</v>
      </c>
      <c r="F50" s="1113">
        <f>F51-SUM($D$50:E50)</f>
        <v>0</v>
      </c>
      <c r="G50" s="1037">
        <f>G51-SUM($D$50:F50)</f>
        <v>0</v>
      </c>
      <c r="H50" s="1038">
        <f>H51-SUM($D$50:G50)</f>
        <v>0</v>
      </c>
      <c r="I50" s="1113">
        <f>I51-SUM($D$50:H50)</f>
        <v>0</v>
      </c>
      <c r="J50" s="1037">
        <f>J51-SUM($D$50:I50)</f>
        <v>46</v>
      </c>
      <c r="K50" s="1038">
        <f>K51-SUM($D$50:J50)</f>
        <v>69</v>
      </c>
      <c r="L50" s="1038">
        <f>L51-SUM($D$50:K50)</f>
        <v>30</v>
      </c>
      <c r="M50" s="1113">
        <f>M51-SUM($D$50:L50)</f>
        <v>0</v>
      </c>
    </row>
    <row r="51" spans="1:14" s="1059" customFormat="1" ht="14" customHeight="1" x14ac:dyDescent="0.15">
      <c r="A51" s="1011" t="s">
        <v>101</v>
      </c>
      <c r="B51" s="1121"/>
      <c r="C51" s="1112"/>
      <c r="D51" s="1037">
        <f t="shared" ref="D51:M51" si="10">ROUND($C$82*D55,0)</f>
        <v>0</v>
      </c>
      <c r="E51" s="1038">
        <f t="shared" si="10"/>
        <v>0</v>
      </c>
      <c r="F51" s="1113">
        <f t="shared" si="10"/>
        <v>0</v>
      </c>
      <c r="G51" s="1037">
        <f t="shared" si="10"/>
        <v>0</v>
      </c>
      <c r="H51" s="1038">
        <f t="shared" si="10"/>
        <v>0</v>
      </c>
      <c r="I51" s="1113">
        <f t="shared" si="10"/>
        <v>0</v>
      </c>
      <c r="J51" s="1037">
        <f t="shared" si="10"/>
        <v>46</v>
      </c>
      <c r="K51" s="1038">
        <f t="shared" si="10"/>
        <v>115</v>
      </c>
      <c r="L51" s="1038">
        <f t="shared" si="10"/>
        <v>145</v>
      </c>
      <c r="M51" s="1113">
        <f t="shared" si="10"/>
        <v>145</v>
      </c>
    </row>
    <row r="52" spans="1:14" s="1059" customFormat="1" ht="14" customHeight="1" x14ac:dyDescent="0.15">
      <c r="A52" s="1011" t="s">
        <v>39</v>
      </c>
      <c r="B52" s="1121">
        <v>750</v>
      </c>
      <c r="C52" s="1112"/>
      <c r="D52" s="1037"/>
      <c r="E52" s="1038"/>
      <c r="F52" s="1113"/>
      <c r="G52" s="1037"/>
      <c r="H52" s="1038"/>
      <c r="I52" s="1113"/>
      <c r="J52" s="1037"/>
      <c r="K52" s="1038"/>
      <c r="L52" s="1038"/>
      <c r="M52" s="1113"/>
    </row>
    <row r="53" spans="1:14" s="1059" customFormat="1" ht="14" customHeight="1" x14ac:dyDescent="0.15">
      <c r="A53" s="1011" t="s">
        <v>40</v>
      </c>
      <c r="B53" s="1038"/>
      <c r="C53" s="1112"/>
      <c r="D53" s="1123">
        <f>SUM($D$49:D49)*$B$52</f>
        <v>0</v>
      </c>
      <c r="E53" s="1121">
        <f>SUM($D$49:E49)*$B$52</f>
        <v>0</v>
      </c>
      <c r="F53" s="1124">
        <f>SUM($D$49:F49)*$B$52</f>
        <v>0</v>
      </c>
      <c r="G53" s="1123">
        <f>SUM($D$49:G49)*$B$52</f>
        <v>0</v>
      </c>
      <c r="H53" s="1121">
        <f>SUM($D$49:H49)*$B$52</f>
        <v>0</v>
      </c>
      <c r="I53" s="1124">
        <f>SUM($D$49:I49)*$B$52</f>
        <v>0</v>
      </c>
      <c r="J53" s="1123">
        <f>SUM($D$49:J49)*$B$52</f>
        <v>0</v>
      </c>
      <c r="K53" s="1121">
        <f>SUM($D$49:K49)*$B$52</f>
        <v>114750</v>
      </c>
      <c r="L53" s="1121">
        <f>SUM($D$49:L49)*$B$52</f>
        <v>114750</v>
      </c>
      <c r="M53" s="1124">
        <f>SUM($D$49:M49)*$B$52</f>
        <v>114750</v>
      </c>
    </row>
    <row r="54" spans="1:14" s="1059" customFormat="1" ht="14" customHeight="1" x14ac:dyDescent="0.15">
      <c r="A54" s="1011" t="s">
        <v>102</v>
      </c>
      <c r="B54" s="1038"/>
      <c r="C54" s="1134">
        <f t="shared" ref="C54:M54" si="11">C44</f>
        <v>2.8050000000000002</v>
      </c>
      <c r="D54" s="1135">
        <f t="shared" si="11"/>
        <v>2.8611000000000004</v>
      </c>
      <c r="E54" s="1126">
        <f t="shared" si="11"/>
        <v>2.9183220000000003</v>
      </c>
      <c r="F54" s="1127">
        <f t="shared" si="11"/>
        <v>2.9766884399999998</v>
      </c>
      <c r="G54" s="1135">
        <f t="shared" si="11"/>
        <v>3.0362222087999999</v>
      </c>
      <c r="H54" s="1126">
        <f t="shared" si="11"/>
        <v>3.0969466529760004</v>
      </c>
      <c r="I54" s="1127">
        <f t="shared" si="11"/>
        <v>3.1588855860355203</v>
      </c>
      <c r="J54" s="1135">
        <f t="shared" si="11"/>
        <v>3.2220632977562302</v>
      </c>
      <c r="K54" s="1126">
        <f t="shared" si="11"/>
        <v>3.2865045637113548</v>
      </c>
      <c r="L54" s="1126">
        <f t="shared" si="11"/>
        <v>3.3522346549855819</v>
      </c>
      <c r="M54" s="1127">
        <f t="shared" si="11"/>
        <v>3.4192793480852939</v>
      </c>
    </row>
    <row r="55" spans="1:14" s="1059" customFormat="1" ht="14" customHeight="1" thickBot="1" x14ac:dyDescent="0.2">
      <c r="A55" s="1088" t="s">
        <v>41</v>
      </c>
      <c r="B55" s="1128"/>
      <c r="C55" s="1129"/>
      <c r="D55" s="1130">
        <v>0</v>
      </c>
      <c r="E55" s="1131">
        <f>D55</f>
        <v>0</v>
      </c>
      <c r="F55" s="1132">
        <f>E55</f>
        <v>0</v>
      </c>
      <c r="G55" s="1133">
        <f>F55</f>
        <v>0</v>
      </c>
      <c r="H55" s="1128">
        <f>G55</f>
        <v>0</v>
      </c>
      <c r="I55" s="1132">
        <f>H55</f>
        <v>0</v>
      </c>
      <c r="J55" s="1133">
        <v>0.3</v>
      </c>
      <c r="K55" s="1128">
        <v>0.75</v>
      </c>
      <c r="L55" s="1128">
        <v>0.94899999999999995</v>
      </c>
      <c r="M55" s="1132">
        <f>L55</f>
        <v>0.94899999999999995</v>
      </c>
    </row>
    <row r="56" spans="1:14" s="1059" customFormat="1" ht="3.75" customHeight="1" thickBot="1" x14ac:dyDescent="0.2">
      <c r="A56" s="1011"/>
      <c r="B56" s="1106"/>
      <c r="C56" s="1107"/>
      <c r="D56" s="1108"/>
      <c r="E56" s="1109"/>
      <c r="F56" s="1110"/>
      <c r="G56" s="1111"/>
      <c r="H56" s="1106"/>
      <c r="I56" s="1110"/>
      <c r="J56" s="1111"/>
      <c r="K56" s="1106"/>
      <c r="L56" s="1106"/>
      <c r="M56" s="1110"/>
    </row>
    <row r="57" spans="1:14" ht="14" thickBot="1" x14ac:dyDescent="0.2">
      <c r="A57" s="1023" t="s">
        <v>0</v>
      </c>
      <c r="B57" s="1142"/>
      <c r="C57" s="1143"/>
      <c r="D57" s="1144"/>
      <c r="E57" s="1142"/>
      <c r="F57" s="1145"/>
      <c r="G57" s="1142"/>
      <c r="H57" s="1142"/>
      <c r="I57" s="1145"/>
      <c r="J57" s="1142"/>
      <c r="K57" s="1142"/>
      <c r="L57" s="1142"/>
      <c r="M57" s="1145"/>
    </row>
    <row r="58" spans="1:14" s="882" customFormat="1" ht="14" customHeight="1" x14ac:dyDescent="0.15">
      <c r="A58" s="1011" t="s">
        <v>12</v>
      </c>
      <c r="B58" s="1038"/>
      <c r="C58" s="1146">
        <v>0</v>
      </c>
      <c r="D58" s="1147">
        <f t="shared" ref="D58:M58" si="12">SUM(D21,D31,D51)*$B$22*D24*12</f>
        <v>0</v>
      </c>
      <c r="E58" s="1147">
        <f t="shared" si="12"/>
        <v>0</v>
      </c>
      <c r="F58" s="1148">
        <f t="shared" si="12"/>
        <v>4956186.2525999993</v>
      </c>
      <c r="G58" s="1147">
        <f t="shared" si="12"/>
        <v>12624611.9441904</v>
      </c>
      <c r="H58" s="1147">
        <f t="shared" si="12"/>
        <v>16277551.608041856</v>
      </c>
      <c r="I58" s="1148">
        <f t="shared" si="12"/>
        <v>16603102.640202694</v>
      </c>
      <c r="J58" s="1147">
        <f t="shared" si="12"/>
        <v>18269098.898277827</v>
      </c>
      <c r="K58" s="1147">
        <f t="shared" si="12"/>
        <v>20675400.210308135</v>
      </c>
      <c r="L58" s="1147">
        <f t="shared" si="12"/>
        <v>21994011.571360402</v>
      </c>
      <c r="M58" s="1148">
        <f t="shared" si="12"/>
        <v>22433891.802787613</v>
      </c>
      <c r="N58" s="1098"/>
    </row>
    <row r="59" spans="1:14" s="882" customFormat="1" ht="14" customHeight="1" x14ac:dyDescent="0.15">
      <c r="A59" s="1099" t="s">
        <v>103</v>
      </c>
      <c r="B59" s="1149">
        <f>35%*0.8</f>
        <v>0.27999999999999997</v>
      </c>
      <c r="C59" s="1150">
        <f>C58*-$B$59</f>
        <v>0</v>
      </c>
      <c r="D59" s="1151">
        <f>D58*-$B$59</f>
        <v>0</v>
      </c>
      <c r="E59" s="1152">
        <f>E58*-$B$59</f>
        <v>0</v>
      </c>
      <c r="F59" s="1153">
        <f t="shared" ref="F59:M59" si="13">F58*-$B$59</f>
        <v>-1387732.1507279996</v>
      </c>
      <c r="G59" s="1151">
        <f t="shared" si="13"/>
        <v>-3534891.3443733114</v>
      </c>
      <c r="H59" s="1152">
        <f t="shared" si="13"/>
        <v>-4557714.450251719</v>
      </c>
      <c r="I59" s="1153">
        <f t="shared" si="13"/>
        <v>-4648868.7392567536</v>
      </c>
      <c r="J59" s="1152">
        <f t="shared" si="13"/>
        <v>-5115347.6915177908</v>
      </c>
      <c r="K59" s="1152">
        <f t="shared" si="13"/>
        <v>-5789112.0588862775</v>
      </c>
      <c r="L59" s="1152">
        <f t="shared" si="13"/>
        <v>-6158323.2399809118</v>
      </c>
      <c r="M59" s="1153">
        <f t="shared" si="13"/>
        <v>-6281489.7047805311</v>
      </c>
      <c r="N59" s="1098"/>
    </row>
    <row r="60" spans="1:14" s="882" customFormat="1" ht="14" customHeight="1" thickBot="1" x14ac:dyDescent="0.2">
      <c r="A60" s="1100" t="s">
        <v>5</v>
      </c>
      <c r="B60" s="1154"/>
      <c r="C60" s="1155">
        <f>SUM(C58:C59)</f>
        <v>0</v>
      </c>
      <c r="D60" s="1156">
        <f>SUM(D58:D59)</f>
        <v>0</v>
      </c>
      <c r="E60" s="1157">
        <f t="shared" ref="E60:M60" si="14">SUM(E58:E59)</f>
        <v>0</v>
      </c>
      <c r="F60" s="1158">
        <f t="shared" si="14"/>
        <v>3568454.1018719999</v>
      </c>
      <c r="G60" s="1156">
        <f t="shared" si="14"/>
        <v>9089720.5998170879</v>
      </c>
      <c r="H60" s="1157">
        <f t="shared" si="14"/>
        <v>11719837.157790137</v>
      </c>
      <c r="I60" s="1159">
        <f t="shared" si="14"/>
        <v>11954233.900945939</v>
      </c>
      <c r="J60" s="1157">
        <f t="shared" si="14"/>
        <v>13153751.206760036</v>
      </c>
      <c r="K60" s="1157">
        <f t="shared" si="14"/>
        <v>14886288.151421856</v>
      </c>
      <c r="L60" s="1157">
        <f t="shared" si="14"/>
        <v>15835688.33137949</v>
      </c>
      <c r="M60" s="1158">
        <f t="shared" si="14"/>
        <v>16152402.098007083</v>
      </c>
    </row>
    <row r="61" spans="1:14" ht="14" thickBot="1" x14ac:dyDescent="0.2">
      <c r="A61" s="1023" t="s">
        <v>2</v>
      </c>
      <c r="B61" s="1142"/>
      <c r="C61" s="1143"/>
      <c r="D61" s="1142"/>
      <c r="E61" s="1142"/>
      <c r="F61" s="1145"/>
      <c r="G61" s="1144"/>
      <c r="H61" s="1142"/>
      <c r="I61" s="1145"/>
      <c r="J61" s="1144"/>
      <c r="K61" s="1142"/>
      <c r="L61" s="1142"/>
      <c r="M61" s="1145"/>
    </row>
    <row r="62" spans="1:14" s="882" customFormat="1" ht="14" customHeight="1" x14ac:dyDescent="0.15">
      <c r="A62" s="1011" t="s">
        <v>104</v>
      </c>
      <c r="B62" s="1038"/>
      <c r="C62" s="1134">
        <f>'Summary Board'!F98</f>
        <v>289.68979200000001</v>
      </c>
      <c r="D62" s="1126">
        <f t="shared" ref="D62:M62" si="15">$C$62*(1+$B$18)^D4</f>
        <v>295.48358784000004</v>
      </c>
      <c r="E62" s="1126">
        <f t="shared" si="15"/>
        <v>301.39325959680002</v>
      </c>
      <c r="F62" s="1127">
        <f t="shared" si="15"/>
        <v>307.42112478873599</v>
      </c>
      <c r="G62" s="1126">
        <f t="shared" si="15"/>
        <v>313.56954728451075</v>
      </c>
      <c r="H62" s="1126">
        <f t="shared" si="15"/>
        <v>319.84093823020095</v>
      </c>
      <c r="I62" s="1127">
        <f t="shared" si="15"/>
        <v>326.23775699480501</v>
      </c>
      <c r="J62" s="1126">
        <f t="shared" si="15"/>
        <v>332.76251213470101</v>
      </c>
      <c r="K62" s="1126">
        <f t="shared" si="15"/>
        <v>339.41776237739504</v>
      </c>
      <c r="L62" s="1126">
        <f t="shared" si="15"/>
        <v>346.20611762494298</v>
      </c>
      <c r="M62" s="1127">
        <f t="shared" si="15"/>
        <v>353.13023997744182</v>
      </c>
    </row>
    <row r="63" spans="1:14" s="882" customFormat="1" ht="14" customHeight="1" x14ac:dyDescent="0.15">
      <c r="A63" s="1011" t="s">
        <v>13</v>
      </c>
      <c r="B63" s="1038"/>
      <c r="C63" s="1160">
        <f>C64/SUM($C$64:$M$64)</f>
        <v>0</v>
      </c>
      <c r="D63" s="1109">
        <f t="shared" ref="D63:M63" si="16">D64/SUM($C$64:$M$64)</f>
        <v>0.51595941674631973</v>
      </c>
      <c r="E63" s="1109">
        <f>E64/SUM($C$64:$M$64)</f>
        <v>0.26313930254062307</v>
      </c>
      <c r="F63" s="1161">
        <f t="shared" si="16"/>
        <v>0</v>
      </c>
      <c r="G63" s="1109">
        <f t="shared" si="16"/>
        <v>0</v>
      </c>
      <c r="H63" s="1109">
        <f t="shared" si="16"/>
        <v>0</v>
      </c>
      <c r="I63" s="1161">
        <f t="shared" si="16"/>
        <v>0</v>
      </c>
      <c r="J63" s="1109">
        <f t="shared" si="16"/>
        <v>0</v>
      </c>
      <c r="K63" s="1109">
        <f t="shared" si="16"/>
        <v>0.22090128071305726</v>
      </c>
      <c r="L63" s="1109">
        <f t="shared" si="16"/>
        <v>0</v>
      </c>
      <c r="M63" s="1161">
        <f t="shared" si="16"/>
        <v>0</v>
      </c>
    </row>
    <row r="64" spans="1:14" s="882" customFormat="1" ht="14" customHeight="1" x14ac:dyDescent="0.15">
      <c r="A64" s="1011" t="s">
        <v>2</v>
      </c>
      <c r="B64" s="1038"/>
      <c r="C64" s="1162">
        <f>C62*'Development Schedule'!D79</f>
        <v>0</v>
      </c>
      <c r="D64" s="1163">
        <f>D62*'Development Schedule'!E79</f>
        <v>90936453.081169918</v>
      </c>
      <c r="E64" s="1147">
        <f>E62*'Development Schedule'!F79</f>
        <v>46377591.071396656</v>
      </c>
      <c r="F64" s="1148">
        <f>F62*'Development Schedule'!G79</f>
        <v>0</v>
      </c>
      <c r="G64" s="1163">
        <f>G62*'Development Schedule'!H79</f>
        <v>0</v>
      </c>
      <c r="H64" s="1147">
        <f>H62*'Development Schedule'!I79</f>
        <v>0</v>
      </c>
      <c r="I64" s="1148">
        <f>I62*'Development Schedule'!J79</f>
        <v>0</v>
      </c>
      <c r="J64" s="1163">
        <f>J62*'Development Schedule'!K79</f>
        <v>0</v>
      </c>
      <c r="K64" s="1147">
        <f>K62*'Development Schedule'!L79</f>
        <v>38933253.851261474</v>
      </c>
      <c r="L64" s="1147">
        <f>L62*'Development Schedule'!M79</f>
        <v>0</v>
      </c>
      <c r="M64" s="1148">
        <f>M62*'Development Schedule'!N79</f>
        <v>0</v>
      </c>
    </row>
    <row r="65" spans="1:13" s="882" customFormat="1" ht="14" customHeight="1" x14ac:dyDescent="0.15">
      <c r="A65" s="1099"/>
      <c r="B65" s="1164"/>
      <c r="C65" s="1150"/>
      <c r="D65" s="1151"/>
      <c r="E65" s="1152"/>
      <c r="F65" s="1153"/>
      <c r="G65" s="1151"/>
      <c r="H65" s="1152"/>
      <c r="I65" s="1153"/>
      <c r="J65" s="1151"/>
      <c r="K65" s="1152"/>
      <c r="L65" s="1152"/>
      <c r="M65" s="1153"/>
    </row>
    <row r="66" spans="1:13" s="882" customFormat="1" ht="13.5" customHeight="1" thickBot="1" x14ac:dyDescent="0.2">
      <c r="A66" s="1100" t="s">
        <v>3</v>
      </c>
      <c r="B66" s="1154"/>
      <c r="C66" s="1155">
        <f>SUM(C64:C65)</f>
        <v>0</v>
      </c>
      <c r="D66" s="1156">
        <f t="shared" ref="D66:M66" si="17">SUM(D64:D65)</f>
        <v>90936453.081169918</v>
      </c>
      <c r="E66" s="1157">
        <f t="shared" si="17"/>
        <v>46377591.071396656</v>
      </c>
      <c r="F66" s="1158">
        <f t="shared" si="17"/>
        <v>0</v>
      </c>
      <c r="G66" s="1156">
        <f t="shared" si="17"/>
        <v>0</v>
      </c>
      <c r="H66" s="1157">
        <f t="shared" si="17"/>
        <v>0</v>
      </c>
      <c r="I66" s="1158">
        <f t="shared" si="17"/>
        <v>0</v>
      </c>
      <c r="J66" s="1156">
        <f t="shared" si="17"/>
        <v>0</v>
      </c>
      <c r="K66" s="1157">
        <f t="shared" si="17"/>
        <v>38933253.851261474</v>
      </c>
      <c r="L66" s="1157">
        <f t="shared" si="17"/>
        <v>0</v>
      </c>
      <c r="M66" s="1158">
        <f t="shared" si="17"/>
        <v>0</v>
      </c>
    </row>
    <row r="67" spans="1:13" ht="14" thickBot="1" x14ac:dyDescent="0.2">
      <c r="A67" s="1023" t="s">
        <v>4</v>
      </c>
      <c r="B67" s="1142"/>
      <c r="C67" s="1143"/>
      <c r="D67" s="1144"/>
      <c r="E67" s="1142"/>
      <c r="F67" s="1145"/>
      <c r="G67" s="1144"/>
      <c r="H67" s="1142"/>
      <c r="I67" s="1145"/>
      <c r="J67" s="1144"/>
      <c r="K67" s="1142"/>
      <c r="L67" s="1142"/>
      <c r="M67" s="1145"/>
    </row>
    <row r="68" spans="1:13" ht="14" customHeight="1" x14ac:dyDescent="0.15">
      <c r="A68" s="1011" t="s">
        <v>5</v>
      </c>
      <c r="B68" s="1038"/>
      <c r="C68" s="1146">
        <f>C60</f>
        <v>0</v>
      </c>
      <c r="D68" s="1165">
        <f t="shared" ref="D68:M68" si="18">D60</f>
        <v>0</v>
      </c>
      <c r="E68" s="1166">
        <f>E60</f>
        <v>0</v>
      </c>
      <c r="F68" s="1167">
        <f t="shared" si="18"/>
        <v>3568454.1018719999</v>
      </c>
      <c r="G68" s="1165">
        <f t="shared" si="18"/>
        <v>9089720.5998170879</v>
      </c>
      <c r="H68" s="1166">
        <f t="shared" si="18"/>
        <v>11719837.157790137</v>
      </c>
      <c r="I68" s="1167">
        <f t="shared" si="18"/>
        <v>11954233.900945939</v>
      </c>
      <c r="J68" s="1147">
        <f t="shared" si="18"/>
        <v>13153751.206760036</v>
      </c>
      <c r="K68" s="1147">
        <f t="shared" si="18"/>
        <v>14886288.151421856</v>
      </c>
      <c r="L68" s="1147">
        <f t="shared" si="18"/>
        <v>15835688.33137949</v>
      </c>
      <c r="M68" s="1148">
        <f t="shared" si="18"/>
        <v>16152402.098007083</v>
      </c>
    </row>
    <row r="69" spans="1:13" ht="14" customHeight="1" x14ac:dyDescent="0.15">
      <c r="A69" s="1011" t="s">
        <v>60</v>
      </c>
      <c r="B69" s="1106">
        <f>D85</f>
        <v>3.7499999999999999E-2</v>
      </c>
      <c r="C69" s="1168">
        <v>0</v>
      </c>
      <c r="D69" s="1169">
        <f>C69</f>
        <v>0</v>
      </c>
      <c r="E69" s="1170">
        <f t="shared" ref="E69:L69" si="19">D69</f>
        <v>0</v>
      </c>
      <c r="F69" s="1171">
        <f t="shared" si="19"/>
        <v>0</v>
      </c>
      <c r="G69" s="1169">
        <f t="shared" si="19"/>
        <v>0</v>
      </c>
      <c r="H69" s="1170">
        <f t="shared" si="19"/>
        <v>0</v>
      </c>
      <c r="I69" s="1171">
        <f t="shared" si="19"/>
        <v>0</v>
      </c>
      <c r="J69" s="1170">
        <f t="shared" si="19"/>
        <v>0</v>
      </c>
      <c r="K69" s="1170">
        <f t="shared" si="19"/>
        <v>0</v>
      </c>
      <c r="L69" s="1170">
        <f t="shared" si="19"/>
        <v>0</v>
      </c>
      <c r="M69" s="1171">
        <f>M68/B69</f>
        <v>430730722.61352223</v>
      </c>
    </row>
    <row r="70" spans="1:13" ht="14" customHeight="1" x14ac:dyDescent="0.15">
      <c r="A70" s="1011" t="s">
        <v>61</v>
      </c>
      <c r="B70" s="1106">
        <f>D86</f>
        <v>0.03</v>
      </c>
      <c r="C70" s="1168">
        <v>0</v>
      </c>
      <c r="D70" s="1169">
        <f>C70</f>
        <v>0</v>
      </c>
      <c r="E70" s="1170">
        <f t="shared" ref="E70:L70" si="20">D70</f>
        <v>0</v>
      </c>
      <c r="F70" s="1171">
        <f t="shared" si="20"/>
        <v>0</v>
      </c>
      <c r="G70" s="1169">
        <f t="shared" si="20"/>
        <v>0</v>
      </c>
      <c r="H70" s="1170">
        <f t="shared" si="20"/>
        <v>0</v>
      </c>
      <c r="I70" s="1171">
        <f t="shared" si="20"/>
        <v>0</v>
      </c>
      <c r="J70" s="1170">
        <f t="shared" si="20"/>
        <v>0</v>
      </c>
      <c r="K70" s="1170">
        <f t="shared" si="20"/>
        <v>0</v>
      </c>
      <c r="L70" s="1170">
        <f t="shared" si="20"/>
        <v>0</v>
      </c>
      <c r="M70" s="1171">
        <f>M69*-B70</f>
        <v>-12921921.678405667</v>
      </c>
    </row>
    <row r="71" spans="1:13" ht="14" customHeight="1" x14ac:dyDescent="0.15">
      <c r="A71" s="1099" t="s">
        <v>105</v>
      </c>
      <c r="B71" s="1164"/>
      <c r="C71" s="1150">
        <f>-C66</f>
        <v>0</v>
      </c>
      <c r="D71" s="1151">
        <f t="shared" ref="D71:M71" si="21">-D66</f>
        <v>-90936453.081169918</v>
      </c>
      <c r="E71" s="1152">
        <f t="shared" si="21"/>
        <v>-46377591.071396656</v>
      </c>
      <c r="F71" s="1153">
        <f t="shared" si="21"/>
        <v>0</v>
      </c>
      <c r="G71" s="1151">
        <f t="shared" si="21"/>
        <v>0</v>
      </c>
      <c r="H71" s="1152">
        <f t="shared" si="21"/>
        <v>0</v>
      </c>
      <c r="I71" s="1153">
        <f t="shared" si="21"/>
        <v>0</v>
      </c>
      <c r="J71" s="1152">
        <f t="shared" si="21"/>
        <v>0</v>
      </c>
      <c r="K71" s="1152">
        <f t="shared" si="21"/>
        <v>-38933253.851261474</v>
      </c>
      <c r="L71" s="1152">
        <f t="shared" si="21"/>
        <v>0</v>
      </c>
      <c r="M71" s="1153">
        <f t="shared" si="21"/>
        <v>0</v>
      </c>
    </row>
    <row r="72" spans="1:13" ht="14" thickBot="1" x14ac:dyDescent="0.2">
      <c r="A72" s="1053" t="s">
        <v>6</v>
      </c>
      <c r="B72" s="1154"/>
      <c r="C72" s="1156">
        <f>SUM(C68:C71)</f>
        <v>0</v>
      </c>
      <c r="D72" s="1156">
        <f t="shared" ref="D72:M72" si="22">SUM(D68:D71)</f>
        <v>-90936453.081169918</v>
      </c>
      <c r="E72" s="1157">
        <f t="shared" si="22"/>
        <v>-46377591.071396656</v>
      </c>
      <c r="F72" s="1158">
        <f t="shared" si="22"/>
        <v>3568454.1018719999</v>
      </c>
      <c r="G72" s="1156">
        <f t="shared" si="22"/>
        <v>9089720.5998170879</v>
      </c>
      <c r="H72" s="1157">
        <f t="shared" si="22"/>
        <v>11719837.157790137</v>
      </c>
      <c r="I72" s="1158">
        <f t="shared" si="22"/>
        <v>11954233.900945939</v>
      </c>
      <c r="J72" s="1157">
        <f t="shared" si="22"/>
        <v>13153751.206760036</v>
      </c>
      <c r="K72" s="1157">
        <f t="shared" si="22"/>
        <v>-24046965.699839618</v>
      </c>
      <c r="L72" s="1157">
        <f t="shared" si="22"/>
        <v>15835688.33137949</v>
      </c>
      <c r="M72" s="1158">
        <f t="shared" si="22"/>
        <v>433961203.03312367</v>
      </c>
    </row>
    <row r="73" spans="1:13" ht="14" thickBot="1" x14ac:dyDescent="0.2">
      <c r="A73" s="988" t="s">
        <v>27</v>
      </c>
      <c r="B73" s="1172"/>
      <c r="C73" s="1156">
        <f>C72+NPV(D87,D72:M72)</f>
        <v>87205152.393384412</v>
      </c>
      <c r="D73" s="1173"/>
      <c r="E73" s="1174"/>
      <c r="F73" s="1175"/>
      <c r="G73" s="1173"/>
      <c r="H73" s="1174"/>
      <c r="I73" s="1175"/>
      <c r="J73" s="1174"/>
      <c r="K73" s="1174"/>
      <c r="L73" s="1174"/>
      <c r="M73" s="1175"/>
    </row>
    <row r="74" spans="1:13" ht="14" thickBot="1" x14ac:dyDescent="0.2">
      <c r="A74" s="989" t="s">
        <v>62</v>
      </c>
      <c r="B74" s="1176"/>
      <c r="C74" s="1177">
        <f>IRR(C72:M72,0)</f>
        <v>0.16614895011238273</v>
      </c>
      <c r="D74" s="1178"/>
      <c r="E74" s="1176"/>
      <c r="F74" s="1179"/>
      <c r="G74" s="1178"/>
      <c r="H74" s="1176"/>
      <c r="I74" s="1179"/>
      <c r="J74" s="1176"/>
      <c r="K74" s="1176"/>
      <c r="L74" s="1176"/>
      <c r="M74" s="1179"/>
    </row>
    <row r="75" spans="1:13" ht="14" thickBot="1" x14ac:dyDescent="0.2">
      <c r="A75" s="882"/>
      <c r="B75" s="883"/>
      <c r="C75" s="883"/>
      <c r="D75" s="882"/>
      <c r="E75" s="882"/>
      <c r="F75" s="882"/>
      <c r="G75" s="882"/>
      <c r="H75" s="882"/>
      <c r="I75" s="882"/>
      <c r="J75" s="882"/>
      <c r="K75" s="882"/>
      <c r="L75" s="882"/>
      <c r="M75" s="882"/>
    </row>
    <row r="76" spans="1:13" ht="14" thickBot="1" x14ac:dyDescent="0.2">
      <c r="A76" s="1478" t="s">
        <v>99</v>
      </c>
      <c r="B76" s="1474"/>
      <c r="C76" s="1474"/>
      <c r="D76" s="1479"/>
      <c r="E76" s="882"/>
      <c r="F76" s="882"/>
      <c r="G76" s="882"/>
      <c r="H76" s="882"/>
      <c r="I76" s="882"/>
      <c r="J76" s="882"/>
      <c r="K76" s="882"/>
      <c r="L76" s="882"/>
      <c r="M76" s="882"/>
    </row>
    <row r="77" spans="1:13" ht="14" thickBot="1" x14ac:dyDescent="0.2">
      <c r="A77" s="1056"/>
      <c r="B77" s="1052"/>
      <c r="C77" s="1102" t="s">
        <v>97</v>
      </c>
      <c r="D77" s="1103" t="s">
        <v>98</v>
      </c>
      <c r="E77" s="882"/>
      <c r="F77" s="882"/>
      <c r="G77" s="882"/>
      <c r="H77" s="882"/>
      <c r="I77" s="882"/>
      <c r="J77" s="882"/>
      <c r="K77" s="882"/>
      <c r="L77" s="882"/>
      <c r="M77" s="882"/>
    </row>
    <row r="78" spans="1:13" hidden="1" x14ac:dyDescent="0.15">
      <c r="A78" s="941" t="s">
        <v>309</v>
      </c>
      <c r="B78" s="532"/>
      <c r="C78" s="1074">
        <f>D78/$B$12</f>
        <v>0</v>
      </c>
      <c r="D78" s="1083"/>
      <c r="E78" s="882"/>
      <c r="F78" s="882"/>
      <c r="G78" s="882"/>
      <c r="H78" s="882"/>
      <c r="I78" s="882"/>
      <c r="J78" s="882"/>
      <c r="K78" s="882"/>
      <c r="L78" s="882"/>
      <c r="M78" s="882"/>
    </row>
    <row r="79" spans="1:13" x14ac:dyDescent="0.15">
      <c r="A79" s="941" t="s">
        <v>37</v>
      </c>
      <c r="B79" s="532"/>
      <c r="C79" s="1074">
        <f>D79/$B$22</f>
        <v>615.5093333333333</v>
      </c>
      <c r="D79" s="1083">
        <f>SUM('Development Schedule'!E79:G79)</f>
        <v>461631.99999999994</v>
      </c>
      <c r="E79" s="882"/>
      <c r="F79" s="882"/>
      <c r="G79" s="882"/>
      <c r="H79" s="882"/>
      <c r="I79" s="882"/>
      <c r="J79" s="882"/>
      <c r="K79" s="882"/>
      <c r="L79" s="882"/>
      <c r="M79" s="882"/>
    </row>
    <row r="80" spans="1:13" x14ac:dyDescent="0.15">
      <c r="A80" s="941" t="s">
        <v>79</v>
      </c>
      <c r="B80" s="532"/>
      <c r="C80" s="1074">
        <f>D80/$B$32</f>
        <v>0</v>
      </c>
      <c r="D80" s="1083">
        <f>SUM('Development Schedule'!H79:J79)</f>
        <v>0</v>
      </c>
      <c r="E80" s="882"/>
      <c r="F80" s="882"/>
      <c r="G80" s="882"/>
      <c r="H80" s="882"/>
      <c r="I80" s="882"/>
      <c r="J80" s="882"/>
      <c r="K80" s="882"/>
      <c r="L80" s="882"/>
      <c r="M80" s="882"/>
    </row>
    <row r="81" spans="1:13" ht="1" customHeight="1" x14ac:dyDescent="0.15">
      <c r="A81" s="941"/>
      <c r="B81" s="532"/>
      <c r="C81" s="1074"/>
      <c r="D81" s="1083"/>
      <c r="E81" s="882"/>
      <c r="F81" s="882"/>
      <c r="G81" s="882"/>
      <c r="H81" s="882"/>
      <c r="I81" s="882"/>
      <c r="J81" s="882"/>
      <c r="K81" s="882"/>
      <c r="L81" s="882"/>
      <c r="M81" s="882"/>
    </row>
    <row r="82" spans="1:13" x14ac:dyDescent="0.15">
      <c r="A82" s="941" t="s">
        <v>421</v>
      </c>
      <c r="B82" s="532"/>
      <c r="C82" s="1074">
        <f>D82/$B$52</f>
        <v>152.94133333333335</v>
      </c>
      <c r="D82" s="1083">
        <f>SUM('Development Schedule'!K79:N79)</f>
        <v>114706</v>
      </c>
      <c r="E82" s="882"/>
      <c r="F82" s="882"/>
      <c r="G82" s="882"/>
      <c r="H82" s="882"/>
      <c r="I82" s="882"/>
      <c r="J82" s="882"/>
      <c r="K82" s="882"/>
      <c r="L82" s="882"/>
      <c r="M82" s="882"/>
    </row>
    <row r="83" spans="1:13" ht="14" thickBot="1" x14ac:dyDescent="0.2">
      <c r="A83" s="882"/>
      <c r="B83" s="883"/>
      <c r="C83" s="883"/>
      <c r="D83" s="882"/>
      <c r="E83" s="882"/>
      <c r="F83" s="882"/>
      <c r="G83" s="882"/>
      <c r="H83" s="882"/>
      <c r="I83" s="882"/>
      <c r="J83" s="882"/>
      <c r="K83" s="882"/>
      <c r="L83" s="882"/>
      <c r="M83" s="882"/>
    </row>
    <row r="84" spans="1:13" ht="14" thickBot="1" x14ac:dyDescent="0.2">
      <c r="A84" s="1478" t="s">
        <v>106</v>
      </c>
      <c r="B84" s="1480"/>
      <c r="C84" s="1480"/>
      <c r="D84" s="1481"/>
      <c r="E84" s="882"/>
      <c r="F84" s="882"/>
      <c r="G84" s="882"/>
      <c r="H84" s="882"/>
      <c r="I84" s="882"/>
      <c r="J84" s="882"/>
      <c r="K84" s="882"/>
      <c r="L84" s="882"/>
      <c r="M84" s="882"/>
    </row>
    <row r="85" spans="1:13" x14ac:dyDescent="0.15">
      <c r="A85" s="941" t="s">
        <v>107</v>
      </c>
      <c r="B85" s="532"/>
      <c r="C85" s="532"/>
      <c r="D85" s="1095">
        <f>'Summary Board'!K121</f>
        <v>3.7499999999999999E-2</v>
      </c>
      <c r="E85" s="882"/>
      <c r="F85" s="882"/>
      <c r="G85" s="882"/>
      <c r="H85" s="882"/>
      <c r="I85" s="882"/>
      <c r="J85" s="882"/>
      <c r="K85" s="882"/>
      <c r="L85" s="882"/>
      <c r="M85" s="882"/>
    </row>
    <row r="86" spans="1:13" x14ac:dyDescent="0.15">
      <c r="A86" s="941" t="s">
        <v>108</v>
      </c>
      <c r="B86" s="532"/>
      <c r="C86" s="532"/>
      <c r="D86" s="1095">
        <v>0.03</v>
      </c>
      <c r="E86" s="882"/>
      <c r="F86" s="882"/>
      <c r="G86" s="882"/>
      <c r="H86" s="882"/>
      <c r="I86" s="882"/>
      <c r="J86" s="882"/>
      <c r="K86" s="882"/>
      <c r="L86" s="882"/>
      <c r="M86" s="882"/>
    </row>
    <row r="87" spans="1:13" ht="14" thickBot="1" x14ac:dyDescent="0.2">
      <c r="A87" s="947" t="s">
        <v>95</v>
      </c>
      <c r="B87" s="1062"/>
      <c r="C87" s="1062"/>
      <c r="D87" s="1093">
        <v>0.09</v>
      </c>
      <c r="E87" s="882"/>
      <c r="F87" s="882"/>
      <c r="G87" s="882"/>
      <c r="H87" s="882"/>
      <c r="I87" s="882"/>
      <c r="J87" s="882"/>
      <c r="K87" s="882"/>
      <c r="L87" s="882"/>
      <c r="M87" s="882"/>
    </row>
    <row r="88" spans="1:13" x14ac:dyDescent="0.15">
      <c r="A88" s="882"/>
      <c r="B88" s="883"/>
      <c r="C88" s="883"/>
      <c r="D88" s="882"/>
      <c r="E88" s="882"/>
      <c r="F88" s="882"/>
      <c r="G88" s="882"/>
      <c r="H88" s="882"/>
      <c r="I88" s="882"/>
      <c r="J88" s="882"/>
      <c r="K88" s="882"/>
      <c r="L88" s="882"/>
      <c r="M88" s="882"/>
    </row>
    <row r="93" spans="1:13" x14ac:dyDescent="0.15">
      <c r="E93" s="1105"/>
    </row>
  </sheetData>
  <phoneticPr fontId="3" type="noConversion"/>
  <printOptions horizontalCentered="1"/>
  <pageMargins left="0.5" right="0.5" top="1" bottom="0.5" header="0.5" footer="0.5"/>
  <pageSetup scale="65" orientation="landscape" r:id="rId1"/>
  <headerFooter alignWithMargins="0">
    <oddHeader>&amp;L&amp;"Arial,Bold"2. Income Statement: Market-rate Rental Housing</oddHeader>
  </headerFooter>
  <rowBreaks count="1" manualBreakCount="1">
    <brk id="55" max="1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M65"/>
  <sheetViews>
    <sheetView view="pageBreakPreview" zoomScale="85" zoomScaleSheetLayoutView="85" workbookViewId="0">
      <selection activeCell="G76" sqref="G76"/>
    </sheetView>
  </sheetViews>
  <sheetFormatPr baseColWidth="10" defaultColWidth="9.1640625" defaultRowHeight="13" x14ac:dyDescent="0.15"/>
  <cols>
    <col min="1" max="1" width="23.1640625" style="1064" customWidth="1"/>
    <col min="2" max="2" width="12.6640625" style="1104" customWidth="1"/>
    <col min="3" max="3" width="16.5" style="1104" bestFit="1" customWidth="1"/>
    <col min="4" max="4" width="17.1640625" style="1064" bestFit="1" customWidth="1"/>
    <col min="5" max="6" width="16" style="1064" bestFit="1" customWidth="1"/>
    <col min="7" max="8" width="16.5" style="1064" bestFit="1" customWidth="1"/>
    <col min="9" max="9" width="16" style="1064" bestFit="1" customWidth="1"/>
    <col min="10" max="10" width="15.33203125" style="1064" bestFit="1" customWidth="1"/>
    <col min="11" max="11" width="16.6640625" style="1064" bestFit="1" customWidth="1"/>
    <col min="12" max="13" width="16.5" style="1064" bestFit="1" customWidth="1"/>
    <col min="14" max="16384" width="9.1640625" style="1064"/>
  </cols>
  <sheetData>
    <row r="1" spans="1:13" ht="14" customHeight="1" thickBot="1" x14ac:dyDescent="0.2">
      <c r="A1" s="882"/>
      <c r="B1" s="883"/>
      <c r="C1" s="883"/>
      <c r="D1" s="882"/>
      <c r="E1" s="882"/>
      <c r="F1" s="882"/>
      <c r="G1" s="882"/>
      <c r="H1" s="882"/>
      <c r="I1" s="882"/>
      <c r="J1" s="882"/>
      <c r="K1" s="882"/>
      <c r="L1" s="633" t="s">
        <v>96</v>
      </c>
      <c r="M1" s="634">
        <v>183690</v>
      </c>
    </row>
    <row r="2" spans="1:13" ht="14" customHeight="1" thickBot="1" x14ac:dyDescent="0.2">
      <c r="A2" s="882"/>
      <c r="B2" s="883"/>
      <c r="C2" s="883"/>
      <c r="D2" s="882"/>
      <c r="E2" s="882"/>
      <c r="F2" s="882"/>
      <c r="G2" s="882"/>
      <c r="H2" s="882"/>
      <c r="I2" s="882"/>
      <c r="J2" s="882"/>
      <c r="K2" s="882"/>
      <c r="L2" s="882"/>
      <c r="M2" s="882"/>
    </row>
    <row r="3" spans="1:13" ht="14" customHeight="1" thickBot="1" x14ac:dyDescent="0.2">
      <c r="A3" s="933"/>
      <c r="B3" s="1065"/>
      <c r="C3" s="934" t="s">
        <v>58</v>
      </c>
      <c r="D3" s="935" t="s">
        <v>37</v>
      </c>
      <c r="E3" s="936"/>
      <c r="F3" s="937"/>
      <c r="G3" s="935" t="s">
        <v>79</v>
      </c>
      <c r="H3" s="938"/>
      <c r="I3" s="937"/>
      <c r="J3" s="939" t="s">
        <v>80</v>
      </c>
      <c r="K3" s="939"/>
      <c r="L3" s="936"/>
      <c r="M3" s="937"/>
    </row>
    <row r="4" spans="1:13" ht="14" customHeight="1" thickBot="1" x14ac:dyDescent="0.2">
      <c r="A4" s="941"/>
      <c r="B4" s="532"/>
      <c r="C4" s="934">
        <v>0</v>
      </c>
      <c r="D4" s="942">
        <f>C4+1</f>
        <v>1</v>
      </c>
      <c r="E4" s="943">
        <f t="shared" ref="E4:M5" si="0">D4+1</f>
        <v>2</v>
      </c>
      <c r="F4" s="944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3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</row>
    <row r="5" spans="1:13" ht="14" customHeight="1" thickBot="1" x14ac:dyDescent="0.2">
      <c r="A5" s="947"/>
      <c r="B5" s="945"/>
      <c r="C5" s="934" t="s">
        <v>362</v>
      </c>
      <c r="D5" s="942">
        <v>2020</v>
      </c>
      <c r="E5" s="943">
        <f>D5+1</f>
        <v>2021</v>
      </c>
      <c r="F5" s="944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3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</row>
    <row r="6" spans="1:13" ht="14" thickBot="1" x14ac:dyDescent="0.2">
      <c r="A6" s="1023" t="s">
        <v>10</v>
      </c>
      <c r="B6" s="1142"/>
      <c r="C6" s="1143"/>
      <c r="D6" s="1144"/>
      <c r="E6" s="1142"/>
      <c r="F6" s="1145"/>
      <c r="G6" s="1144"/>
      <c r="H6" s="1142"/>
      <c r="I6" s="1145"/>
      <c r="J6" s="1142"/>
      <c r="K6" s="1142"/>
      <c r="L6" s="1142"/>
      <c r="M6" s="1145"/>
    </row>
    <row r="7" spans="1:13" x14ac:dyDescent="0.15">
      <c r="A7" s="1182" t="s">
        <v>37</v>
      </c>
      <c r="B7" s="1197"/>
      <c r="C7" s="1198"/>
      <c r="D7" s="1199"/>
      <c r="E7" s="1197"/>
      <c r="F7" s="1200"/>
      <c r="G7" s="1199"/>
      <c r="H7" s="1197"/>
      <c r="I7" s="1200"/>
      <c r="J7" s="1197"/>
      <c r="K7" s="1197"/>
      <c r="L7" s="1197"/>
      <c r="M7" s="1200"/>
    </row>
    <row r="8" spans="1:13" ht="14" customHeight="1" x14ac:dyDescent="0.15">
      <c r="A8" s="1011" t="s">
        <v>11</v>
      </c>
      <c r="B8" s="1201">
        <v>0.02</v>
      </c>
      <c r="C8" s="1114"/>
      <c r="D8" s="1115"/>
      <c r="E8" s="1116"/>
      <c r="F8" s="1117"/>
      <c r="G8" s="1115"/>
      <c r="H8" s="1116"/>
      <c r="I8" s="1117"/>
      <c r="J8" s="1116"/>
      <c r="K8" s="1116"/>
      <c r="L8" s="1116"/>
      <c r="M8" s="1117"/>
    </row>
    <row r="9" spans="1:13" ht="14" customHeight="1" x14ac:dyDescent="0.15">
      <c r="A9" s="1011" t="s">
        <v>100</v>
      </c>
      <c r="B9" s="1106"/>
      <c r="C9" s="1114"/>
      <c r="D9" s="1118">
        <f>ROUND(('Development Schedule'!E13)/$B$21,0)</f>
        <v>205</v>
      </c>
      <c r="E9" s="1119">
        <f>ROUND(('Development Schedule'!F13)/$B$21,0)</f>
        <v>103</v>
      </c>
      <c r="F9" s="1120">
        <f>ROUND(('Development Schedule'!G13)/$B$21,0)</f>
        <v>0</v>
      </c>
      <c r="G9" s="1118">
        <f>ROUND(('Development Schedule'!H13)/$B$21,0)</f>
        <v>0</v>
      </c>
      <c r="H9" s="1119">
        <f>ROUND(('Development Schedule'!I13)/$B$21,0)</f>
        <v>0</v>
      </c>
      <c r="I9" s="1120">
        <f>ROUND(('Development Schedule'!J13)/$B$21,0)</f>
        <v>0</v>
      </c>
      <c r="J9" s="1119">
        <f>ROUND(('Development Schedule'!K13)/$B$21,0)</f>
        <v>0</v>
      </c>
      <c r="K9" s="1119">
        <f>ROUND(('Development Schedule'!L13)/$B$21,0)</f>
        <v>0</v>
      </c>
      <c r="L9" s="1119">
        <f>ROUND(('Development Schedule'!M13)/$B$21,0)</f>
        <v>0</v>
      </c>
      <c r="M9" s="1120">
        <f>ROUND(('Development Schedule'!N13)/$B$21,0)</f>
        <v>0</v>
      </c>
    </row>
    <row r="10" spans="1:13" ht="14" customHeight="1" x14ac:dyDescent="0.15">
      <c r="A10" s="1011" t="s">
        <v>110</v>
      </c>
      <c r="B10" s="1106"/>
      <c r="C10" s="1114"/>
      <c r="D10" s="1118">
        <v>0</v>
      </c>
      <c r="E10" s="1119">
        <f>$C$53/3</f>
        <v>102.58488888888888</v>
      </c>
      <c r="F10" s="1120">
        <f>E10</f>
        <v>102.58488888888888</v>
      </c>
      <c r="G10" s="1118">
        <f>F10</f>
        <v>102.58488888888888</v>
      </c>
      <c r="H10" s="1119">
        <v>0</v>
      </c>
      <c r="I10" s="1120">
        <v>0</v>
      </c>
      <c r="J10" s="1119">
        <f>C45-SUM(H10:I10)</f>
        <v>0</v>
      </c>
      <c r="K10" s="1119">
        <v>0</v>
      </c>
      <c r="L10" s="1119">
        <f>K10</f>
        <v>0</v>
      </c>
      <c r="M10" s="1120">
        <f>L10</f>
        <v>0</v>
      </c>
    </row>
    <row r="11" spans="1:13" ht="13.5" customHeight="1" x14ac:dyDescent="0.15">
      <c r="A11" s="1011" t="s">
        <v>111</v>
      </c>
      <c r="B11" s="1038"/>
      <c r="C11" s="1112"/>
      <c r="D11" s="1118">
        <f>SUM($D10:D$10)</f>
        <v>0</v>
      </c>
      <c r="E11" s="1119">
        <f>SUM($D10:E$10)</f>
        <v>102.58488888888888</v>
      </c>
      <c r="F11" s="1120">
        <f>SUM($D10:F$10)</f>
        <v>205.16977777777777</v>
      </c>
      <c r="G11" s="1118">
        <f>SUM($D10:G$10)</f>
        <v>307.75466666666665</v>
      </c>
      <c r="H11" s="1119">
        <f>SUM($D10:H$10)</f>
        <v>307.75466666666665</v>
      </c>
      <c r="I11" s="1120">
        <f>SUM($D10:I$10)</f>
        <v>307.75466666666665</v>
      </c>
      <c r="J11" s="1119">
        <f>SUM($D10:J$10)</f>
        <v>307.75466666666665</v>
      </c>
      <c r="K11" s="1119">
        <f>SUM($D10:K$10)</f>
        <v>307.75466666666665</v>
      </c>
      <c r="L11" s="1119">
        <f>SUM($D10:L$10)</f>
        <v>307.75466666666665</v>
      </c>
      <c r="M11" s="1120">
        <f>SUM($D10:M$10)</f>
        <v>307.75466666666665</v>
      </c>
    </row>
    <row r="12" spans="1:13" ht="14" customHeight="1" x14ac:dyDescent="0.15">
      <c r="A12" s="1011" t="s">
        <v>39</v>
      </c>
      <c r="B12" s="1121">
        <v>750</v>
      </c>
      <c r="C12" s="1112"/>
      <c r="D12" s="1037"/>
      <c r="E12" s="1038"/>
      <c r="F12" s="1113"/>
      <c r="G12" s="1037"/>
      <c r="H12" s="1038"/>
      <c r="I12" s="1113"/>
      <c r="J12" s="1038"/>
      <c r="K12" s="1038"/>
      <c r="L12" s="1038"/>
      <c r="M12" s="1113"/>
    </row>
    <row r="13" spans="1:13" ht="14" customHeight="1" x14ac:dyDescent="0.15">
      <c r="A13" s="1011" t="s">
        <v>42</v>
      </c>
      <c r="B13" s="1038"/>
      <c r="C13" s="1112"/>
      <c r="D13" s="1202">
        <f>SUM($D9:D$9)*$B$21</f>
        <v>153750</v>
      </c>
      <c r="E13" s="1203">
        <f>SUM($D9:E$9)*$B$21</f>
        <v>231000</v>
      </c>
      <c r="F13" s="1204">
        <f>SUM($D9:F$9)*$B$21</f>
        <v>231000</v>
      </c>
      <c r="G13" s="1202">
        <f>SUM($D9:G$9)*$B$21</f>
        <v>231000</v>
      </c>
      <c r="H13" s="1203">
        <f>SUM($D9:H$9)*$B$21</f>
        <v>231000</v>
      </c>
      <c r="I13" s="1204">
        <f>SUM($D9:I$9)*$B$21</f>
        <v>231000</v>
      </c>
      <c r="J13" s="1203">
        <f>SUM($D9:J$9)*$B$21</f>
        <v>231000</v>
      </c>
      <c r="K13" s="1203">
        <f>SUM($D9:K$9)*$B$21</f>
        <v>231000</v>
      </c>
      <c r="L13" s="1203">
        <f>SUM($D9:L$9)*$B$21</f>
        <v>231000</v>
      </c>
      <c r="M13" s="1204">
        <f>SUM($D9:M$9)*$B$21</f>
        <v>231000</v>
      </c>
    </row>
    <row r="14" spans="1:13" ht="20.5" customHeight="1" thickBot="1" x14ac:dyDescent="0.2">
      <c r="A14" s="1088" t="s">
        <v>112</v>
      </c>
      <c r="B14" s="1154"/>
      <c r="C14" s="1205">
        <f>'Summary Board'!K103</f>
        <v>728.28</v>
      </c>
      <c r="D14" s="1206">
        <f t="shared" ref="D14:M14" si="1">$C14*(1+$B$17)^D$4</f>
        <v>742.84559999999999</v>
      </c>
      <c r="E14" s="1207">
        <f t="shared" si="1"/>
        <v>757.70251199999996</v>
      </c>
      <c r="F14" s="1208">
        <f t="shared" si="1"/>
        <v>772.8565622399999</v>
      </c>
      <c r="G14" s="1206">
        <f t="shared" si="1"/>
        <v>788.31369348479996</v>
      </c>
      <c r="H14" s="1207">
        <f t="shared" si="1"/>
        <v>804.07996735449603</v>
      </c>
      <c r="I14" s="1208">
        <f t="shared" si="1"/>
        <v>820.16156670158591</v>
      </c>
      <c r="J14" s="1207">
        <f t="shared" si="1"/>
        <v>836.56479803561751</v>
      </c>
      <c r="K14" s="1207">
        <f t="shared" si="1"/>
        <v>853.29609399632989</v>
      </c>
      <c r="L14" s="1207">
        <f t="shared" si="1"/>
        <v>870.36201587625646</v>
      </c>
      <c r="M14" s="1208">
        <f t="shared" si="1"/>
        <v>887.76925619378164</v>
      </c>
    </row>
    <row r="15" spans="1:13" ht="11" hidden="1" customHeight="1" thickBot="1" x14ac:dyDescent="0.2">
      <c r="A15" s="1011"/>
      <c r="B15" s="1038"/>
      <c r="C15" s="1134"/>
      <c r="D15" s="1135"/>
      <c r="E15" s="1126"/>
      <c r="F15" s="1127"/>
      <c r="G15" s="1135"/>
      <c r="H15" s="1126"/>
      <c r="I15" s="1127"/>
      <c r="J15" s="1126"/>
      <c r="K15" s="1126"/>
      <c r="L15" s="1126"/>
      <c r="M15" s="1127"/>
    </row>
    <row r="16" spans="1:13" x14ac:dyDescent="0.15">
      <c r="A16" s="1182" t="s">
        <v>79</v>
      </c>
      <c r="B16" s="1197"/>
      <c r="C16" s="1198"/>
      <c r="D16" s="1199"/>
      <c r="E16" s="1197"/>
      <c r="F16" s="1200"/>
      <c r="G16" s="1199"/>
      <c r="H16" s="1197"/>
      <c r="I16" s="1200"/>
      <c r="J16" s="1197"/>
      <c r="K16" s="1197"/>
      <c r="L16" s="1197"/>
      <c r="M16" s="1200"/>
    </row>
    <row r="17" spans="1:13" ht="14" customHeight="1" x14ac:dyDescent="0.15">
      <c r="A17" s="1011" t="s">
        <v>11</v>
      </c>
      <c r="B17" s="1106">
        <v>0.02</v>
      </c>
      <c r="C17" s="1114"/>
      <c r="D17" s="1115"/>
      <c r="E17" s="1116"/>
      <c r="F17" s="1117"/>
      <c r="G17" s="1115"/>
      <c r="H17" s="1116"/>
      <c r="I17" s="1117"/>
      <c r="J17" s="1116"/>
      <c r="K17" s="1116"/>
      <c r="L17" s="1116"/>
      <c r="M17" s="1117"/>
    </row>
    <row r="18" spans="1:13" ht="14" customHeight="1" x14ac:dyDescent="0.15">
      <c r="A18" s="1011" t="s">
        <v>100</v>
      </c>
      <c r="B18" s="1106"/>
      <c r="C18" s="1114"/>
      <c r="D18" s="1118">
        <f>ROUND(('Development Schedule'!E41+'Development Schedule'!E45)/$B$21,0)</f>
        <v>0</v>
      </c>
      <c r="E18" s="1119">
        <f>ROUND(('Development Schedule'!F41+'Development Schedule'!F45)/$B$21,0)</f>
        <v>0</v>
      </c>
      <c r="F18" s="1120">
        <f>ROUND(('Development Schedule'!G41+'Development Schedule'!G45)/$B$21,0)</f>
        <v>0</v>
      </c>
      <c r="G18" s="1118">
        <f>ROUND(('Development Schedule'!H41+'Development Schedule'!H45)/$B$21,0)</f>
        <v>0</v>
      </c>
      <c r="H18" s="1119">
        <f>ROUND(('Development Schedule'!I41+'Development Schedule'!I45)/$B$21,0)</f>
        <v>0</v>
      </c>
      <c r="I18" s="1120">
        <f>ROUND(('Development Schedule'!J41+'Development Schedule'!J45)/$B$21,0)</f>
        <v>0</v>
      </c>
      <c r="J18" s="1119">
        <f>ROUND(('Development Schedule'!K41+'Development Schedule'!K45)/$B$21,0)</f>
        <v>0</v>
      </c>
      <c r="K18" s="1119">
        <f>ROUND(('Development Schedule'!L41+'Development Schedule'!L45)/$B$21,0)</f>
        <v>0</v>
      </c>
      <c r="L18" s="1119">
        <f>ROUND(('Development Schedule'!M41+'Development Schedule'!M45)/$B$21,0)</f>
        <v>0</v>
      </c>
      <c r="M18" s="1120">
        <f>ROUND(('Development Schedule'!N41+'Development Schedule'!N45)/$B$21,0)</f>
        <v>0</v>
      </c>
    </row>
    <row r="19" spans="1:13" ht="14" customHeight="1" x14ac:dyDescent="0.15">
      <c r="A19" s="1011" t="s">
        <v>110</v>
      </c>
      <c r="B19" s="1106"/>
      <c r="C19" s="1114"/>
      <c r="D19" s="1118">
        <v>0</v>
      </c>
      <c r="E19" s="1119">
        <f>D19</f>
        <v>0</v>
      </c>
      <c r="F19" s="1120">
        <f>E19</f>
        <v>0</v>
      </c>
      <c r="G19" s="1118">
        <f>F19</f>
        <v>0</v>
      </c>
      <c r="H19" s="1119">
        <f>ROUND($C$54/3,0)</f>
        <v>0</v>
      </c>
      <c r="I19" s="1120">
        <f>ROUND($C$54/3,0)</f>
        <v>0</v>
      </c>
      <c r="J19" s="1119">
        <f>C54-SUM(H19:I19)</f>
        <v>0</v>
      </c>
      <c r="K19" s="1119">
        <v>0</v>
      </c>
      <c r="L19" s="1119">
        <f>K19</f>
        <v>0</v>
      </c>
      <c r="M19" s="1120">
        <f>L19</f>
        <v>0</v>
      </c>
    </row>
    <row r="20" spans="1:13" ht="13.5" customHeight="1" x14ac:dyDescent="0.15">
      <c r="A20" s="1011" t="s">
        <v>111</v>
      </c>
      <c r="B20" s="1038"/>
      <c r="C20" s="1112"/>
      <c r="D20" s="1118">
        <f>SUM($D$19:D19)</f>
        <v>0</v>
      </c>
      <c r="E20" s="1119">
        <f>SUM($D$19:E19)</f>
        <v>0</v>
      </c>
      <c r="F20" s="1120">
        <f>SUM($D$19:F19)</f>
        <v>0</v>
      </c>
      <c r="G20" s="1118">
        <f>SUM($D$19:G19)</f>
        <v>0</v>
      </c>
      <c r="H20" s="1119">
        <f>SUM($D$19:H19)</f>
        <v>0</v>
      </c>
      <c r="I20" s="1120">
        <f>SUM($D$19:I19)</f>
        <v>0</v>
      </c>
      <c r="J20" s="1119">
        <f>SUM($D$19:J19)</f>
        <v>0</v>
      </c>
      <c r="K20" s="1119">
        <f>SUM($D$19:K19)</f>
        <v>0</v>
      </c>
      <c r="L20" s="1119">
        <f>SUM($D$19:L19)</f>
        <v>0</v>
      </c>
      <c r="M20" s="1120">
        <f>SUM($D$19:M19)</f>
        <v>0</v>
      </c>
    </row>
    <row r="21" spans="1:13" ht="14" customHeight="1" x14ac:dyDescent="0.15">
      <c r="A21" s="1011" t="s">
        <v>39</v>
      </c>
      <c r="B21" s="1121">
        <v>750</v>
      </c>
      <c r="C21" s="1112"/>
      <c r="D21" s="1037"/>
      <c r="E21" s="1038"/>
      <c r="F21" s="1113"/>
      <c r="G21" s="1037"/>
      <c r="H21" s="1038"/>
      <c r="I21" s="1113"/>
      <c r="J21" s="1038"/>
      <c r="K21" s="1038"/>
      <c r="L21" s="1038"/>
      <c r="M21" s="1113"/>
    </row>
    <row r="22" spans="1:13" ht="14" customHeight="1" x14ac:dyDescent="0.15">
      <c r="A22" s="1011" t="s">
        <v>42</v>
      </c>
      <c r="B22" s="1038"/>
      <c r="C22" s="1112"/>
      <c r="D22" s="1202">
        <f>SUM($D$18:D18)*$B$21</f>
        <v>0</v>
      </c>
      <c r="E22" s="1203">
        <f>SUM($D$18:E18)*$B$21</f>
        <v>0</v>
      </c>
      <c r="F22" s="1204">
        <f>SUM($D$18:F18)*$B$21</f>
        <v>0</v>
      </c>
      <c r="G22" s="1202">
        <f>SUM($D$18:G18)*$B$21</f>
        <v>0</v>
      </c>
      <c r="H22" s="1203">
        <f>SUM($D$18:H18)*$B$21</f>
        <v>0</v>
      </c>
      <c r="I22" s="1204">
        <f>SUM($D$18:I18)*$B$21</f>
        <v>0</v>
      </c>
      <c r="J22" s="1203">
        <f>SUM($D$18:J18)*$B$21</f>
        <v>0</v>
      </c>
      <c r="K22" s="1203">
        <f>SUM($D$18:K18)*$B$21</f>
        <v>0</v>
      </c>
      <c r="L22" s="1203">
        <f>SUM($D$18:L18)*$B$21</f>
        <v>0</v>
      </c>
      <c r="M22" s="1204">
        <f>SUM($D$18:M18)*$B$21</f>
        <v>0</v>
      </c>
    </row>
    <row r="23" spans="1:13" ht="14" customHeight="1" thickBot="1" x14ac:dyDescent="0.2">
      <c r="A23" s="1088" t="s">
        <v>112</v>
      </c>
      <c r="B23" s="1154"/>
      <c r="C23" s="1205">
        <f>C14</f>
        <v>728.28</v>
      </c>
      <c r="D23" s="1206">
        <f t="shared" ref="D23:M23" si="2">$C23*(1+$B$17)^D$4</f>
        <v>742.84559999999999</v>
      </c>
      <c r="E23" s="1207">
        <f t="shared" si="2"/>
        <v>757.70251199999996</v>
      </c>
      <c r="F23" s="1208">
        <f t="shared" si="2"/>
        <v>772.8565622399999</v>
      </c>
      <c r="G23" s="1206">
        <f t="shared" si="2"/>
        <v>788.31369348479996</v>
      </c>
      <c r="H23" s="1207">
        <f t="shared" si="2"/>
        <v>804.07996735449603</v>
      </c>
      <c r="I23" s="1208">
        <f t="shared" si="2"/>
        <v>820.16156670158591</v>
      </c>
      <c r="J23" s="1207">
        <f t="shared" si="2"/>
        <v>836.56479803561751</v>
      </c>
      <c r="K23" s="1207">
        <f t="shared" si="2"/>
        <v>853.29609399632989</v>
      </c>
      <c r="L23" s="1207">
        <f t="shared" si="2"/>
        <v>870.36201587625646</v>
      </c>
      <c r="M23" s="1208">
        <f t="shared" si="2"/>
        <v>887.76925619378164</v>
      </c>
    </row>
    <row r="24" spans="1:13" ht="4.5" customHeight="1" x14ac:dyDescent="0.15">
      <c r="A24" s="1097"/>
      <c r="B24" s="1197"/>
      <c r="C24" s="1209"/>
      <c r="D24" s="1210"/>
      <c r="E24" s="1211"/>
      <c r="F24" s="1212"/>
      <c r="G24" s="1210"/>
      <c r="H24" s="1211"/>
      <c r="I24" s="1212"/>
      <c r="J24" s="1211"/>
      <c r="K24" s="1211"/>
      <c r="L24" s="1211"/>
      <c r="M24" s="1212"/>
    </row>
    <row r="25" spans="1:13" x14ac:dyDescent="0.15">
      <c r="A25" s="1071" t="s">
        <v>80</v>
      </c>
      <c r="B25" s="1038"/>
      <c r="C25" s="1112"/>
      <c r="D25" s="1037"/>
      <c r="E25" s="1038"/>
      <c r="F25" s="1113"/>
      <c r="G25" s="1037"/>
      <c r="H25" s="1038"/>
      <c r="I25" s="1113"/>
      <c r="J25" s="1038"/>
      <c r="K25" s="1038"/>
      <c r="L25" s="1038"/>
      <c r="M25" s="1113"/>
    </row>
    <row r="26" spans="1:13" ht="14" customHeight="1" x14ac:dyDescent="0.15">
      <c r="A26" s="1011" t="s">
        <v>11</v>
      </c>
      <c r="B26" s="1106">
        <v>0.02</v>
      </c>
      <c r="C26" s="1114"/>
      <c r="D26" s="1115"/>
      <c r="E26" s="1116"/>
      <c r="F26" s="1117"/>
      <c r="G26" s="1115"/>
      <c r="H26" s="1116"/>
      <c r="I26" s="1117"/>
      <c r="J26" s="1116"/>
      <c r="K26" s="1116"/>
      <c r="L26" s="1116"/>
      <c r="M26" s="1117"/>
    </row>
    <row r="27" spans="1:13" ht="14" customHeight="1" x14ac:dyDescent="0.15">
      <c r="A27" s="1011" t="s">
        <v>100</v>
      </c>
      <c r="B27" s="1106"/>
      <c r="C27" s="1114"/>
      <c r="D27" s="1123">
        <f>ROUND(('Development Schedule'!E64+'Development Schedule'!E67)/$B$30,0)</f>
        <v>0</v>
      </c>
      <c r="E27" s="1121">
        <f>ROUND(('Development Schedule'!F64+'Development Schedule'!F67)/$B$30,0)</f>
        <v>0</v>
      </c>
      <c r="F27" s="1124">
        <f>ROUND(('Development Schedule'!G64+'Development Schedule'!G67)/$B$30,0)</f>
        <v>0</v>
      </c>
      <c r="G27" s="1123">
        <f>ROUND(('Development Schedule'!H64+'Development Schedule'!H67)/$B$30,0)</f>
        <v>0</v>
      </c>
      <c r="H27" s="1121">
        <f>ROUND(('Development Schedule'!I64+'Development Schedule'!I67)/$B$30,0)</f>
        <v>0</v>
      </c>
      <c r="I27" s="1124">
        <f>ROUND(('Development Schedule'!J64+'Development Schedule'!J67)/$B$30,0)</f>
        <v>0</v>
      </c>
      <c r="J27" s="1121">
        <f>ROUND(('Development Schedule'!K64+'Development Schedule'!K67)/$B$30,0)</f>
        <v>0</v>
      </c>
      <c r="K27" s="1121">
        <f>ROUND(('Development Schedule'!L64+'Development Schedule'!L67)/$B$30,0)</f>
        <v>76</v>
      </c>
      <c r="L27" s="1121">
        <f>ROUND(('Development Schedule'!M64+'Development Schedule'!M67)/$B$30,0)</f>
        <v>0</v>
      </c>
      <c r="M27" s="1124">
        <f>ROUND(('Development Schedule'!N64+'Development Schedule'!N67)/$B$30,0)</f>
        <v>0</v>
      </c>
    </row>
    <row r="28" spans="1:13" ht="14" customHeight="1" x14ac:dyDescent="0.15">
      <c r="A28" s="1011" t="s">
        <v>110</v>
      </c>
      <c r="B28" s="1106"/>
      <c r="C28" s="1114"/>
      <c r="D28" s="1123">
        <v>0</v>
      </c>
      <c r="E28" s="1121">
        <f t="shared" ref="E28:K28" si="3">D28</f>
        <v>0</v>
      </c>
      <c r="F28" s="1124">
        <f t="shared" si="3"/>
        <v>0</v>
      </c>
      <c r="G28" s="1123">
        <f t="shared" si="3"/>
        <v>0</v>
      </c>
      <c r="H28" s="1121">
        <f t="shared" si="3"/>
        <v>0</v>
      </c>
      <c r="I28" s="1213">
        <f t="shared" si="3"/>
        <v>0</v>
      </c>
      <c r="J28" s="1214">
        <f t="shared" si="3"/>
        <v>0</v>
      </c>
      <c r="K28" s="1121">
        <f t="shared" si="3"/>
        <v>0</v>
      </c>
      <c r="L28" s="1121">
        <f>ROUND($C$55/2,0)</f>
        <v>38</v>
      </c>
      <c r="M28" s="1121">
        <f>ROUND($C$55/2,0)</f>
        <v>38</v>
      </c>
    </row>
    <row r="29" spans="1:13" ht="13.5" customHeight="1" x14ac:dyDescent="0.15">
      <c r="A29" s="1011" t="s">
        <v>111</v>
      </c>
      <c r="B29" s="1038"/>
      <c r="C29" s="1112"/>
      <c r="D29" s="1123">
        <f>SUM($D$28:D28)</f>
        <v>0</v>
      </c>
      <c r="E29" s="1121">
        <f>SUM($D$28:E28)</f>
        <v>0</v>
      </c>
      <c r="F29" s="1124">
        <f>SUM($D$28:F28)</f>
        <v>0</v>
      </c>
      <c r="G29" s="1123">
        <f>SUM($D$28:G28)</f>
        <v>0</v>
      </c>
      <c r="H29" s="1121">
        <f>SUM($D$28:H28)</f>
        <v>0</v>
      </c>
      <c r="I29" s="1124">
        <f>SUM($D$28:L28)</f>
        <v>38</v>
      </c>
      <c r="J29" s="1121">
        <f>SUM($D$28:M28)</f>
        <v>76</v>
      </c>
      <c r="K29" s="1121">
        <f>SUM($D$28:K28)</f>
        <v>0</v>
      </c>
      <c r="L29" s="1121">
        <f>SUM($D$28:L28)</f>
        <v>38</v>
      </c>
      <c r="M29" s="1124">
        <f>SUM($D$28:M28)</f>
        <v>76</v>
      </c>
    </row>
    <row r="30" spans="1:13" ht="14" customHeight="1" x14ac:dyDescent="0.15">
      <c r="A30" s="1011" t="s">
        <v>39</v>
      </c>
      <c r="B30" s="1121">
        <v>750</v>
      </c>
      <c r="C30" s="1112"/>
      <c r="D30" s="1123"/>
      <c r="E30" s="1121"/>
      <c r="F30" s="1124"/>
      <c r="G30" s="1123"/>
      <c r="H30" s="1121"/>
      <c r="I30" s="1124"/>
      <c r="J30" s="1121"/>
      <c r="K30" s="1121"/>
      <c r="L30" s="1121"/>
      <c r="M30" s="1124"/>
    </row>
    <row r="31" spans="1:13" ht="14" customHeight="1" x14ac:dyDescent="0.15">
      <c r="A31" s="1011" t="s">
        <v>42</v>
      </c>
      <c r="B31" s="1038"/>
      <c r="C31" s="1112"/>
      <c r="D31" s="1215">
        <f>SUM($D$27:D27)*$B$30</f>
        <v>0</v>
      </c>
      <c r="E31" s="1216">
        <f>SUM($D$27:E27)*$B$30</f>
        <v>0</v>
      </c>
      <c r="F31" s="1217">
        <f>SUM($D$27:F27)*$B$30</f>
        <v>0</v>
      </c>
      <c r="G31" s="1215">
        <f>SUM($D$27:G27)*$B$30</f>
        <v>0</v>
      </c>
      <c r="H31" s="1216">
        <f>SUM($D$27:H27)*$B$30</f>
        <v>0</v>
      </c>
      <c r="I31" s="1217">
        <f>SUM($D$27:I27)*$B$30</f>
        <v>0</v>
      </c>
      <c r="J31" s="1216">
        <f>SUM($D$27:J27)*$B$30</f>
        <v>0</v>
      </c>
      <c r="K31" s="1216">
        <f>SUM($D$27:K27)*$B$30</f>
        <v>57000</v>
      </c>
      <c r="L31" s="1216">
        <f>SUM($D$27:L27)*$B$30</f>
        <v>57000</v>
      </c>
      <c r="M31" s="1217">
        <f>SUM($D$27:M27)*$B$30</f>
        <v>57000</v>
      </c>
    </row>
    <row r="32" spans="1:13" ht="14" customHeight="1" thickBot="1" x14ac:dyDescent="0.2">
      <c r="A32" s="1088" t="s">
        <v>112</v>
      </c>
      <c r="B32" s="1154"/>
      <c r="C32" s="1205">
        <f>C23</f>
        <v>728.28</v>
      </c>
      <c r="D32" s="1206">
        <f t="shared" ref="D32:M32" si="4">D23</f>
        <v>742.84559999999999</v>
      </c>
      <c r="E32" s="1207">
        <f t="shared" si="4"/>
        <v>757.70251199999996</v>
      </c>
      <c r="F32" s="1208">
        <f t="shared" si="4"/>
        <v>772.8565622399999</v>
      </c>
      <c r="G32" s="1206">
        <f t="shared" si="4"/>
        <v>788.31369348479996</v>
      </c>
      <c r="H32" s="1207">
        <f t="shared" si="4"/>
        <v>804.07996735449603</v>
      </c>
      <c r="I32" s="1208">
        <f t="shared" si="4"/>
        <v>820.16156670158591</v>
      </c>
      <c r="J32" s="1207">
        <f t="shared" si="4"/>
        <v>836.56479803561751</v>
      </c>
      <c r="K32" s="1207">
        <f t="shared" si="4"/>
        <v>853.29609399632989</v>
      </c>
      <c r="L32" s="1207">
        <f t="shared" si="4"/>
        <v>870.36201587625646</v>
      </c>
      <c r="M32" s="1208">
        <f t="shared" si="4"/>
        <v>887.76925619378164</v>
      </c>
    </row>
    <row r="33" spans="1:13" ht="14" thickBot="1" x14ac:dyDescent="0.2">
      <c r="A33" s="1023" t="s">
        <v>0</v>
      </c>
      <c r="B33" s="1142"/>
      <c r="C33" s="1143"/>
      <c r="D33" s="1144"/>
      <c r="E33" s="1142"/>
      <c r="F33" s="1145"/>
      <c r="G33" s="1144"/>
      <c r="H33" s="1142"/>
      <c r="I33" s="1145"/>
      <c r="J33" s="1142"/>
      <c r="K33" s="1142"/>
      <c r="L33" s="1142"/>
      <c r="M33" s="1145"/>
    </row>
    <row r="34" spans="1:13" ht="14" customHeight="1" x14ac:dyDescent="0.15">
      <c r="A34" s="1011" t="s">
        <v>16</v>
      </c>
      <c r="B34" s="1038"/>
      <c r="C34" s="1162">
        <f>SUM(C19,C28,C10)*$B$21*C23</f>
        <v>0</v>
      </c>
      <c r="D34" s="1163">
        <f t="shared" ref="D34:M34" si="5">SUM(D19,D28,D10)*$B$21*D23</f>
        <v>0</v>
      </c>
      <c r="E34" s="1147">
        <f t="shared" si="5"/>
        <v>58296621.003263988</v>
      </c>
      <c r="F34" s="1148">
        <f t="shared" si="5"/>
        <v>59462553.423329264</v>
      </c>
      <c r="G34" s="1163">
        <f t="shared" si="5"/>
        <v>60651804.491795853</v>
      </c>
      <c r="H34" s="1147">
        <f t="shared" si="5"/>
        <v>0</v>
      </c>
      <c r="I34" s="1148">
        <f t="shared" si="5"/>
        <v>0</v>
      </c>
      <c r="J34" s="1147">
        <f t="shared" si="5"/>
        <v>0</v>
      </c>
      <c r="K34" s="1147">
        <f t="shared" si="5"/>
        <v>0</v>
      </c>
      <c r="L34" s="1147">
        <f t="shared" si="5"/>
        <v>24805317.452473309</v>
      </c>
      <c r="M34" s="1147">
        <f t="shared" si="5"/>
        <v>25301423.801522776</v>
      </c>
    </row>
    <row r="35" spans="1:13" ht="14" customHeight="1" x14ac:dyDescent="0.15">
      <c r="A35" s="1011" t="s">
        <v>43</v>
      </c>
      <c r="B35" s="1106">
        <f>D58</f>
        <v>0.05</v>
      </c>
      <c r="C35" s="1168">
        <f>C34*-$B$35</f>
        <v>0</v>
      </c>
      <c r="D35" s="1169">
        <f t="shared" ref="D35:M35" si="6">D34*-$B$35</f>
        <v>0</v>
      </c>
      <c r="E35" s="1170">
        <f t="shared" si="6"/>
        <v>-2914831.0501631997</v>
      </c>
      <c r="F35" s="1171">
        <f t="shared" si="6"/>
        <v>-2973127.6711664633</v>
      </c>
      <c r="G35" s="1169">
        <f t="shared" si="6"/>
        <v>-3032590.224589793</v>
      </c>
      <c r="H35" s="1170">
        <f t="shared" si="6"/>
        <v>0</v>
      </c>
      <c r="I35" s="1171">
        <f t="shared" si="6"/>
        <v>0</v>
      </c>
      <c r="J35" s="1170">
        <f t="shared" si="6"/>
        <v>0</v>
      </c>
      <c r="K35" s="1170">
        <f t="shared" si="6"/>
        <v>0</v>
      </c>
      <c r="L35" s="1170">
        <f t="shared" si="6"/>
        <v>-1240265.8726236655</v>
      </c>
      <c r="M35" s="1171">
        <f t="shared" si="6"/>
        <v>-1265071.1900761388</v>
      </c>
    </row>
    <row r="36" spans="1:13" ht="14" customHeight="1" x14ac:dyDescent="0.15">
      <c r="A36" s="1099" t="s">
        <v>44</v>
      </c>
      <c r="B36" s="1149">
        <f>D59</f>
        <v>0.05</v>
      </c>
      <c r="C36" s="1150">
        <f>C34*-$B$36</f>
        <v>0</v>
      </c>
      <c r="D36" s="1151">
        <f>D34*-$B$36</f>
        <v>0</v>
      </c>
      <c r="E36" s="1152">
        <f t="shared" ref="E36:M36" si="7">E34*-$B$36</f>
        <v>-2914831.0501631997</v>
      </c>
      <c r="F36" s="1153">
        <f t="shared" si="7"/>
        <v>-2973127.6711664633</v>
      </c>
      <c r="G36" s="1151">
        <f t="shared" si="7"/>
        <v>-3032590.224589793</v>
      </c>
      <c r="H36" s="1152">
        <f t="shared" si="7"/>
        <v>0</v>
      </c>
      <c r="I36" s="1153">
        <f t="shared" si="7"/>
        <v>0</v>
      </c>
      <c r="J36" s="1152">
        <f t="shared" si="7"/>
        <v>0</v>
      </c>
      <c r="K36" s="1152">
        <f t="shared" si="7"/>
        <v>0</v>
      </c>
      <c r="L36" s="1152">
        <f t="shared" si="7"/>
        <v>-1240265.8726236655</v>
      </c>
      <c r="M36" s="1153">
        <f t="shared" si="7"/>
        <v>-1265071.1900761388</v>
      </c>
    </row>
    <row r="37" spans="1:13" ht="14" customHeight="1" thickBot="1" x14ac:dyDescent="0.2">
      <c r="A37" s="1053" t="s">
        <v>5</v>
      </c>
      <c r="B37" s="1154"/>
      <c r="C37" s="1155">
        <f>SUM(C34:C36)</f>
        <v>0</v>
      </c>
      <c r="D37" s="1156">
        <f t="shared" ref="D37:M37" si="8">SUM(D34:D36)</f>
        <v>0</v>
      </c>
      <c r="E37" s="1157">
        <f t="shared" si="8"/>
        <v>52466958.902937584</v>
      </c>
      <c r="F37" s="1158">
        <f t="shared" si="8"/>
        <v>53516298.080996335</v>
      </c>
      <c r="G37" s="1156">
        <f t="shared" si="8"/>
        <v>54586624.042616263</v>
      </c>
      <c r="H37" s="1157">
        <f t="shared" si="8"/>
        <v>0</v>
      </c>
      <c r="I37" s="1158">
        <f t="shared" si="8"/>
        <v>0</v>
      </c>
      <c r="J37" s="1157">
        <f t="shared" si="8"/>
        <v>0</v>
      </c>
      <c r="K37" s="1157">
        <f t="shared" si="8"/>
        <v>0</v>
      </c>
      <c r="L37" s="1157">
        <f t="shared" si="8"/>
        <v>22324785.707225975</v>
      </c>
      <c r="M37" s="1158">
        <f t="shared" si="8"/>
        <v>22771281.421370499</v>
      </c>
    </row>
    <row r="38" spans="1:13" ht="14" thickBot="1" x14ac:dyDescent="0.2">
      <c r="A38" s="1023" t="s">
        <v>2</v>
      </c>
      <c r="B38" s="1145"/>
      <c r="C38" s="1143"/>
      <c r="D38" s="1144"/>
      <c r="E38" s="1142"/>
      <c r="F38" s="1145"/>
      <c r="G38" s="1144"/>
      <c r="H38" s="1142"/>
      <c r="I38" s="1145"/>
      <c r="J38" s="1142"/>
      <c r="K38" s="1142"/>
      <c r="L38" s="1142"/>
      <c r="M38" s="1145"/>
    </row>
    <row r="39" spans="1:13" s="882" customFormat="1" x14ac:dyDescent="0.15">
      <c r="A39" s="1011" t="s">
        <v>104</v>
      </c>
      <c r="B39" s="1113"/>
      <c r="C39" s="1125">
        <f>'Summary Board'!F98</f>
        <v>289.68979200000001</v>
      </c>
      <c r="D39" s="1135">
        <f t="shared" ref="D39:M39" si="9">$C$39*(1+$B$17)^D4</f>
        <v>295.48358784000004</v>
      </c>
      <c r="E39" s="1126">
        <f t="shared" si="9"/>
        <v>301.39325959680002</v>
      </c>
      <c r="F39" s="1127">
        <f t="shared" si="9"/>
        <v>307.42112478873599</v>
      </c>
      <c r="G39" s="1135">
        <f t="shared" si="9"/>
        <v>313.56954728451075</v>
      </c>
      <c r="H39" s="1126">
        <f t="shared" si="9"/>
        <v>319.84093823020095</v>
      </c>
      <c r="I39" s="1127">
        <f t="shared" si="9"/>
        <v>326.23775699480501</v>
      </c>
      <c r="J39" s="1126">
        <f t="shared" si="9"/>
        <v>332.76251213470101</v>
      </c>
      <c r="K39" s="1126">
        <f t="shared" si="9"/>
        <v>339.41776237739504</v>
      </c>
      <c r="L39" s="1126">
        <f t="shared" si="9"/>
        <v>346.20611762494298</v>
      </c>
      <c r="M39" s="1127">
        <f t="shared" si="9"/>
        <v>353.13023997744182</v>
      </c>
    </row>
    <row r="40" spans="1:13" ht="14" customHeight="1" x14ac:dyDescent="0.15">
      <c r="A40" s="1011" t="s">
        <v>13</v>
      </c>
      <c r="B40" s="1113"/>
      <c r="C40" s="1160">
        <f>C41/SUM($C$41:$M$41)</f>
        <v>0</v>
      </c>
      <c r="D40" s="1108">
        <f t="shared" ref="D40:M40" si="10">D41/SUM($C$41:$M$41)</f>
        <v>0.51595941674631973</v>
      </c>
      <c r="E40" s="1109">
        <f t="shared" si="10"/>
        <v>0.26313930254062307</v>
      </c>
      <c r="F40" s="1161">
        <f t="shared" si="10"/>
        <v>0</v>
      </c>
      <c r="G40" s="1108">
        <f t="shared" si="10"/>
        <v>0</v>
      </c>
      <c r="H40" s="1109">
        <f t="shared" si="10"/>
        <v>0</v>
      </c>
      <c r="I40" s="1161">
        <f t="shared" si="10"/>
        <v>0</v>
      </c>
      <c r="J40" s="1109">
        <f t="shared" si="10"/>
        <v>0</v>
      </c>
      <c r="K40" s="1109">
        <f t="shared" si="10"/>
        <v>0.22090128071305726</v>
      </c>
      <c r="L40" s="1109">
        <f t="shared" si="10"/>
        <v>0</v>
      </c>
      <c r="M40" s="1161">
        <f t="shared" si="10"/>
        <v>0</v>
      </c>
    </row>
    <row r="41" spans="1:13" ht="14" customHeight="1" x14ac:dyDescent="0.15">
      <c r="A41" s="1011" t="s">
        <v>2</v>
      </c>
      <c r="B41" s="1113"/>
      <c r="C41" s="1162">
        <f>C39*'Development Schedule'!D81</f>
        <v>0</v>
      </c>
      <c r="D41" s="1163">
        <f>D39*'Development Schedule'!E81</f>
        <v>45468226.540584959</v>
      </c>
      <c r="E41" s="1147">
        <f>E39*'Development Schedule'!F81</f>
        <v>23188795.535698328</v>
      </c>
      <c r="F41" s="1148">
        <f>F39*'Development Schedule'!G81</f>
        <v>0</v>
      </c>
      <c r="G41" s="1163">
        <f>G39*'Development Schedule'!H81</f>
        <v>0</v>
      </c>
      <c r="H41" s="1147">
        <f>H39*'Development Schedule'!I81</f>
        <v>0</v>
      </c>
      <c r="I41" s="1148">
        <f>I39*'Development Schedule'!J81</f>
        <v>0</v>
      </c>
      <c r="J41" s="1147">
        <f>J39*'Development Schedule'!K81</f>
        <v>0</v>
      </c>
      <c r="K41" s="1147">
        <f>K39*'Development Schedule'!L81</f>
        <v>19466626.925630737</v>
      </c>
      <c r="L41" s="1147">
        <f>L39*'Development Schedule'!M81</f>
        <v>0</v>
      </c>
      <c r="M41" s="1148">
        <f>M39*'Development Schedule'!N81</f>
        <v>0</v>
      </c>
    </row>
    <row r="42" spans="1:13" ht="14" customHeight="1" x14ac:dyDescent="0.15">
      <c r="A42" s="1099" t="s">
        <v>14</v>
      </c>
      <c r="B42" s="1218"/>
      <c r="C42" s="1150"/>
      <c r="D42" s="1151"/>
      <c r="E42" s="1152"/>
      <c r="F42" s="1153"/>
      <c r="G42" s="1151"/>
      <c r="H42" s="1152"/>
      <c r="I42" s="1153"/>
      <c r="J42" s="1152"/>
      <c r="K42" s="1152"/>
      <c r="L42" s="1152"/>
      <c r="M42" s="1153"/>
    </row>
    <row r="43" spans="1:13" ht="14" customHeight="1" thickBot="1" x14ac:dyDescent="0.2">
      <c r="A43" s="1053" t="s">
        <v>3</v>
      </c>
      <c r="B43" s="1219"/>
      <c r="C43" s="1155">
        <f>SUM(C41:C42)</f>
        <v>0</v>
      </c>
      <c r="D43" s="1156">
        <f t="shared" ref="D43:M43" si="11">SUM(D41:D42)</f>
        <v>45468226.540584959</v>
      </c>
      <c r="E43" s="1157">
        <f t="shared" si="11"/>
        <v>23188795.535698328</v>
      </c>
      <c r="F43" s="1158">
        <f t="shared" si="11"/>
        <v>0</v>
      </c>
      <c r="G43" s="1156">
        <f t="shared" si="11"/>
        <v>0</v>
      </c>
      <c r="H43" s="1157">
        <f t="shared" si="11"/>
        <v>0</v>
      </c>
      <c r="I43" s="1158">
        <f t="shared" si="11"/>
        <v>0</v>
      </c>
      <c r="J43" s="1157">
        <f t="shared" si="11"/>
        <v>0</v>
      </c>
      <c r="K43" s="1157">
        <f t="shared" si="11"/>
        <v>19466626.925630737</v>
      </c>
      <c r="L43" s="1157">
        <f t="shared" si="11"/>
        <v>0</v>
      </c>
      <c r="M43" s="1158">
        <f t="shared" si="11"/>
        <v>0</v>
      </c>
    </row>
    <row r="44" spans="1:13" ht="14" thickBot="1" x14ac:dyDescent="0.2">
      <c r="A44" s="1023" t="s">
        <v>4</v>
      </c>
      <c r="B44" s="1142"/>
      <c r="C44" s="1220"/>
      <c r="D44" s="1221"/>
      <c r="E44" s="1222"/>
      <c r="F44" s="1223"/>
      <c r="G44" s="1221"/>
      <c r="H44" s="1222"/>
      <c r="I44" s="1223"/>
      <c r="J44" s="1222"/>
      <c r="K44" s="1222"/>
      <c r="L44" s="1222"/>
      <c r="M44" s="1223"/>
    </row>
    <row r="45" spans="1:13" ht="14" customHeight="1" x14ac:dyDescent="0.15">
      <c r="A45" s="1011" t="s">
        <v>5</v>
      </c>
      <c r="B45" s="1038"/>
      <c r="C45" s="1162">
        <f>C37</f>
        <v>0</v>
      </c>
      <c r="D45" s="1163">
        <f t="shared" ref="D45:L45" si="12">D37</f>
        <v>0</v>
      </c>
      <c r="E45" s="1147">
        <f t="shared" si="12"/>
        <v>52466958.902937584</v>
      </c>
      <c r="F45" s="1148">
        <f t="shared" si="12"/>
        <v>53516298.080996335</v>
      </c>
      <c r="G45" s="1163">
        <f t="shared" si="12"/>
        <v>54586624.042616263</v>
      </c>
      <c r="H45" s="1147">
        <f t="shared" si="12"/>
        <v>0</v>
      </c>
      <c r="I45" s="1148">
        <f t="shared" si="12"/>
        <v>0</v>
      </c>
      <c r="J45" s="1147">
        <f t="shared" si="12"/>
        <v>0</v>
      </c>
      <c r="K45" s="1147">
        <f t="shared" si="12"/>
        <v>0</v>
      </c>
      <c r="L45" s="1147">
        <f t="shared" si="12"/>
        <v>22324785.707225975</v>
      </c>
      <c r="M45" s="1148">
        <f>M37</f>
        <v>22771281.421370499</v>
      </c>
    </row>
    <row r="46" spans="1:13" ht="14" customHeight="1" x14ac:dyDescent="0.15">
      <c r="A46" s="1099" t="s">
        <v>105</v>
      </c>
      <c r="B46" s="1224"/>
      <c r="C46" s="1150">
        <f>-C43</f>
        <v>0</v>
      </c>
      <c r="D46" s="1151">
        <f t="shared" ref="D46:M46" si="13">-D43</f>
        <v>-45468226.540584959</v>
      </c>
      <c r="E46" s="1152">
        <f t="shared" si="13"/>
        <v>-23188795.535698328</v>
      </c>
      <c r="F46" s="1153">
        <f t="shared" si="13"/>
        <v>0</v>
      </c>
      <c r="G46" s="1151">
        <f t="shared" si="13"/>
        <v>0</v>
      </c>
      <c r="H46" s="1152">
        <f t="shared" si="13"/>
        <v>0</v>
      </c>
      <c r="I46" s="1153">
        <f t="shared" si="13"/>
        <v>0</v>
      </c>
      <c r="J46" s="1152">
        <f t="shared" si="13"/>
        <v>0</v>
      </c>
      <c r="K46" s="1152">
        <f t="shared" si="13"/>
        <v>-19466626.925630737</v>
      </c>
      <c r="L46" s="1152">
        <f t="shared" si="13"/>
        <v>0</v>
      </c>
      <c r="M46" s="1153">
        <f t="shared" si="13"/>
        <v>0</v>
      </c>
    </row>
    <row r="47" spans="1:13" ht="14" customHeight="1" thickBot="1" x14ac:dyDescent="0.2">
      <c r="A47" s="1100" t="s">
        <v>6</v>
      </c>
      <c r="B47" s="1225"/>
      <c r="C47" s="1155">
        <f>SUM(C45:C46)</f>
        <v>0</v>
      </c>
      <c r="D47" s="1156">
        <f t="shared" ref="D47:M47" si="14">SUM(D45:D46)</f>
        <v>-45468226.540584959</v>
      </c>
      <c r="E47" s="1157">
        <f t="shared" si="14"/>
        <v>29278163.367239255</v>
      </c>
      <c r="F47" s="1158">
        <f t="shared" si="14"/>
        <v>53516298.080996335</v>
      </c>
      <c r="G47" s="1156">
        <f t="shared" si="14"/>
        <v>54586624.042616263</v>
      </c>
      <c r="H47" s="1157">
        <f t="shared" si="14"/>
        <v>0</v>
      </c>
      <c r="I47" s="1158">
        <f t="shared" si="14"/>
        <v>0</v>
      </c>
      <c r="J47" s="1157">
        <f t="shared" si="14"/>
        <v>0</v>
      </c>
      <c r="K47" s="1157">
        <f t="shared" si="14"/>
        <v>-19466626.925630737</v>
      </c>
      <c r="L47" s="1157">
        <f t="shared" si="14"/>
        <v>22324785.707225975</v>
      </c>
      <c r="M47" s="1158">
        <f t="shared" si="14"/>
        <v>22771281.421370499</v>
      </c>
    </row>
    <row r="48" spans="1:13" ht="14" thickBot="1" x14ac:dyDescent="0.2">
      <c r="A48" s="988" t="s">
        <v>27</v>
      </c>
      <c r="B48" s="1172"/>
      <c r="C48" s="1226">
        <f>C47+NPV(D60,D47:M47)</f>
        <v>73051960.231063381</v>
      </c>
      <c r="D48" s="1037"/>
      <c r="E48" s="1038"/>
      <c r="F48" s="1113"/>
      <c r="G48" s="1037"/>
      <c r="H48" s="1038"/>
      <c r="I48" s="1113"/>
      <c r="J48" s="1038"/>
      <c r="K48" s="1038"/>
      <c r="L48" s="1038"/>
      <c r="M48" s="1113"/>
    </row>
    <row r="49" spans="1:13" ht="14" thickBot="1" x14ac:dyDescent="0.2">
      <c r="A49" s="989" t="s">
        <v>62</v>
      </c>
      <c r="B49" s="1176"/>
      <c r="C49" s="1177">
        <f>IRR(C47:M47,0)</f>
        <v>0.72800728070048693</v>
      </c>
      <c r="D49" s="1178"/>
      <c r="E49" s="1176"/>
      <c r="F49" s="1179"/>
      <c r="G49" s="1178"/>
      <c r="H49" s="1176"/>
      <c r="I49" s="1179"/>
      <c r="J49" s="1176"/>
      <c r="K49" s="1176"/>
      <c r="L49" s="1176"/>
      <c r="M49" s="1179"/>
    </row>
    <row r="50" spans="1:13" ht="14" thickBot="1" x14ac:dyDescent="0.2">
      <c r="A50" s="882"/>
      <c r="B50" s="883"/>
      <c r="C50" s="883"/>
      <c r="D50" s="882"/>
      <c r="E50" s="882"/>
      <c r="F50" s="882"/>
      <c r="G50" s="882"/>
      <c r="H50" s="882"/>
      <c r="I50" s="882"/>
      <c r="J50" s="882"/>
      <c r="K50" s="882"/>
      <c r="L50" s="882"/>
      <c r="M50" s="882"/>
    </row>
    <row r="51" spans="1:13" ht="14" thickBot="1" x14ac:dyDescent="0.2">
      <c r="A51" s="1478" t="s">
        <v>99</v>
      </c>
      <c r="B51" s="1474"/>
      <c r="C51" s="1474"/>
      <c r="D51" s="1479"/>
      <c r="E51" s="882"/>
      <c r="F51" s="882"/>
      <c r="G51" s="882"/>
      <c r="H51" s="882"/>
      <c r="I51" s="882"/>
      <c r="J51" s="882"/>
      <c r="K51" s="882"/>
      <c r="L51" s="882"/>
      <c r="M51" s="882"/>
    </row>
    <row r="52" spans="1:13" ht="14" thickBot="1" x14ac:dyDescent="0.2">
      <c r="A52" s="1056"/>
      <c r="B52" s="1052"/>
      <c r="C52" s="1102" t="s">
        <v>97</v>
      </c>
      <c r="D52" s="1103" t="s">
        <v>98</v>
      </c>
      <c r="E52" s="882"/>
      <c r="F52" s="882"/>
      <c r="G52" s="882"/>
      <c r="H52" s="882"/>
      <c r="I52" s="882"/>
      <c r="J52" s="882"/>
      <c r="K52" s="882"/>
      <c r="L52" s="882"/>
      <c r="M52" s="882"/>
    </row>
    <row r="53" spans="1:13" x14ac:dyDescent="0.15">
      <c r="A53" s="941" t="s">
        <v>37</v>
      </c>
      <c r="B53" s="532"/>
      <c r="C53" s="1074">
        <f>D53/$B$21</f>
        <v>307.75466666666665</v>
      </c>
      <c r="D53" s="1083">
        <f>SUM('Development Schedule'!E81:G81)</f>
        <v>230815.99999999997</v>
      </c>
      <c r="E53" s="882"/>
      <c r="F53" s="882"/>
      <c r="G53" s="882"/>
      <c r="H53" s="882"/>
      <c r="I53" s="882"/>
      <c r="J53" s="882"/>
      <c r="K53" s="882"/>
      <c r="L53" s="882"/>
      <c r="M53" s="882"/>
    </row>
    <row r="54" spans="1:13" x14ac:dyDescent="0.15">
      <c r="A54" s="941" t="s">
        <v>79</v>
      </c>
      <c r="B54" s="532"/>
      <c r="C54" s="1074">
        <f>D54/$B$21</f>
        <v>0</v>
      </c>
      <c r="D54" s="1083">
        <f>SUM('Development Schedule'!H81:J81)</f>
        <v>0</v>
      </c>
      <c r="E54" s="882"/>
      <c r="F54" s="882"/>
      <c r="G54" s="882"/>
      <c r="H54" s="882"/>
      <c r="I54" s="882"/>
      <c r="J54" s="882"/>
      <c r="K54" s="882"/>
      <c r="L54" s="882"/>
      <c r="M54" s="882"/>
    </row>
    <row r="55" spans="1:13" ht="14" thickBot="1" x14ac:dyDescent="0.2">
      <c r="A55" s="947" t="s">
        <v>80</v>
      </c>
      <c r="B55" s="1062"/>
      <c r="C55" s="1185">
        <f>D55/$B$30</f>
        <v>76.470666666666673</v>
      </c>
      <c r="D55" s="1186">
        <f>SUM('Development Schedule'!K81:N81)</f>
        <v>57353</v>
      </c>
      <c r="E55" s="882"/>
      <c r="F55" s="882"/>
      <c r="G55" s="882"/>
      <c r="H55" s="882"/>
      <c r="I55" s="882"/>
      <c r="J55" s="882"/>
      <c r="K55" s="882"/>
      <c r="L55" s="882"/>
      <c r="M55" s="882"/>
    </row>
    <row r="56" spans="1:13" ht="14" thickBot="1" x14ac:dyDescent="0.2">
      <c r="A56" s="882"/>
      <c r="B56" s="883"/>
      <c r="C56" s="883"/>
      <c r="D56" s="882"/>
      <c r="E56" s="882"/>
      <c r="F56" s="882"/>
      <c r="G56" s="882"/>
      <c r="H56" s="882"/>
      <c r="I56" s="882"/>
      <c r="J56" s="882"/>
      <c r="K56" s="882"/>
      <c r="L56" s="882"/>
      <c r="M56" s="882"/>
    </row>
    <row r="57" spans="1:13" ht="14" thickBot="1" x14ac:dyDescent="0.2">
      <c r="A57" s="1478" t="s">
        <v>106</v>
      </c>
      <c r="B57" s="1480"/>
      <c r="C57" s="1480"/>
      <c r="D57" s="1481"/>
      <c r="E57" s="882"/>
      <c r="F57" s="882"/>
      <c r="G57" s="882"/>
      <c r="H57" s="882"/>
      <c r="I57" s="882"/>
      <c r="J57" s="882"/>
      <c r="K57" s="882"/>
      <c r="L57" s="882"/>
      <c r="M57" s="882"/>
    </row>
    <row r="58" spans="1:13" x14ac:dyDescent="0.15">
      <c r="A58" s="941" t="s">
        <v>43</v>
      </c>
      <c r="B58" s="532"/>
      <c r="C58" s="532"/>
      <c r="D58" s="1095">
        <v>0.05</v>
      </c>
      <c r="E58" s="882"/>
      <c r="F58" s="882"/>
      <c r="G58" s="882"/>
      <c r="H58" s="882"/>
      <c r="I58" s="882"/>
      <c r="J58" s="882"/>
      <c r="K58" s="882"/>
      <c r="L58" s="882"/>
      <c r="M58" s="882"/>
    </row>
    <row r="59" spans="1:13" x14ac:dyDescent="0.15">
      <c r="A59" s="941" t="s">
        <v>44</v>
      </c>
      <c r="B59" s="532"/>
      <c r="C59" s="532"/>
      <c r="D59" s="1095">
        <v>0.05</v>
      </c>
      <c r="E59" s="882"/>
      <c r="F59" s="882"/>
      <c r="G59" s="882"/>
      <c r="H59" s="882"/>
      <c r="I59" s="882"/>
      <c r="J59" s="882"/>
      <c r="K59" s="882"/>
      <c r="L59" s="882"/>
      <c r="M59" s="882"/>
    </row>
    <row r="60" spans="1:13" ht="14" thickBot="1" x14ac:dyDescent="0.2">
      <c r="A60" s="947" t="s">
        <v>95</v>
      </c>
      <c r="B60" s="1062"/>
      <c r="C60" s="1062"/>
      <c r="D60" s="1093">
        <v>0.09</v>
      </c>
      <c r="E60" s="882"/>
      <c r="F60" s="882"/>
      <c r="G60" s="882"/>
      <c r="H60" s="882"/>
      <c r="I60" s="882"/>
      <c r="J60" s="882"/>
      <c r="K60" s="882"/>
      <c r="L60" s="882"/>
      <c r="M60" s="882"/>
    </row>
    <row r="61" spans="1:13" x14ac:dyDescent="0.15">
      <c r="A61" s="882"/>
      <c r="B61" s="883"/>
      <c r="C61" s="883"/>
      <c r="D61" s="882"/>
      <c r="E61" s="882"/>
      <c r="F61" s="882"/>
      <c r="G61" s="882"/>
      <c r="H61" s="882"/>
      <c r="I61" s="882"/>
      <c r="J61" s="882"/>
      <c r="K61" s="882"/>
      <c r="L61" s="882"/>
      <c r="M61" s="882"/>
    </row>
    <row r="62" spans="1:13" x14ac:dyDescent="0.15">
      <c r="A62" s="882"/>
      <c r="B62" s="883"/>
      <c r="C62" s="883"/>
      <c r="D62" s="882"/>
      <c r="E62" s="882"/>
      <c r="F62" s="882"/>
      <c r="G62" s="882"/>
      <c r="H62" s="882"/>
      <c r="I62" s="882"/>
      <c r="J62" s="882"/>
      <c r="K62" s="882"/>
      <c r="L62" s="882"/>
      <c r="M62" s="882"/>
    </row>
    <row r="63" spans="1:13" x14ac:dyDescent="0.15">
      <c r="A63" s="882"/>
      <c r="B63" s="883"/>
      <c r="C63" s="883"/>
      <c r="D63" s="882"/>
      <c r="E63" s="882"/>
      <c r="F63" s="882"/>
      <c r="G63" s="882"/>
      <c r="H63" s="882"/>
      <c r="I63" s="882"/>
      <c r="J63" s="882"/>
      <c r="K63" s="882"/>
      <c r="L63" s="882"/>
      <c r="M63" s="882"/>
    </row>
    <row r="64" spans="1:13" x14ac:dyDescent="0.15">
      <c r="A64" s="882"/>
      <c r="B64" s="883"/>
      <c r="C64" s="883"/>
      <c r="D64" s="882"/>
      <c r="E64" s="882"/>
      <c r="F64" s="882"/>
      <c r="G64" s="882"/>
      <c r="H64" s="882"/>
      <c r="I64" s="882"/>
      <c r="J64" s="882"/>
      <c r="K64" s="882"/>
      <c r="L64" s="882"/>
      <c r="M64" s="882"/>
    </row>
    <row r="65" spans="1:13" x14ac:dyDescent="0.15">
      <c r="A65" s="882"/>
      <c r="B65" s="883"/>
      <c r="C65" s="883"/>
      <c r="D65" s="882"/>
      <c r="E65" s="882"/>
      <c r="F65" s="882"/>
      <c r="G65" s="882"/>
      <c r="H65" s="882"/>
      <c r="I65" s="882"/>
      <c r="J65" s="882"/>
      <c r="K65" s="882"/>
      <c r="L65" s="882"/>
      <c r="M65" s="882"/>
    </row>
  </sheetData>
  <phoneticPr fontId="3" type="noConversion"/>
  <printOptions horizontalCentered="1"/>
  <pageMargins left="0.5" right="0.5" top="1" bottom="0.5" header="0.5" footer="0.5"/>
  <pageSetup scale="69" orientation="landscape" r:id="rId1"/>
  <headerFooter alignWithMargins="0">
    <oddHeader>&amp;L&amp;"Arial,Bold"3. Income Statement: Market-rate For Sale Housing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N66"/>
  <sheetViews>
    <sheetView view="pageBreakPreview" topLeftCell="A29" zoomScaleSheetLayoutView="100" workbookViewId="0">
      <selection activeCell="A62" sqref="A62:D62"/>
    </sheetView>
  </sheetViews>
  <sheetFormatPr baseColWidth="10" defaultColWidth="9.1640625" defaultRowHeight="13" x14ac:dyDescent="0.15"/>
  <cols>
    <col min="1" max="1" width="25.5" style="1192" bestFit="1" customWidth="1"/>
    <col min="2" max="2" width="12.6640625" style="1196" customWidth="1"/>
    <col min="3" max="3" width="13.6640625" style="1196" customWidth="1"/>
    <col min="4" max="13" width="13.6640625" style="1192" customWidth="1"/>
    <col min="14" max="14" width="14" style="1192" bestFit="1" customWidth="1"/>
    <col min="15" max="16384" width="9.1640625" style="1192"/>
  </cols>
  <sheetData>
    <row r="1" spans="1:13" ht="14" customHeight="1" thickBot="1" x14ac:dyDescent="0.2">
      <c r="A1" s="1190"/>
      <c r="B1" s="1191"/>
      <c r="C1" s="1191"/>
      <c r="D1" s="1190"/>
      <c r="E1" s="1190"/>
      <c r="F1" s="1190"/>
      <c r="G1" s="1190"/>
      <c r="H1" s="1190"/>
      <c r="I1" s="1190"/>
      <c r="J1" s="1190"/>
      <c r="K1" s="1190"/>
      <c r="L1" s="633" t="s">
        <v>96</v>
      </c>
      <c r="M1" s="634">
        <v>183690</v>
      </c>
    </row>
    <row r="2" spans="1:13" ht="14" customHeight="1" thickBot="1" x14ac:dyDescent="0.2">
      <c r="A2" s="1190"/>
      <c r="B2" s="1191"/>
      <c r="C2" s="1191"/>
      <c r="D2" s="1190"/>
      <c r="E2" s="1190"/>
      <c r="F2" s="1190"/>
      <c r="G2" s="1190"/>
      <c r="H2" s="1190"/>
      <c r="I2" s="1190"/>
      <c r="J2" s="1190"/>
      <c r="K2" s="1190"/>
      <c r="L2" s="1190"/>
      <c r="M2" s="1190"/>
    </row>
    <row r="3" spans="1:13" ht="14" customHeight="1" thickBot="1" x14ac:dyDescent="0.2">
      <c r="A3" s="933"/>
      <c r="B3" s="1065"/>
      <c r="C3" s="1004" t="s">
        <v>58</v>
      </c>
      <c r="D3" s="935" t="s">
        <v>37</v>
      </c>
      <c r="E3" s="936"/>
      <c r="F3" s="936"/>
      <c r="G3" s="935" t="s">
        <v>79</v>
      </c>
      <c r="H3" s="938"/>
      <c r="I3" s="937"/>
      <c r="J3" s="939" t="s">
        <v>80</v>
      </c>
      <c r="K3" s="939"/>
      <c r="L3" s="936"/>
      <c r="M3" s="937"/>
    </row>
    <row r="4" spans="1:13" ht="14" customHeight="1" thickBot="1" x14ac:dyDescent="0.2">
      <c r="A4" s="941"/>
      <c r="B4" s="532"/>
      <c r="C4" s="1004">
        <v>0</v>
      </c>
      <c r="D4" s="942">
        <f>C4+1</f>
        <v>1</v>
      </c>
      <c r="E4" s="943">
        <f t="shared" ref="E4:M5" si="0">D4+1</f>
        <v>2</v>
      </c>
      <c r="F4" s="943">
        <f t="shared" si="0"/>
        <v>3</v>
      </c>
      <c r="G4" s="942">
        <f t="shared" si="0"/>
        <v>4</v>
      </c>
      <c r="H4" s="945">
        <f t="shared" si="0"/>
        <v>5</v>
      </c>
      <c r="I4" s="944">
        <f t="shared" si="0"/>
        <v>6</v>
      </c>
      <c r="J4" s="943">
        <f t="shared" si="0"/>
        <v>7</v>
      </c>
      <c r="K4" s="943">
        <f t="shared" si="0"/>
        <v>8</v>
      </c>
      <c r="L4" s="943">
        <f t="shared" si="0"/>
        <v>9</v>
      </c>
      <c r="M4" s="944">
        <f t="shared" si="0"/>
        <v>10</v>
      </c>
    </row>
    <row r="5" spans="1:13" ht="14" customHeight="1" thickBot="1" x14ac:dyDescent="0.2">
      <c r="A5" s="947"/>
      <c r="B5" s="945"/>
      <c r="C5" s="1004" t="s">
        <v>362</v>
      </c>
      <c r="D5" s="942">
        <v>2020</v>
      </c>
      <c r="E5" s="943">
        <f>D5+1</f>
        <v>2021</v>
      </c>
      <c r="F5" s="943">
        <f t="shared" si="0"/>
        <v>2022</v>
      </c>
      <c r="G5" s="942">
        <f t="shared" si="0"/>
        <v>2023</v>
      </c>
      <c r="H5" s="943">
        <f t="shared" si="0"/>
        <v>2024</v>
      </c>
      <c r="I5" s="944">
        <f t="shared" si="0"/>
        <v>2025</v>
      </c>
      <c r="J5" s="943">
        <f t="shared" si="0"/>
        <v>2026</v>
      </c>
      <c r="K5" s="943">
        <f t="shared" si="0"/>
        <v>2027</v>
      </c>
      <c r="L5" s="943">
        <f>K5+1</f>
        <v>2028</v>
      </c>
      <c r="M5" s="944">
        <f>L5+1</f>
        <v>2029</v>
      </c>
    </row>
    <row r="6" spans="1:13" ht="14" thickBot="1" x14ac:dyDescent="0.2">
      <c r="A6" s="1023" t="s">
        <v>10</v>
      </c>
      <c r="B6" s="1066"/>
      <c r="C6" s="1067"/>
      <c r="D6" s="1068"/>
      <c r="E6" s="1069"/>
      <c r="F6" s="1069"/>
      <c r="G6" s="1068"/>
      <c r="H6" s="1069"/>
      <c r="I6" s="1070"/>
      <c r="J6" s="1069"/>
      <c r="K6" s="1069"/>
      <c r="L6" s="1069"/>
      <c r="M6" s="1070"/>
    </row>
    <row r="7" spans="1:13" x14ac:dyDescent="0.15">
      <c r="A7" s="1071" t="s">
        <v>37</v>
      </c>
      <c r="B7" s="1038"/>
      <c r="C7" s="1112"/>
      <c r="D7" s="1037"/>
      <c r="E7" s="1038"/>
      <c r="F7" s="1038"/>
      <c r="G7" s="1037"/>
      <c r="H7" s="1038"/>
      <c r="I7" s="1113"/>
      <c r="J7" s="1038"/>
      <c r="K7" s="1038"/>
      <c r="L7" s="1038"/>
      <c r="M7" s="1113"/>
    </row>
    <row r="8" spans="1:13" x14ac:dyDescent="0.15">
      <c r="A8" s="1011" t="s">
        <v>11</v>
      </c>
      <c r="B8" s="1201">
        <v>0.02</v>
      </c>
      <c r="C8" s="1114"/>
      <c r="D8" s="1115"/>
      <c r="E8" s="1116"/>
      <c r="F8" s="1116"/>
      <c r="G8" s="1115"/>
      <c r="H8" s="1116"/>
      <c r="I8" s="1117"/>
      <c r="J8" s="1116"/>
      <c r="K8" s="1116"/>
      <c r="L8" s="1116"/>
      <c r="M8" s="1117"/>
    </row>
    <row r="9" spans="1:13" ht="14" customHeight="1" x14ac:dyDescent="0.15">
      <c r="A9" s="1011" t="s">
        <v>100</v>
      </c>
      <c r="B9" s="1106"/>
      <c r="C9" s="1112"/>
      <c r="D9" s="1118">
        <f>ROUND('Development Schedule'!E31/$B$12,0)</f>
        <v>46</v>
      </c>
      <c r="E9" s="1119">
        <f>ROUND('Development Schedule'!F31/$B$12,0)</f>
        <v>23</v>
      </c>
      <c r="F9" s="1119">
        <f>ROUND('Development Schedule'!G31/$B$12,0)</f>
        <v>0</v>
      </c>
      <c r="G9" s="1118">
        <f>ROUND('Development Schedule'!H31/$B$12,0)</f>
        <v>0</v>
      </c>
      <c r="H9" s="1119">
        <f>ROUND('Development Schedule'!I31/$B$12,0)</f>
        <v>0</v>
      </c>
      <c r="I9" s="1120">
        <f>ROUND('Development Schedule'!J31/$B$12,0)</f>
        <v>0</v>
      </c>
      <c r="J9" s="1119">
        <f>ROUND('Development Schedule'!K31/$B$12,0)</f>
        <v>0</v>
      </c>
      <c r="K9" s="1119">
        <f>ROUND('Development Schedule'!L31/$B$12,0)</f>
        <v>0</v>
      </c>
      <c r="L9" s="1119">
        <f>ROUND('Development Schedule'!M31/$B$12,0)</f>
        <v>0</v>
      </c>
      <c r="M9" s="1120">
        <f>ROUND('Development Schedule'!N31/$B$12,0)</f>
        <v>0</v>
      </c>
    </row>
    <row r="10" spans="1:13" ht="14" customHeight="1" x14ac:dyDescent="0.15">
      <c r="A10" s="1011" t="s">
        <v>38</v>
      </c>
      <c r="B10" s="1038"/>
      <c r="C10" s="1112"/>
      <c r="D10" s="1118">
        <f>ROUND(D15*$C$58,0)</f>
        <v>0</v>
      </c>
      <c r="E10" s="1119">
        <f>E11-SUM($D$10:D10)</f>
        <v>21</v>
      </c>
      <c r="F10" s="1119">
        <f>F11-SUM($D$10:E10)</f>
        <v>30</v>
      </c>
      <c r="G10" s="1118">
        <f>G11-SUM($D$10:F10)</f>
        <v>17</v>
      </c>
      <c r="H10" s="1119">
        <f>H11-SUM($D$10:G10)</f>
        <v>0</v>
      </c>
      <c r="I10" s="1120">
        <f>I11-SUM($D$10:H10)</f>
        <v>0</v>
      </c>
      <c r="J10" s="1119">
        <f>J11-SUM($D$10:I10)</f>
        <v>0</v>
      </c>
      <c r="K10" s="1119">
        <f>K11-SUM($D$10:J10)</f>
        <v>0</v>
      </c>
      <c r="L10" s="1119">
        <f>L11-SUM($D$10:K10)</f>
        <v>0</v>
      </c>
      <c r="M10" s="1120">
        <f>M11-SUM($D$10:L10)</f>
        <v>0</v>
      </c>
    </row>
    <row r="11" spans="1:13" ht="14" customHeight="1" x14ac:dyDescent="0.15">
      <c r="A11" s="1011" t="s">
        <v>101</v>
      </c>
      <c r="B11" s="1121"/>
      <c r="C11" s="1112"/>
      <c r="D11" s="1118">
        <f t="shared" ref="D11:M11" si="1">ROUND(D15*$C$58,0)</f>
        <v>0</v>
      </c>
      <c r="E11" s="1119">
        <f t="shared" si="1"/>
        <v>21</v>
      </c>
      <c r="F11" s="1119">
        <f t="shared" si="1"/>
        <v>51</v>
      </c>
      <c r="G11" s="1118">
        <f t="shared" si="1"/>
        <v>68</v>
      </c>
      <c r="H11" s="1119">
        <f t="shared" si="1"/>
        <v>68</v>
      </c>
      <c r="I11" s="1120">
        <f t="shared" si="1"/>
        <v>68</v>
      </c>
      <c r="J11" s="1119">
        <f t="shared" si="1"/>
        <v>68</v>
      </c>
      <c r="K11" s="1119">
        <f t="shared" si="1"/>
        <v>68</v>
      </c>
      <c r="L11" s="1119">
        <f t="shared" si="1"/>
        <v>68</v>
      </c>
      <c r="M11" s="1120">
        <f t="shared" si="1"/>
        <v>68</v>
      </c>
    </row>
    <row r="12" spans="1:13" ht="14" customHeight="1" x14ac:dyDescent="0.15">
      <c r="A12" s="1011" t="s">
        <v>39</v>
      </c>
      <c r="B12" s="1121">
        <v>750</v>
      </c>
      <c r="C12" s="1112"/>
      <c r="D12" s="1037"/>
      <c r="E12" s="1038"/>
      <c r="F12" s="1038"/>
      <c r="G12" s="1037"/>
      <c r="H12" s="1038"/>
      <c r="I12" s="1113"/>
      <c r="J12" s="1038"/>
      <c r="K12" s="1038"/>
      <c r="L12" s="1038"/>
      <c r="M12" s="1113"/>
    </row>
    <row r="13" spans="1:13" ht="14" customHeight="1" x14ac:dyDescent="0.15">
      <c r="A13" s="1011" t="s">
        <v>40</v>
      </c>
      <c r="B13" s="1038"/>
      <c r="C13" s="1112"/>
      <c r="D13" s="1123">
        <f>SUM($D$9:D9)*$B$12</f>
        <v>34500</v>
      </c>
      <c r="E13" s="1121">
        <f>SUM($D$9:E9)*$B$12</f>
        <v>51750</v>
      </c>
      <c r="F13" s="1121">
        <f>SUM($D$9:F9)*$B$12</f>
        <v>51750</v>
      </c>
      <c r="G13" s="1123">
        <f>SUM($D$9:G9)*$B$12</f>
        <v>51750</v>
      </c>
      <c r="H13" s="1121">
        <f>SUM($D$9:H9)*$B$12</f>
        <v>51750</v>
      </c>
      <c r="I13" s="1124">
        <f>SUM($D$9:I9)*$B$12</f>
        <v>51750</v>
      </c>
      <c r="J13" s="1121">
        <f>SUM($D$9:J9)*$B$12</f>
        <v>51750</v>
      </c>
      <c r="K13" s="1121">
        <f>SUM($D$9:K9)*$B$12</f>
        <v>51750</v>
      </c>
      <c r="L13" s="1121">
        <f>SUM($D$9:L9)*$B$12</f>
        <v>51750</v>
      </c>
      <c r="M13" s="1124">
        <f>SUM($D$9:M9)*$B$12</f>
        <v>51750</v>
      </c>
    </row>
    <row r="14" spans="1:13" ht="14" customHeight="1" x14ac:dyDescent="0.15">
      <c r="A14" s="1011" t="s">
        <v>102</v>
      </c>
      <c r="B14" s="1038"/>
      <c r="C14" s="1227">
        <f>'Summary Board'!K102</f>
        <v>2.16</v>
      </c>
      <c r="D14" s="1135">
        <f>$C$14*(1+$B$8)^D$4</f>
        <v>2.2032000000000003</v>
      </c>
      <c r="E14" s="1126">
        <f t="shared" ref="E14:M14" si="2">$C$14*(1+$B$8)^E$4</f>
        <v>2.2472639999999999</v>
      </c>
      <c r="F14" s="1126">
        <f t="shared" si="2"/>
        <v>2.2922092799999998</v>
      </c>
      <c r="G14" s="1135">
        <f t="shared" si="2"/>
        <v>2.3380534656000003</v>
      </c>
      <c r="H14" s="1126">
        <f t="shared" si="2"/>
        <v>2.384814534912</v>
      </c>
      <c r="I14" s="1127">
        <f t="shared" si="2"/>
        <v>2.4325108256102403</v>
      </c>
      <c r="J14" s="1126">
        <f t="shared" si="2"/>
        <v>2.4811610421224444</v>
      </c>
      <c r="K14" s="1126">
        <f t="shared" si="2"/>
        <v>2.5307842629648936</v>
      </c>
      <c r="L14" s="1126">
        <f t="shared" si="2"/>
        <v>2.5813999482241914</v>
      </c>
      <c r="M14" s="1127">
        <f t="shared" si="2"/>
        <v>2.6330279471886757</v>
      </c>
    </row>
    <row r="15" spans="1:13" ht="14" customHeight="1" thickBot="1" x14ac:dyDescent="0.2">
      <c r="A15" s="1088" t="s">
        <v>41</v>
      </c>
      <c r="B15" s="1128"/>
      <c r="C15" s="1129"/>
      <c r="D15" s="1130">
        <v>0</v>
      </c>
      <c r="E15" s="1131">
        <v>0.3</v>
      </c>
      <c r="F15" s="1128">
        <v>0.75</v>
      </c>
      <c r="G15" s="1133">
        <v>1</v>
      </c>
      <c r="H15" s="1128">
        <f t="shared" ref="H15:M15" si="3">G15</f>
        <v>1</v>
      </c>
      <c r="I15" s="1132">
        <f t="shared" si="3"/>
        <v>1</v>
      </c>
      <c r="J15" s="1128">
        <f t="shared" si="3"/>
        <v>1</v>
      </c>
      <c r="K15" s="1128">
        <f t="shared" si="3"/>
        <v>1</v>
      </c>
      <c r="L15" s="1128">
        <f t="shared" si="3"/>
        <v>1</v>
      </c>
      <c r="M15" s="1132">
        <f t="shared" si="3"/>
        <v>1</v>
      </c>
    </row>
    <row r="16" spans="1:13" ht="4.5" customHeight="1" x14ac:dyDescent="0.15">
      <c r="A16" s="1011"/>
      <c r="B16" s="1106"/>
      <c r="C16" s="1137"/>
      <c r="D16" s="1109"/>
      <c r="E16" s="1109"/>
      <c r="F16" s="1106"/>
      <c r="G16" s="1111"/>
      <c r="H16" s="1106"/>
      <c r="I16" s="1110"/>
      <c r="J16" s="1106"/>
      <c r="K16" s="1106"/>
      <c r="L16" s="1106"/>
      <c r="M16" s="1110"/>
    </row>
    <row r="17" spans="1:13" x14ac:dyDescent="0.15">
      <c r="A17" s="1071" t="s">
        <v>79</v>
      </c>
      <c r="B17" s="1038"/>
      <c r="C17" s="1112"/>
      <c r="D17" s="1038"/>
      <c r="E17" s="1038"/>
      <c r="F17" s="1038"/>
      <c r="G17" s="1037"/>
      <c r="H17" s="1038"/>
      <c r="I17" s="1113"/>
      <c r="J17" s="1038"/>
      <c r="K17" s="1038"/>
      <c r="L17" s="1038"/>
      <c r="M17" s="1113"/>
    </row>
    <row r="18" spans="1:13" x14ac:dyDescent="0.15">
      <c r="A18" s="1011" t="s">
        <v>11</v>
      </c>
      <c r="B18" s="1106">
        <v>0.02</v>
      </c>
      <c r="C18" s="1114"/>
      <c r="D18" s="1116"/>
      <c r="E18" s="1116"/>
      <c r="F18" s="1116"/>
      <c r="G18" s="1115"/>
      <c r="H18" s="1116"/>
      <c r="I18" s="1117"/>
      <c r="J18" s="1116"/>
      <c r="K18" s="1116"/>
      <c r="L18" s="1116"/>
      <c r="M18" s="1117"/>
    </row>
    <row r="19" spans="1:13" ht="14" customHeight="1" x14ac:dyDescent="0.15">
      <c r="A19" s="1011" t="s">
        <v>100</v>
      </c>
      <c r="B19" s="1106"/>
      <c r="C19" s="1112"/>
      <c r="D19" s="1119">
        <f>ROUND(('Development Schedule'!E37+'Development Schedule'!E48)/$B$22,0)</f>
        <v>0</v>
      </c>
      <c r="E19" s="1119">
        <f>ROUND(('Development Schedule'!F37+'Development Schedule'!F48)/$B$22,0)</f>
        <v>0</v>
      </c>
      <c r="F19" s="1119">
        <f>ROUND(('Development Schedule'!G37+'Development Schedule'!G48)/$B$22,0)</f>
        <v>0</v>
      </c>
      <c r="G19" s="1118">
        <f>ROUND(('Development Schedule'!H37+'Development Schedule'!H48)/$B$22,0)</f>
        <v>0</v>
      </c>
      <c r="H19" s="1119">
        <f>ROUND(('Development Schedule'!I37+'Development Schedule'!I48)/$B$22,0)</f>
        <v>0</v>
      </c>
      <c r="I19" s="1120">
        <f>ROUND(('Development Schedule'!J37+'Development Schedule'!J48)/$B$22,0)</f>
        <v>0</v>
      </c>
      <c r="J19" s="1119">
        <f>ROUND(('Development Schedule'!K37+'Development Schedule'!K48)/$B$22,0)</f>
        <v>0</v>
      </c>
      <c r="K19" s="1119">
        <f>ROUND(('Development Schedule'!L37+'Development Schedule'!L48)/$B$22,0)</f>
        <v>0</v>
      </c>
      <c r="L19" s="1119">
        <f>ROUND(('Development Schedule'!M37+'Development Schedule'!M48)/$B$22,0)</f>
        <v>0</v>
      </c>
      <c r="M19" s="1120">
        <f>ROUND(('Development Schedule'!N37+'Development Schedule'!N48)/$B$22,0)</f>
        <v>0</v>
      </c>
    </row>
    <row r="20" spans="1:13" ht="14" customHeight="1" x14ac:dyDescent="0.15">
      <c r="A20" s="1011" t="s">
        <v>38</v>
      </c>
      <c r="B20" s="1038"/>
      <c r="C20" s="1112"/>
      <c r="D20" s="1119">
        <f>ROUND(D25*$C$59,0)</f>
        <v>0</v>
      </c>
      <c r="E20" s="1119">
        <f>E21-SUM($D$20:D20)</f>
        <v>0</v>
      </c>
      <c r="F20" s="1119">
        <f>F21-SUM($D$20:E20)</f>
        <v>0</v>
      </c>
      <c r="G20" s="1118">
        <f>G21-SUM($D$20:F20)</f>
        <v>0</v>
      </c>
      <c r="H20" s="1119">
        <f>H21-SUM($D$20:G20)</f>
        <v>0</v>
      </c>
      <c r="I20" s="1120">
        <f>I21-SUM($D$20:H20)</f>
        <v>0</v>
      </c>
      <c r="J20" s="1119">
        <f>J21-SUM($D$20:I20)</f>
        <v>0</v>
      </c>
      <c r="K20" s="1119">
        <f>K21-SUM($D$20:J20)</f>
        <v>0</v>
      </c>
      <c r="L20" s="1119">
        <f>L21-SUM($D$20:K20)</f>
        <v>0</v>
      </c>
      <c r="M20" s="1120">
        <f>M21-SUM($D$20:L20)</f>
        <v>0</v>
      </c>
    </row>
    <row r="21" spans="1:13" ht="14" customHeight="1" x14ac:dyDescent="0.15">
      <c r="A21" s="1011" t="s">
        <v>101</v>
      </c>
      <c r="B21" s="1121"/>
      <c r="C21" s="1112"/>
      <c r="D21" s="1119">
        <f t="shared" ref="D21:M21" si="4">ROUND(D25*$C$59,0)</f>
        <v>0</v>
      </c>
      <c r="E21" s="1119">
        <f t="shared" si="4"/>
        <v>0</v>
      </c>
      <c r="F21" s="1119">
        <f t="shared" si="4"/>
        <v>0</v>
      </c>
      <c r="G21" s="1118">
        <f t="shared" si="4"/>
        <v>0</v>
      </c>
      <c r="H21" s="1119">
        <f t="shared" si="4"/>
        <v>0</v>
      </c>
      <c r="I21" s="1120">
        <f t="shared" si="4"/>
        <v>0</v>
      </c>
      <c r="J21" s="1119">
        <f t="shared" si="4"/>
        <v>0</v>
      </c>
      <c r="K21" s="1119">
        <f t="shared" si="4"/>
        <v>0</v>
      </c>
      <c r="L21" s="1119">
        <f t="shared" si="4"/>
        <v>0</v>
      </c>
      <c r="M21" s="1120">
        <f t="shared" si="4"/>
        <v>0</v>
      </c>
    </row>
    <row r="22" spans="1:13" ht="14" customHeight="1" x14ac:dyDescent="0.15">
      <c r="A22" s="1011" t="s">
        <v>39</v>
      </c>
      <c r="B22" s="1121">
        <v>750</v>
      </c>
      <c r="C22" s="1112"/>
      <c r="D22" s="1038"/>
      <c r="E22" s="1038"/>
      <c r="F22" s="1038"/>
      <c r="G22" s="1037"/>
      <c r="H22" s="1038"/>
      <c r="I22" s="1113"/>
      <c r="J22" s="1038"/>
      <c r="K22" s="1038"/>
      <c r="L22" s="1038"/>
      <c r="M22" s="1113"/>
    </row>
    <row r="23" spans="1:13" ht="14" customHeight="1" x14ac:dyDescent="0.15">
      <c r="A23" s="1011" t="s">
        <v>40</v>
      </c>
      <c r="B23" s="1038"/>
      <c r="C23" s="1112"/>
      <c r="D23" s="1121">
        <f>SUM($D$19:D19)*$B$22</f>
        <v>0</v>
      </c>
      <c r="E23" s="1121">
        <f>SUM($D$19:E19)*$B$22</f>
        <v>0</v>
      </c>
      <c r="F23" s="1121">
        <f>SUM($D$19:F19)*$B$22</f>
        <v>0</v>
      </c>
      <c r="G23" s="1123">
        <f>SUM($D$19:G19)*$B$22</f>
        <v>0</v>
      </c>
      <c r="H23" s="1121">
        <f>SUM($D$19:H19)*$B$22</f>
        <v>0</v>
      </c>
      <c r="I23" s="1124">
        <f>SUM($D$19:I19)*$B$22</f>
        <v>0</v>
      </c>
      <c r="J23" s="1121">
        <f>SUM($D$19:J19)*$B$22</f>
        <v>0</v>
      </c>
      <c r="K23" s="1121">
        <f>SUM($D$19:K19)*$B$22</f>
        <v>0</v>
      </c>
      <c r="L23" s="1121">
        <f>SUM($D$19:L19)*$B$22</f>
        <v>0</v>
      </c>
      <c r="M23" s="1124">
        <f>SUM($D$19:M19)*$B$22</f>
        <v>0</v>
      </c>
    </row>
    <row r="24" spans="1:13" ht="14" customHeight="1" x14ac:dyDescent="0.15">
      <c r="A24" s="1011" t="s">
        <v>102</v>
      </c>
      <c r="B24" s="1038"/>
      <c r="C24" s="1134">
        <f>C14</f>
        <v>2.16</v>
      </c>
      <c r="D24" s="1126">
        <f t="shared" ref="D24:M24" si="5">D14</f>
        <v>2.2032000000000003</v>
      </c>
      <c r="E24" s="1126">
        <f t="shared" si="5"/>
        <v>2.2472639999999999</v>
      </c>
      <c r="F24" s="1126">
        <f t="shared" si="5"/>
        <v>2.2922092799999998</v>
      </c>
      <c r="G24" s="1135">
        <f t="shared" si="5"/>
        <v>2.3380534656000003</v>
      </c>
      <c r="H24" s="1126">
        <f t="shared" si="5"/>
        <v>2.384814534912</v>
      </c>
      <c r="I24" s="1127">
        <f t="shared" si="5"/>
        <v>2.4325108256102403</v>
      </c>
      <c r="J24" s="1126">
        <f t="shared" si="5"/>
        <v>2.4811610421224444</v>
      </c>
      <c r="K24" s="1126">
        <f t="shared" si="5"/>
        <v>2.5307842629648936</v>
      </c>
      <c r="L24" s="1126">
        <f t="shared" si="5"/>
        <v>2.5813999482241914</v>
      </c>
      <c r="M24" s="1127">
        <f t="shared" si="5"/>
        <v>2.6330279471886757</v>
      </c>
    </row>
    <row r="25" spans="1:13" ht="14" customHeight="1" thickBot="1" x14ac:dyDescent="0.2">
      <c r="A25" s="1088" t="s">
        <v>41</v>
      </c>
      <c r="B25" s="1128"/>
      <c r="C25" s="1129"/>
      <c r="D25" s="1131">
        <v>0</v>
      </c>
      <c r="E25" s="1131">
        <f>D25</f>
        <v>0</v>
      </c>
      <c r="F25" s="1128">
        <f>E25</f>
        <v>0</v>
      </c>
      <c r="G25" s="1133">
        <v>0.3</v>
      </c>
      <c r="H25" s="1128">
        <v>0.75</v>
      </c>
      <c r="I25" s="1132">
        <v>1</v>
      </c>
      <c r="J25" s="1128">
        <f>I25</f>
        <v>1</v>
      </c>
      <c r="K25" s="1128">
        <f>J25</f>
        <v>1</v>
      </c>
      <c r="L25" s="1128">
        <f>K25</f>
        <v>1</v>
      </c>
      <c r="M25" s="1132">
        <f>L25</f>
        <v>1</v>
      </c>
    </row>
    <row r="26" spans="1:13" ht="4.5" customHeight="1" x14ac:dyDescent="0.15">
      <c r="A26" s="1011"/>
      <c r="B26" s="1106"/>
      <c r="C26" s="1137"/>
      <c r="D26" s="1109"/>
      <c r="E26" s="1109"/>
      <c r="F26" s="1106"/>
      <c r="G26" s="1111"/>
      <c r="H26" s="1106"/>
      <c r="I26" s="1110"/>
      <c r="J26" s="1106"/>
      <c r="K26" s="1106"/>
      <c r="L26" s="1106"/>
      <c r="M26" s="1110"/>
    </row>
    <row r="27" spans="1:13" x14ac:dyDescent="0.15">
      <c r="A27" s="1071" t="s">
        <v>421</v>
      </c>
      <c r="B27" s="1038"/>
      <c r="C27" s="1112"/>
      <c r="D27" s="1038"/>
      <c r="E27" s="1038"/>
      <c r="F27" s="1038"/>
      <c r="G27" s="1037"/>
      <c r="H27" s="1038"/>
      <c r="I27" s="1113"/>
      <c r="J27" s="1038"/>
      <c r="K27" s="1038"/>
      <c r="L27" s="1038"/>
      <c r="M27" s="1113"/>
    </row>
    <row r="28" spans="1:13" x14ac:dyDescent="0.15">
      <c r="A28" s="1011" t="s">
        <v>11</v>
      </c>
      <c r="B28" s="1106">
        <v>0.02</v>
      </c>
      <c r="C28" s="1114"/>
      <c r="D28" s="1116"/>
      <c r="E28" s="1116"/>
      <c r="F28" s="1116"/>
      <c r="G28" s="1115"/>
      <c r="H28" s="1116"/>
      <c r="I28" s="1117"/>
      <c r="J28" s="1116"/>
      <c r="K28" s="1116"/>
      <c r="L28" s="1116"/>
      <c r="M28" s="1117"/>
    </row>
    <row r="29" spans="1:13" ht="14" customHeight="1" x14ac:dyDescent="0.15">
      <c r="A29" s="1011" t="s">
        <v>100</v>
      </c>
      <c r="B29" s="1106"/>
      <c r="C29" s="1112"/>
      <c r="D29" s="1119">
        <f>ROUND(('Development Schedule'!E60+'Development Schedule'!E71)/$B$32,0)</f>
        <v>0</v>
      </c>
      <c r="E29" s="1119">
        <f>ROUND(('Development Schedule'!F60+'Development Schedule'!F71)/$B$32,0)</f>
        <v>0</v>
      </c>
      <c r="F29" s="1119">
        <f>ROUND(('Development Schedule'!G60+'Development Schedule'!G71)/$B$32,0)</f>
        <v>0</v>
      </c>
      <c r="G29" s="1118">
        <f>ROUND(('Development Schedule'!H60+'Development Schedule'!H71)/$B$32,0)</f>
        <v>0</v>
      </c>
      <c r="H29" s="1119">
        <f>ROUND(('Development Schedule'!I60+'Development Schedule'!I71)/$B$32,0)</f>
        <v>0</v>
      </c>
      <c r="I29" s="1120">
        <f>ROUND(('Development Schedule'!J60+'Development Schedule'!J71)/$B$32,0)</f>
        <v>0</v>
      </c>
      <c r="J29" s="1119">
        <f>ROUND(('Development Schedule'!K60+'Development Schedule'!K71)/$B$32,0)</f>
        <v>11</v>
      </c>
      <c r="K29" s="1119">
        <f>ROUND(('Development Schedule'!L60+'Development Schedule'!L71)/$B$32,0)</f>
        <v>6</v>
      </c>
      <c r="L29" s="1119">
        <f>ROUND(('Development Schedule'!M60+'Development Schedule'!M71)/$B$32,0)</f>
        <v>0</v>
      </c>
      <c r="M29" s="1120">
        <f>ROUND(('Development Schedule'!N60+'Development Schedule'!N71)/$B$32,0)</f>
        <v>0</v>
      </c>
    </row>
    <row r="30" spans="1:13" ht="14" customHeight="1" x14ac:dyDescent="0.15">
      <c r="A30" s="1011" t="s">
        <v>38</v>
      </c>
      <c r="B30" s="1038"/>
      <c r="C30" s="1112"/>
      <c r="D30" s="1119">
        <f>ROUND(D35*$C$60,0)</f>
        <v>0</v>
      </c>
      <c r="E30" s="1119">
        <f>E31-SUM($D$30:D30)</f>
        <v>0</v>
      </c>
      <c r="F30" s="1119">
        <f>F31-SUM($D$30:E30)</f>
        <v>0</v>
      </c>
      <c r="G30" s="1118">
        <f>G31-SUM($D$30:F30)</f>
        <v>0</v>
      </c>
      <c r="H30" s="1119">
        <f>H31-SUM($D$30:G30)</f>
        <v>5</v>
      </c>
      <c r="I30" s="1120">
        <f>I31-SUM($D$30:H30)</f>
        <v>8</v>
      </c>
      <c r="J30" s="1119">
        <f>J31-SUM($D$30:I30)</f>
        <v>4</v>
      </c>
      <c r="K30" s="1119">
        <f>K31-SUM($D$30:J30)</f>
        <v>0</v>
      </c>
      <c r="L30" s="1119">
        <f>L31-SUM($D$30:K30)</f>
        <v>0</v>
      </c>
      <c r="M30" s="1120">
        <f>M31-SUM($D$30:L30)</f>
        <v>0</v>
      </c>
    </row>
    <row r="31" spans="1:13" ht="14" customHeight="1" x14ac:dyDescent="0.15">
      <c r="A31" s="1011" t="s">
        <v>101</v>
      </c>
      <c r="B31" s="1121"/>
      <c r="C31" s="1112"/>
      <c r="D31" s="1119">
        <f t="shared" ref="D31:M31" si="6">ROUND(D35*$C$60,0)</f>
        <v>0</v>
      </c>
      <c r="E31" s="1119">
        <f t="shared" si="6"/>
        <v>0</v>
      </c>
      <c r="F31" s="1119">
        <f t="shared" si="6"/>
        <v>0</v>
      </c>
      <c r="G31" s="1118">
        <f t="shared" si="6"/>
        <v>0</v>
      </c>
      <c r="H31" s="1119">
        <f t="shared" si="6"/>
        <v>5</v>
      </c>
      <c r="I31" s="1120">
        <f t="shared" si="6"/>
        <v>13</v>
      </c>
      <c r="J31" s="1119">
        <f t="shared" si="6"/>
        <v>17</v>
      </c>
      <c r="K31" s="1119">
        <f t="shared" si="6"/>
        <v>17</v>
      </c>
      <c r="L31" s="1119">
        <f t="shared" si="6"/>
        <v>17</v>
      </c>
      <c r="M31" s="1120">
        <f t="shared" si="6"/>
        <v>17</v>
      </c>
    </row>
    <row r="32" spans="1:13" ht="14" customHeight="1" x14ac:dyDescent="0.15">
      <c r="A32" s="1011" t="s">
        <v>39</v>
      </c>
      <c r="B32" s="1121">
        <v>750</v>
      </c>
      <c r="C32" s="1112"/>
      <c r="D32" s="1038"/>
      <c r="E32" s="1038"/>
      <c r="F32" s="1038"/>
      <c r="G32" s="1037"/>
      <c r="H32" s="1038"/>
      <c r="I32" s="1113"/>
      <c r="J32" s="1038"/>
      <c r="K32" s="1038"/>
      <c r="L32" s="1038"/>
      <c r="M32" s="1113"/>
    </row>
    <row r="33" spans="1:14" ht="14" customHeight="1" x14ac:dyDescent="0.15">
      <c r="A33" s="1011" t="s">
        <v>40</v>
      </c>
      <c r="B33" s="1038"/>
      <c r="C33" s="1112"/>
      <c r="D33" s="1121">
        <f>SUM($D$29:D29)*$B$32</f>
        <v>0</v>
      </c>
      <c r="E33" s="1121">
        <f>SUM($D$29:E29)*$B$32</f>
        <v>0</v>
      </c>
      <c r="F33" s="1121">
        <f>SUM($D$29:F29)*$B$32</f>
        <v>0</v>
      </c>
      <c r="G33" s="1123">
        <f>SUM($D$29:G29)*$B$32</f>
        <v>0</v>
      </c>
      <c r="H33" s="1121">
        <f>SUM($D$29:H29)*$B$32</f>
        <v>0</v>
      </c>
      <c r="I33" s="1124">
        <f>SUM($D$29:I29)*$B$32</f>
        <v>0</v>
      </c>
      <c r="J33" s="1121">
        <f>SUM($D$29:J29)*$B$32</f>
        <v>8250</v>
      </c>
      <c r="K33" s="1121">
        <f>SUM($D$29:K29)*$B$32</f>
        <v>12750</v>
      </c>
      <c r="L33" s="1121">
        <f>SUM($D$29:L29)*$B$32</f>
        <v>12750</v>
      </c>
      <c r="M33" s="1124">
        <f>SUM($D$29:M29)*$B$32</f>
        <v>12750</v>
      </c>
    </row>
    <row r="34" spans="1:14" ht="14" customHeight="1" x14ac:dyDescent="0.15">
      <c r="A34" s="1011" t="s">
        <v>102</v>
      </c>
      <c r="B34" s="1038"/>
      <c r="C34" s="1134">
        <f>C24</f>
        <v>2.16</v>
      </c>
      <c r="D34" s="1126">
        <f t="shared" ref="D34:M34" si="7">D24</f>
        <v>2.2032000000000003</v>
      </c>
      <c r="E34" s="1126">
        <f t="shared" si="7"/>
        <v>2.2472639999999999</v>
      </c>
      <c r="F34" s="1126">
        <f t="shared" si="7"/>
        <v>2.2922092799999998</v>
      </c>
      <c r="G34" s="1135">
        <f t="shared" si="7"/>
        <v>2.3380534656000003</v>
      </c>
      <c r="H34" s="1126">
        <f t="shared" si="7"/>
        <v>2.384814534912</v>
      </c>
      <c r="I34" s="1127">
        <f t="shared" si="7"/>
        <v>2.4325108256102403</v>
      </c>
      <c r="J34" s="1126">
        <f t="shared" si="7"/>
        <v>2.4811610421224444</v>
      </c>
      <c r="K34" s="1126">
        <f t="shared" si="7"/>
        <v>2.5307842629648936</v>
      </c>
      <c r="L34" s="1126">
        <f t="shared" si="7"/>
        <v>2.5813999482241914</v>
      </c>
      <c r="M34" s="1127">
        <f t="shared" si="7"/>
        <v>2.6330279471886757</v>
      </c>
    </row>
    <row r="35" spans="1:14" ht="13.5" customHeight="1" thickBot="1" x14ac:dyDescent="0.2">
      <c r="A35" s="1088" t="s">
        <v>41</v>
      </c>
      <c r="B35" s="1128"/>
      <c r="C35" s="1129"/>
      <c r="D35" s="1228">
        <v>0</v>
      </c>
      <c r="E35" s="1228">
        <f>D35</f>
        <v>0</v>
      </c>
      <c r="F35" s="1229">
        <f>E35</f>
        <v>0</v>
      </c>
      <c r="G35" s="1230">
        <f>F35</f>
        <v>0</v>
      </c>
      <c r="H35" s="1229">
        <v>0.3</v>
      </c>
      <c r="I35" s="1231">
        <v>0.75</v>
      </c>
      <c r="J35" s="1229">
        <v>1</v>
      </c>
      <c r="K35" s="1229">
        <f>J35</f>
        <v>1</v>
      </c>
      <c r="L35" s="1128">
        <f>K35</f>
        <v>1</v>
      </c>
      <c r="M35" s="1132">
        <f>L35</f>
        <v>1</v>
      </c>
    </row>
    <row r="36" spans="1:14" ht="4.5" customHeight="1" thickBot="1" x14ac:dyDescent="0.2">
      <c r="A36" s="1011"/>
      <c r="B36" s="1106"/>
      <c r="C36" s="1137"/>
      <c r="D36" s="1109"/>
      <c r="E36" s="1109"/>
      <c r="F36" s="1106"/>
      <c r="G36" s="1111"/>
      <c r="H36" s="1106"/>
      <c r="I36" s="1110"/>
      <c r="J36" s="1106"/>
      <c r="K36" s="1106"/>
      <c r="L36" s="1106"/>
      <c r="M36" s="1110"/>
    </row>
    <row r="37" spans="1:14" ht="14" thickBot="1" x14ac:dyDescent="0.2">
      <c r="A37" s="1023" t="s">
        <v>0</v>
      </c>
      <c r="B37" s="1142"/>
      <c r="C37" s="1143"/>
      <c r="D37" s="1144"/>
      <c r="E37" s="1142"/>
      <c r="F37" s="1142"/>
      <c r="G37" s="1144"/>
      <c r="H37" s="1142"/>
      <c r="I37" s="1145"/>
      <c r="J37" s="1142"/>
      <c r="K37" s="1142"/>
      <c r="L37" s="1142"/>
      <c r="M37" s="1145"/>
    </row>
    <row r="38" spans="1:14" ht="14" customHeight="1" x14ac:dyDescent="0.15">
      <c r="A38" s="1011" t="s">
        <v>12</v>
      </c>
      <c r="B38" s="1038"/>
      <c r="C38" s="1146">
        <v>0</v>
      </c>
      <c r="D38" s="1165">
        <f>SUM(D11,D21,D31)*$B$12*D14*12</f>
        <v>0</v>
      </c>
      <c r="E38" s="1166">
        <f>SUM(E11,E21,E31)*$B$12*E14*12</f>
        <v>424732.89599999995</v>
      </c>
      <c r="F38" s="1166">
        <f t="shared" ref="F38:M38" si="8">SUM(F11,F21,F31)*$B$12*F14*12</f>
        <v>1052124.0595199999</v>
      </c>
      <c r="G38" s="1165">
        <f t="shared" si="8"/>
        <v>1430888.7209472002</v>
      </c>
      <c r="H38" s="1166">
        <f t="shared" si="8"/>
        <v>1566823.149437184</v>
      </c>
      <c r="I38" s="1167">
        <f t="shared" si="8"/>
        <v>1773300.3918698654</v>
      </c>
      <c r="J38" s="1147">
        <f t="shared" si="8"/>
        <v>1898088.1972236698</v>
      </c>
      <c r="K38" s="1147">
        <f t="shared" si="8"/>
        <v>1936049.9611681437</v>
      </c>
      <c r="L38" s="1147">
        <f t="shared" si="8"/>
        <v>1974770.9603915066</v>
      </c>
      <c r="M38" s="1148">
        <f t="shared" si="8"/>
        <v>2014266.3795993368</v>
      </c>
      <c r="N38" s="1193"/>
    </row>
    <row r="39" spans="1:14" ht="14" customHeight="1" x14ac:dyDescent="0.15">
      <c r="A39" s="1099" t="s">
        <v>103</v>
      </c>
      <c r="B39" s="1232">
        <f>35%*0.8</f>
        <v>0.27999999999999997</v>
      </c>
      <c r="C39" s="1150">
        <f>C38*-$B$39</f>
        <v>0</v>
      </c>
      <c r="D39" s="1151">
        <f>D38*-$B$39</f>
        <v>0</v>
      </c>
      <c r="E39" s="1152">
        <f>E38*-$B$39</f>
        <v>-118925.21087999997</v>
      </c>
      <c r="F39" s="1152">
        <f t="shared" ref="F39:M39" si="9">F38*-$B$39</f>
        <v>-294594.73666559992</v>
      </c>
      <c r="G39" s="1151">
        <f t="shared" si="9"/>
        <v>-400648.84186521603</v>
      </c>
      <c r="H39" s="1152">
        <f t="shared" si="9"/>
        <v>-438710.48184241145</v>
      </c>
      <c r="I39" s="1153">
        <f t="shared" si="9"/>
        <v>-496524.10972356226</v>
      </c>
      <c r="J39" s="1152">
        <f t="shared" si="9"/>
        <v>-531464.69522262749</v>
      </c>
      <c r="K39" s="1152">
        <f t="shared" si="9"/>
        <v>-542093.98912708019</v>
      </c>
      <c r="L39" s="1152">
        <f t="shared" si="9"/>
        <v>-552935.86890962173</v>
      </c>
      <c r="M39" s="1153">
        <f t="shared" si="9"/>
        <v>-563994.58628781419</v>
      </c>
    </row>
    <row r="40" spans="1:14" ht="14" customHeight="1" thickBot="1" x14ac:dyDescent="0.2">
      <c r="A40" s="1100" t="s">
        <v>5</v>
      </c>
      <c r="B40" s="1154"/>
      <c r="C40" s="1155">
        <f>SUM(C38:C39)</f>
        <v>0</v>
      </c>
      <c r="D40" s="1156">
        <f>SUM(D38:D39)</f>
        <v>0</v>
      </c>
      <c r="E40" s="1157">
        <f t="shared" ref="E40:M40" si="10">SUM(E38:E39)</f>
        <v>305807.68511999998</v>
      </c>
      <c r="F40" s="1157">
        <f t="shared" si="10"/>
        <v>757529.32285439991</v>
      </c>
      <c r="G40" s="1156">
        <f t="shared" si="10"/>
        <v>1030239.8790819842</v>
      </c>
      <c r="H40" s="1157">
        <f t="shared" si="10"/>
        <v>1128112.6675947725</v>
      </c>
      <c r="I40" s="1158">
        <f t="shared" si="10"/>
        <v>1276776.282146303</v>
      </c>
      <c r="J40" s="1157">
        <f t="shared" si="10"/>
        <v>1366623.5020010425</v>
      </c>
      <c r="K40" s="1157">
        <f t="shared" si="10"/>
        <v>1393955.9720410635</v>
      </c>
      <c r="L40" s="1157">
        <f t="shared" si="10"/>
        <v>1421835.0914818849</v>
      </c>
      <c r="M40" s="1158">
        <f t="shared" si="10"/>
        <v>1450271.7933115226</v>
      </c>
    </row>
    <row r="41" spans="1:14" ht="14" thickBot="1" x14ac:dyDescent="0.2">
      <c r="A41" s="1023" t="s">
        <v>2</v>
      </c>
      <c r="B41" s="1142"/>
      <c r="C41" s="1143"/>
      <c r="D41" s="1144"/>
      <c r="E41" s="1142"/>
      <c r="F41" s="1142"/>
      <c r="G41" s="1144"/>
      <c r="H41" s="1142"/>
      <c r="I41" s="1145"/>
      <c r="J41" s="1142"/>
      <c r="K41" s="1142"/>
      <c r="L41" s="1142"/>
      <c r="M41" s="1145"/>
    </row>
    <row r="42" spans="1:14" x14ac:dyDescent="0.15">
      <c r="A42" s="1011" t="s">
        <v>104</v>
      </c>
      <c r="B42" s="1038"/>
      <c r="C42" s="1125">
        <f>'Summary Board'!F98</f>
        <v>289.68979200000001</v>
      </c>
      <c r="D42" s="1135">
        <f t="shared" ref="D42:M42" si="11">$C$42*(1+$B$8)^D4</f>
        <v>295.48358784000004</v>
      </c>
      <c r="E42" s="1126">
        <f t="shared" si="11"/>
        <v>301.39325959680002</v>
      </c>
      <c r="F42" s="1126">
        <f t="shared" si="11"/>
        <v>307.42112478873599</v>
      </c>
      <c r="G42" s="1135">
        <f t="shared" si="11"/>
        <v>313.56954728451075</v>
      </c>
      <c r="H42" s="1126">
        <f t="shared" si="11"/>
        <v>319.84093823020095</v>
      </c>
      <c r="I42" s="1127">
        <f t="shared" si="11"/>
        <v>326.23775699480501</v>
      </c>
      <c r="J42" s="1126">
        <f t="shared" si="11"/>
        <v>332.76251213470101</v>
      </c>
      <c r="K42" s="1126">
        <f t="shared" si="11"/>
        <v>339.41776237739504</v>
      </c>
      <c r="L42" s="1126">
        <f t="shared" si="11"/>
        <v>346.20611762494298</v>
      </c>
      <c r="M42" s="1127">
        <f t="shared" si="11"/>
        <v>353.13023997744182</v>
      </c>
    </row>
    <row r="43" spans="1:14" ht="14" customHeight="1" x14ac:dyDescent="0.15">
      <c r="A43" s="1011" t="s">
        <v>13</v>
      </c>
      <c r="B43" s="1038"/>
      <c r="C43" s="1160">
        <f>C44/SUM($C$44:$M$44)</f>
        <v>0</v>
      </c>
      <c r="D43" s="1108">
        <f t="shared" ref="D43:M43" si="12">D44/SUM($C$44:$M$44)</f>
        <v>0.51745362099782444</v>
      </c>
      <c r="E43" s="1109">
        <f t="shared" si="12"/>
        <v>0.26390134670889043</v>
      </c>
      <c r="F43" s="1109">
        <f t="shared" si="12"/>
        <v>0</v>
      </c>
      <c r="G43" s="1108">
        <f t="shared" si="12"/>
        <v>0</v>
      </c>
      <c r="H43" s="1109">
        <f t="shared" si="12"/>
        <v>0</v>
      </c>
      <c r="I43" s="1161">
        <f t="shared" si="12"/>
        <v>0</v>
      </c>
      <c r="J43" s="1109">
        <f t="shared" si="12"/>
        <v>0.14479803463131466</v>
      </c>
      <c r="K43" s="1109">
        <f t="shared" si="12"/>
        <v>7.3846997661970476E-2</v>
      </c>
      <c r="L43" s="1109">
        <f t="shared" si="12"/>
        <v>0</v>
      </c>
      <c r="M43" s="1161">
        <f t="shared" si="12"/>
        <v>0</v>
      </c>
    </row>
    <row r="44" spans="1:14" ht="14" customHeight="1" x14ac:dyDescent="0.15">
      <c r="A44" s="1011" t="s">
        <v>2</v>
      </c>
      <c r="B44" s="1038"/>
      <c r="C44" s="1162">
        <f>C42*'Development Schedule'!D80</f>
        <v>0</v>
      </c>
      <c r="D44" s="1163">
        <f>D42*'Development Schedule'!E80</f>
        <v>10103962.791659521</v>
      </c>
      <c r="E44" s="1147">
        <f>E42*'Development Schedule'!F80</f>
        <v>5153021.0237463554</v>
      </c>
      <c r="F44" s="1147">
        <f>F42*'Development Schedule'!G80</f>
        <v>0</v>
      </c>
      <c r="G44" s="1163">
        <f>G42*'Development Schedule'!H80</f>
        <v>0</v>
      </c>
      <c r="H44" s="1147">
        <f>H42*'Development Schedule'!I80</f>
        <v>0</v>
      </c>
      <c r="I44" s="1148">
        <f>I42*'Development Schedule'!J80</f>
        <v>0</v>
      </c>
      <c r="J44" s="1147">
        <f>J42*'Development Schedule'!K80</f>
        <v>2827372.1447711759</v>
      </c>
      <c r="K44" s="1147">
        <f>K42*'Development Schedule'!L80</f>
        <v>1441959.7938332998</v>
      </c>
      <c r="L44" s="1147">
        <f>L42*'Development Schedule'!M80</f>
        <v>0</v>
      </c>
      <c r="M44" s="1148">
        <f>M42*'Development Schedule'!N80</f>
        <v>0</v>
      </c>
    </row>
    <row r="45" spans="1:14" ht="14" customHeight="1" x14ac:dyDescent="0.15">
      <c r="A45" s="1194"/>
      <c r="B45" s="1164"/>
      <c r="C45" s="1150"/>
      <c r="D45" s="1151"/>
      <c r="E45" s="1152"/>
      <c r="F45" s="1152"/>
      <c r="G45" s="1151"/>
      <c r="H45" s="1152"/>
      <c r="I45" s="1153"/>
      <c r="J45" s="1152"/>
      <c r="K45" s="1152"/>
      <c r="L45" s="1152"/>
      <c r="M45" s="1153"/>
    </row>
    <row r="46" spans="1:14" ht="14" customHeight="1" thickBot="1" x14ac:dyDescent="0.2">
      <c r="A46" s="1100" t="s">
        <v>3</v>
      </c>
      <c r="B46" s="1154"/>
      <c r="C46" s="1155">
        <f>SUM(C44:C45)</f>
        <v>0</v>
      </c>
      <c r="D46" s="1156">
        <f t="shared" ref="D46:M46" si="13">SUM(D44:D45)</f>
        <v>10103962.791659521</v>
      </c>
      <c r="E46" s="1157">
        <f t="shared" si="13"/>
        <v>5153021.0237463554</v>
      </c>
      <c r="F46" s="1157">
        <f t="shared" si="13"/>
        <v>0</v>
      </c>
      <c r="G46" s="1156">
        <f t="shared" si="13"/>
        <v>0</v>
      </c>
      <c r="H46" s="1157">
        <f t="shared" si="13"/>
        <v>0</v>
      </c>
      <c r="I46" s="1158">
        <f t="shared" si="13"/>
        <v>0</v>
      </c>
      <c r="J46" s="1157">
        <f t="shared" si="13"/>
        <v>2827372.1447711759</v>
      </c>
      <c r="K46" s="1157">
        <f t="shared" si="13"/>
        <v>1441959.7938332998</v>
      </c>
      <c r="L46" s="1157">
        <f t="shared" si="13"/>
        <v>0</v>
      </c>
      <c r="M46" s="1158">
        <f t="shared" si="13"/>
        <v>0</v>
      </c>
    </row>
    <row r="47" spans="1:14" ht="14" thickBot="1" x14ac:dyDescent="0.2">
      <c r="A47" s="1023" t="s">
        <v>4</v>
      </c>
      <c r="B47" s="1142"/>
      <c r="C47" s="1143"/>
      <c r="D47" s="1144"/>
      <c r="E47" s="1142"/>
      <c r="F47" s="1142"/>
      <c r="G47" s="1144"/>
      <c r="H47" s="1142"/>
      <c r="I47" s="1145"/>
      <c r="J47" s="1142"/>
      <c r="K47" s="1142"/>
      <c r="L47" s="1142"/>
      <c r="M47" s="1145"/>
    </row>
    <row r="48" spans="1:14" ht="14" customHeight="1" x14ac:dyDescent="0.15">
      <c r="A48" s="1011" t="s">
        <v>5</v>
      </c>
      <c r="B48" s="1038"/>
      <c r="C48" s="1146">
        <f>C40</f>
        <v>0</v>
      </c>
      <c r="D48" s="1165">
        <f t="shared" ref="D48:M48" si="14">D40</f>
        <v>0</v>
      </c>
      <c r="E48" s="1166">
        <f t="shared" si="14"/>
        <v>305807.68511999998</v>
      </c>
      <c r="F48" s="1166">
        <f t="shared" si="14"/>
        <v>757529.32285439991</v>
      </c>
      <c r="G48" s="1165">
        <f t="shared" si="14"/>
        <v>1030239.8790819842</v>
      </c>
      <c r="H48" s="1166">
        <f t="shared" si="14"/>
        <v>1128112.6675947725</v>
      </c>
      <c r="I48" s="1167">
        <f t="shared" si="14"/>
        <v>1276776.282146303</v>
      </c>
      <c r="J48" s="1147">
        <f t="shared" si="14"/>
        <v>1366623.5020010425</v>
      </c>
      <c r="K48" s="1147">
        <f t="shared" si="14"/>
        <v>1393955.9720410635</v>
      </c>
      <c r="L48" s="1147">
        <f t="shared" si="14"/>
        <v>1421835.0914818849</v>
      </c>
      <c r="M48" s="1148">
        <f t="shared" si="14"/>
        <v>1450271.7933115226</v>
      </c>
    </row>
    <row r="49" spans="1:13" ht="14" customHeight="1" x14ac:dyDescent="0.15">
      <c r="A49" s="1011" t="s">
        <v>60</v>
      </c>
      <c r="B49" s="1106">
        <f>D63</f>
        <v>3.7499999999999999E-2</v>
      </c>
      <c r="C49" s="1168">
        <v>0</v>
      </c>
      <c r="D49" s="1169">
        <f>C49</f>
        <v>0</v>
      </c>
      <c r="E49" s="1170">
        <f t="shared" ref="E49:L50" si="15">D49</f>
        <v>0</v>
      </c>
      <c r="F49" s="1170">
        <f t="shared" si="15"/>
        <v>0</v>
      </c>
      <c r="G49" s="1169">
        <f t="shared" si="15"/>
        <v>0</v>
      </c>
      <c r="H49" s="1170">
        <f t="shared" si="15"/>
        <v>0</v>
      </c>
      <c r="I49" s="1171">
        <f t="shared" si="15"/>
        <v>0</v>
      </c>
      <c r="J49" s="1170">
        <f t="shared" si="15"/>
        <v>0</v>
      </c>
      <c r="K49" s="1170">
        <f t="shared" si="15"/>
        <v>0</v>
      </c>
      <c r="L49" s="1170">
        <f t="shared" si="15"/>
        <v>0</v>
      </c>
      <c r="M49" s="1171">
        <f>M48/B49</f>
        <v>38673914.488307267</v>
      </c>
    </row>
    <row r="50" spans="1:13" ht="14" customHeight="1" x14ac:dyDescent="0.15">
      <c r="A50" s="1011" t="s">
        <v>61</v>
      </c>
      <c r="B50" s="1106">
        <f>D64</f>
        <v>0.03</v>
      </c>
      <c r="C50" s="1168">
        <v>0</v>
      </c>
      <c r="D50" s="1169">
        <f>C50</f>
        <v>0</v>
      </c>
      <c r="E50" s="1170">
        <f t="shared" si="15"/>
        <v>0</v>
      </c>
      <c r="F50" s="1170">
        <f t="shared" si="15"/>
        <v>0</v>
      </c>
      <c r="G50" s="1169">
        <f t="shared" si="15"/>
        <v>0</v>
      </c>
      <c r="H50" s="1170">
        <f t="shared" si="15"/>
        <v>0</v>
      </c>
      <c r="I50" s="1171">
        <f t="shared" si="15"/>
        <v>0</v>
      </c>
      <c r="J50" s="1170">
        <f t="shared" si="15"/>
        <v>0</v>
      </c>
      <c r="K50" s="1170">
        <f t="shared" si="15"/>
        <v>0</v>
      </c>
      <c r="L50" s="1170">
        <f t="shared" si="15"/>
        <v>0</v>
      </c>
      <c r="M50" s="1171">
        <f>M49*-B50</f>
        <v>-1160217.4346492179</v>
      </c>
    </row>
    <row r="51" spans="1:13" ht="14" customHeight="1" x14ac:dyDescent="0.15">
      <c r="A51" s="1099" t="s">
        <v>105</v>
      </c>
      <c r="B51" s="1164"/>
      <c r="C51" s="1150">
        <f>-C46</f>
        <v>0</v>
      </c>
      <c r="D51" s="1151">
        <f t="shared" ref="D51:M51" si="16">-D46</f>
        <v>-10103962.791659521</v>
      </c>
      <c r="E51" s="1152">
        <f t="shared" si="16"/>
        <v>-5153021.0237463554</v>
      </c>
      <c r="F51" s="1152">
        <f t="shared" si="16"/>
        <v>0</v>
      </c>
      <c r="G51" s="1151">
        <f t="shared" si="16"/>
        <v>0</v>
      </c>
      <c r="H51" s="1152">
        <f t="shared" si="16"/>
        <v>0</v>
      </c>
      <c r="I51" s="1153">
        <f t="shared" si="16"/>
        <v>0</v>
      </c>
      <c r="J51" s="1152">
        <f t="shared" si="16"/>
        <v>-2827372.1447711759</v>
      </c>
      <c r="K51" s="1152">
        <f t="shared" si="16"/>
        <v>-1441959.7938332998</v>
      </c>
      <c r="L51" s="1152">
        <f t="shared" si="16"/>
        <v>0</v>
      </c>
      <c r="M51" s="1153">
        <f t="shared" si="16"/>
        <v>0</v>
      </c>
    </row>
    <row r="52" spans="1:13" ht="14" thickBot="1" x14ac:dyDescent="0.2">
      <c r="A52" s="1053" t="s">
        <v>6</v>
      </c>
      <c r="B52" s="1154"/>
      <c r="C52" s="1155">
        <f>SUM(C48:C51)</f>
        <v>0</v>
      </c>
      <c r="D52" s="1156">
        <f t="shared" ref="D52:M52" si="17">SUM(D48:D51)</f>
        <v>-10103962.791659521</v>
      </c>
      <c r="E52" s="1157">
        <f t="shared" si="17"/>
        <v>-4847213.3386263559</v>
      </c>
      <c r="F52" s="1157">
        <f t="shared" si="17"/>
        <v>757529.32285439991</v>
      </c>
      <c r="G52" s="1156">
        <f t="shared" si="17"/>
        <v>1030239.8790819842</v>
      </c>
      <c r="H52" s="1157">
        <f t="shared" si="17"/>
        <v>1128112.6675947725</v>
      </c>
      <c r="I52" s="1158">
        <f t="shared" si="17"/>
        <v>1276776.282146303</v>
      </c>
      <c r="J52" s="1157">
        <f t="shared" si="17"/>
        <v>-1460748.6427701334</v>
      </c>
      <c r="K52" s="1157">
        <f t="shared" si="17"/>
        <v>-48003.821792236296</v>
      </c>
      <c r="L52" s="1157">
        <f t="shared" si="17"/>
        <v>1421835.0914818849</v>
      </c>
      <c r="M52" s="1158">
        <f t="shared" si="17"/>
        <v>38963968.846969575</v>
      </c>
    </row>
    <row r="53" spans="1:13" ht="14" thickBot="1" x14ac:dyDescent="0.2">
      <c r="A53" s="988" t="s">
        <v>27</v>
      </c>
      <c r="B53" s="1172"/>
      <c r="C53" s="1233">
        <f>C52+NPV(D65,D52:M52)</f>
        <v>5750085.0828782339</v>
      </c>
      <c r="D53" s="1173"/>
      <c r="E53" s="1174"/>
      <c r="F53" s="1174"/>
      <c r="G53" s="1173"/>
      <c r="H53" s="1174"/>
      <c r="I53" s="1175"/>
      <c r="J53" s="1174"/>
      <c r="K53" s="1174"/>
      <c r="L53" s="1174"/>
      <c r="M53" s="1175"/>
    </row>
    <row r="54" spans="1:13" ht="14" thickBot="1" x14ac:dyDescent="0.2">
      <c r="A54" s="989" t="s">
        <v>62</v>
      </c>
      <c r="B54" s="1176"/>
      <c r="C54" s="1177">
        <f>IRR(C52:M52,0)</f>
        <v>0.14049587626614191</v>
      </c>
      <c r="D54" s="1178"/>
      <c r="E54" s="1176"/>
      <c r="F54" s="1176"/>
      <c r="G54" s="1178"/>
      <c r="H54" s="1176"/>
      <c r="I54" s="1179"/>
      <c r="J54" s="1176"/>
      <c r="K54" s="1176"/>
      <c r="L54" s="1176"/>
      <c r="M54" s="1179"/>
    </row>
    <row r="55" spans="1:13" ht="14" thickBot="1" x14ac:dyDescent="0.2">
      <c r="A55" s="1190"/>
      <c r="B55" s="1191"/>
      <c r="C55" s="1191"/>
      <c r="D55" s="1190"/>
      <c r="E55" s="1190"/>
      <c r="F55" s="1190"/>
      <c r="G55" s="1190"/>
      <c r="H55" s="1190"/>
      <c r="I55" s="1190"/>
      <c r="J55" s="1190"/>
      <c r="K55" s="1190"/>
      <c r="L55" s="1190"/>
      <c r="M55" s="1190"/>
    </row>
    <row r="56" spans="1:13" ht="14" thickBot="1" x14ac:dyDescent="0.2">
      <c r="A56" s="1478" t="s">
        <v>99</v>
      </c>
      <c r="B56" s="1474"/>
      <c r="C56" s="1474"/>
      <c r="D56" s="1479"/>
      <c r="E56" s="1190"/>
      <c r="F56" s="1190"/>
      <c r="G56" s="1190"/>
      <c r="H56" s="1190"/>
      <c r="I56" s="1190"/>
      <c r="J56" s="1190"/>
      <c r="K56" s="1190"/>
      <c r="L56" s="1190"/>
      <c r="M56" s="1190"/>
    </row>
    <row r="57" spans="1:13" ht="14" thickBot="1" x14ac:dyDescent="0.2">
      <c r="A57" s="1056"/>
      <c r="B57" s="1052"/>
      <c r="C57" s="1102" t="s">
        <v>97</v>
      </c>
      <c r="D57" s="1103" t="s">
        <v>98</v>
      </c>
      <c r="E57" s="1190"/>
      <c r="F57" s="1190"/>
      <c r="G57" s="1190"/>
      <c r="H57" s="1190"/>
      <c r="I57" s="1190"/>
      <c r="J57" s="1190"/>
      <c r="K57" s="1190"/>
      <c r="L57" s="1190"/>
      <c r="M57" s="1190"/>
    </row>
    <row r="58" spans="1:13" x14ac:dyDescent="0.15">
      <c r="A58" s="941" t="s">
        <v>37</v>
      </c>
      <c r="B58" s="532"/>
      <c r="C58" s="1074">
        <f>D58/$B$12</f>
        <v>68.38933333333334</v>
      </c>
      <c r="D58" s="1083">
        <f>SUM('Development Schedule'!E80:G80)</f>
        <v>51292</v>
      </c>
      <c r="E58" s="1190"/>
      <c r="F58" s="1190"/>
      <c r="G58" s="1190"/>
      <c r="H58" s="1190"/>
      <c r="I58" s="1190"/>
      <c r="J58" s="1190"/>
      <c r="K58" s="1190"/>
      <c r="L58" s="1190"/>
      <c r="M58" s="1190"/>
    </row>
    <row r="59" spans="1:13" x14ac:dyDescent="0.15">
      <c r="A59" s="941" t="s">
        <v>418</v>
      </c>
      <c r="B59" s="532"/>
      <c r="C59" s="532">
        <f>D59/$B$22</f>
        <v>0</v>
      </c>
      <c r="D59" s="1083">
        <f>SUM('Development Schedule'!H80:J80)</f>
        <v>0</v>
      </c>
      <c r="E59" s="1190"/>
      <c r="F59" s="1190"/>
      <c r="G59" s="1190"/>
      <c r="H59" s="1190"/>
      <c r="I59" s="1190"/>
      <c r="J59" s="1190"/>
      <c r="K59" s="1190"/>
      <c r="L59" s="1190"/>
      <c r="M59" s="1190"/>
    </row>
    <row r="60" spans="1:13" x14ac:dyDescent="0.15">
      <c r="A60" s="941" t="s">
        <v>80</v>
      </c>
      <c r="B60" s="532"/>
      <c r="C60" s="1074">
        <f>D60/$B$32</f>
        <v>16.993333333333332</v>
      </c>
      <c r="D60" s="1083">
        <f>SUM('Development Schedule'!K80:N80)</f>
        <v>12745</v>
      </c>
      <c r="E60" s="1190"/>
      <c r="F60" s="1190"/>
      <c r="G60" s="1190"/>
      <c r="H60" s="1190"/>
      <c r="I60" s="1190"/>
      <c r="J60" s="1190"/>
      <c r="K60" s="1190"/>
      <c r="L60" s="1190"/>
      <c r="M60" s="1190"/>
    </row>
    <row r="61" spans="1:13" ht="14" thickBot="1" x14ac:dyDescent="0.2">
      <c r="A61" s="882"/>
      <c r="B61" s="883"/>
      <c r="C61" s="883"/>
      <c r="D61" s="882"/>
      <c r="E61" s="1190"/>
      <c r="F61" s="1190"/>
      <c r="G61" s="1190"/>
      <c r="H61" s="1190"/>
      <c r="I61" s="1190"/>
      <c r="J61" s="1190"/>
      <c r="K61" s="1190"/>
      <c r="L61" s="1190"/>
      <c r="M61" s="1190"/>
    </row>
    <row r="62" spans="1:13" ht="14" thickBot="1" x14ac:dyDescent="0.2">
      <c r="A62" s="1478" t="s">
        <v>106</v>
      </c>
      <c r="B62" s="1480"/>
      <c r="C62" s="1480"/>
      <c r="D62" s="1481"/>
      <c r="E62" s="1190"/>
      <c r="F62" s="1190"/>
      <c r="G62" s="1190"/>
      <c r="H62" s="1190"/>
      <c r="I62" s="1190"/>
      <c r="J62" s="1190"/>
      <c r="K62" s="1190"/>
      <c r="L62" s="1190"/>
      <c r="M62" s="1190"/>
    </row>
    <row r="63" spans="1:13" x14ac:dyDescent="0.15">
      <c r="A63" s="941" t="s">
        <v>107</v>
      </c>
      <c r="B63" s="532"/>
      <c r="C63" s="532"/>
      <c r="D63" s="1195">
        <f>'Summary Board'!K121</f>
        <v>3.7499999999999999E-2</v>
      </c>
      <c r="E63" s="1190"/>
      <c r="F63" s="1190"/>
      <c r="G63" s="1190"/>
      <c r="H63" s="1190"/>
      <c r="I63" s="1190"/>
      <c r="J63" s="1190"/>
      <c r="K63" s="1190"/>
      <c r="L63" s="1190"/>
      <c r="M63" s="1190"/>
    </row>
    <row r="64" spans="1:13" x14ac:dyDescent="0.15">
      <c r="A64" s="941" t="s">
        <v>108</v>
      </c>
      <c r="B64" s="532"/>
      <c r="C64" s="532"/>
      <c r="D64" s="1095">
        <v>0.03</v>
      </c>
      <c r="E64" s="1190"/>
      <c r="F64" s="1190"/>
      <c r="G64" s="1190"/>
      <c r="H64" s="1190"/>
      <c r="I64" s="1190"/>
      <c r="J64" s="1190"/>
      <c r="K64" s="1190"/>
      <c r="L64" s="1190"/>
      <c r="M64" s="1190"/>
    </row>
    <row r="65" spans="1:13" ht="14" thickBot="1" x14ac:dyDescent="0.2">
      <c r="A65" s="947" t="s">
        <v>95</v>
      </c>
      <c r="B65" s="1062"/>
      <c r="C65" s="1062"/>
      <c r="D65" s="1093">
        <v>0.09</v>
      </c>
      <c r="E65" s="1190"/>
      <c r="F65" s="1190"/>
      <c r="G65" s="1190"/>
      <c r="H65" s="1190"/>
      <c r="I65" s="1190"/>
      <c r="J65" s="1190"/>
      <c r="K65" s="1190"/>
      <c r="L65" s="1190"/>
      <c r="M65" s="1190"/>
    </row>
    <row r="66" spans="1:13" x14ac:dyDescent="0.15">
      <c r="A66" s="1190"/>
      <c r="B66" s="1191"/>
      <c r="C66" s="1191"/>
      <c r="D66" s="1190"/>
      <c r="E66" s="1190"/>
      <c r="F66" s="1190"/>
      <c r="G66" s="1190"/>
      <c r="H66" s="1190"/>
      <c r="I66" s="1190"/>
      <c r="J66" s="1190"/>
      <c r="K66" s="1190"/>
      <c r="L66" s="1190"/>
      <c r="M66" s="1190"/>
    </row>
  </sheetData>
  <phoneticPr fontId="3" type="noConversion"/>
  <printOptions horizontalCentered="1"/>
  <pageMargins left="0.5" right="0.5" top="1" bottom="0.5" header="0.5" footer="0.5"/>
  <pageSetup scale="69" fitToHeight="2" orientation="landscape" r:id="rId1"/>
  <headerFooter alignWithMargins="0">
    <oddHeader>&amp;L&amp;"Arial,Bold"4. Income Statement: Affordable Rental Housing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ULI Hines Summary Board</vt:lpstr>
      <vt:lpstr>Final ULI</vt:lpstr>
      <vt:lpstr>Summary Board</vt:lpstr>
      <vt:lpstr>Budget</vt:lpstr>
      <vt:lpstr>Financing</vt:lpstr>
      <vt:lpstr>1.Infrastructure Costs</vt:lpstr>
      <vt:lpstr>2.Market-Rate Rental Housing</vt:lpstr>
      <vt:lpstr>3.Market-Rate For-Sale Housing</vt:lpstr>
      <vt:lpstr>4.Affordable Rental Housing</vt:lpstr>
      <vt:lpstr>5.Affordable For-Sale Housing </vt:lpstr>
      <vt:lpstr>6.Office</vt:lpstr>
      <vt:lpstr>7.Industrial &amp; School</vt:lpstr>
      <vt:lpstr>8.Market-Rate Retail</vt:lpstr>
      <vt:lpstr>9.Hotel</vt:lpstr>
      <vt:lpstr>10.Structured Parking</vt:lpstr>
      <vt:lpstr>11.Surface Parking</vt:lpstr>
      <vt:lpstr>Development Schedule</vt:lpstr>
      <vt:lpstr>Land Acquisition</vt:lpstr>
      <vt:lpstr>Land Values</vt:lpstr>
      <vt:lpstr>Development Costs</vt:lpstr>
      <vt:lpstr>SQFT Breakouts</vt:lpstr>
      <vt:lpstr>Construction Costs</vt:lpstr>
      <vt:lpstr>References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Finkenbinder-Best</dc:creator>
  <cp:lastModifiedBy>Microsoft Office User</cp:lastModifiedBy>
  <cp:lastPrinted>2017-01-22T19:34:51Z</cp:lastPrinted>
  <dcterms:created xsi:type="dcterms:W3CDTF">2007-12-12T14:49:40Z</dcterms:created>
  <dcterms:modified xsi:type="dcterms:W3CDTF">2018-01-29T21:16:17Z</dcterms:modified>
</cp:coreProperties>
</file>