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a\Desktop\ULI Competition\"/>
    </mc:Choice>
  </mc:AlternateContent>
  <xr:revisionPtr revIDLastSave="0" documentId="13_ncr:1_{592C98F6-C338-4F90-8CD0-A1553CD29FDF}" xr6:coauthVersionLast="45" xr6:coauthVersionMax="45" xr10:uidLastSave="{00000000-0000-0000-0000-000000000000}"/>
  <bookViews>
    <workbookView xWindow="-110" yWindow="-110" windowWidth="19420" windowHeight="10420" tabRatio="779" xr2:uid="{00000000-000D-0000-FFFF-FFFF00000000}"/>
  </bookViews>
  <sheets>
    <sheet name="Final Board" sheetId="45" r:id="rId1"/>
    <sheet name="Summary Board" sheetId="28" r:id="rId2"/>
    <sheet name="Budget" sheetId="38" r:id="rId3"/>
    <sheet name="1.Inftr Costs" sheetId="15" r:id="rId4"/>
    <sheet name="2.Market-Rate Rental Housing" sheetId="14" r:id="rId5"/>
    <sheet name="3.Luxury Condos" sheetId="19" r:id="rId6"/>
    <sheet name="4.Affordable Rental Housing" sheetId="26" r:id="rId7"/>
    <sheet name="5.Office" sheetId="20" r:id="rId8"/>
    <sheet name="6.Retail" sheetId="22" r:id="rId9"/>
    <sheet name="7.Hotel" sheetId="23" r:id="rId10"/>
    <sheet name="8.Structured Parking" sheetId="18" r:id="rId11"/>
    <sheet name="9.Surface Parking" sheetId="32" state="hidden" r:id="rId12"/>
    <sheet name="Additional Data" sheetId="43" r:id="rId13"/>
    <sheet name="Development Schedule" sheetId="29" r:id="rId14"/>
    <sheet name="Land Acquisition" sheetId="36" state="hidden" r:id="rId15"/>
    <sheet name="Land Values" sheetId="34" r:id="rId16"/>
    <sheet name="Existing Building Market Values" sheetId="35" r:id="rId17"/>
    <sheet name="Development Costs" sheetId="31" r:id="rId18"/>
    <sheet name="Financing" sheetId="37" r:id="rId19"/>
    <sheet name="Apartment Comparable Summary" sheetId="41" state="hidden" r:id="rId20"/>
    <sheet name="Apartment Comparable Data" sheetId="42" state="hidden" r:id="rId21"/>
    <sheet name="Condo Comparable Summary" sheetId="39" state="hidden" r:id="rId22"/>
    <sheet name="Condo Comparable Data" sheetId="40" state="hidden" r:id="rId23"/>
  </sheets>
  <definedNames>
    <definedName name="_xlnm.Print_Area" localSheetId="3">'1.Inftr Costs'!$A$1:$N$50</definedName>
    <definedName name="_xlnm.Print_Area" localSheetId="4">'2.Market-Rate Rental Housing'!$A$1:$M$66</definedName>
    <definedName name="_xlnm.Print_Area" localSheetId="5">'3.Luxury Condos'!$A$1:$M$51</definedName>
    <definedName name="_xlnm.Print_Area" localSheetId="6">'4.Affordable Rental Housing'!$A$1:$M$65</definedName>
    <definedName name="_xlnm.Print_Area" localSheetId="7">'5.Office'!$A$1:$M$68</definedName>
    <definedName name="_xlnm.Print_Area" localSheetId="8">'6.Retail'!$A$1:$M$158</definedName>
    <definedName name="_xlnm.Print_Area" localSheetId="10">'8.Structured Parking'!$A$1:$M$96</definedName>
    <definedName name="_xlnm.Print_Area" localSheetId="11">'9.Surface Parking'!$A$1:$M$92</definedName>
    <definedName name="_xlnm.Print_Area" localSheetId="19">'Apartment Comparable Summary'!$A$1:$D$29</definedName>
    <definedName name="_xlnm.Print_Area" localSheetId="17">'Development Costs'!$A$1:$E$45</definedName>
    <definedName name="_xlnm.Print_Area" localSheetId="13">'Development Schedule'!$B$1:$P$105</definedName>
    <definedName name="_xlnm.Print_Area" localSheetId="16">'Existing Building Market Values'!$A$1:$H$50</definedName>
    <definedName name="_xlnm.Print_Area" localSheetId="0">'Final Board'!$A$1:$N$127</definedName>
    <definedName name="_xlnm.Print_Area" localSheetId="18">Financing!$A$1:$M$40</definedName>
    <definedName name="_xlnm.Print_Area" localSheetId="14">'Land Acquisition'!$A$1:$K$29</definedName>
    <definedName name="_xlnm.Print_Area" localSheetId="15">'Land Values'!$A$1:$O$107</definedName>
    <definedName name="_xlnm.Print_Area" localSheetId="1">'Summary Board'!$A$1:$N$127</definedName>
    <definedName name="_xlnm.Print_Titles" localSheetId="4">'2.Market-Rate Rental Housing'!$1:$5</definedName>
    <definedName name="_xlnm.Print_Titles" localSheetId="6">'4.Affordable Rental Housing'!$1:$5</definedName>
    <definedName name="_xlnm.Print_Titles" localSheetId="8">'6.Retail'!$1:$5</definedName>
    <definedName name="_xlnm.Print_Titles" localSheetId="10">'8.Structured Parking'!$1:$5</definedName>
    <definedName name="_xlnm.Print_Titles" localSheetId="11">'9.Surface Parking'!$1:$5</definedName>
    <definedName name="_xlnm.Print_Titles" localSheetId="13">'Development Schedule'!$1:$4</definedName>
    <definedName name="_xlnm.Print_Titles" localSheetId="15">'Land Values'!$1:$4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4" i="45" l="1"/>
  <c r="H114" i="28"/>
  <c r="F107" i="34" l="1"/>
  <c r="F122" i="45" l="1"/>
  <c r="F124" i="45" s="1"/>
  <c r="F121" i="45"/>
  <c r="F120" i="45"/>
  <c r="J116" i="45"/>
  <c r="I116" i="45"/>
  <c r="G116" i="45"/>
  <c r="F116" i="45"/>
  <c r="E116" i="45"/>
  <c r="D116" i="45"/>
  <c r="H115" i="45"/>
  <c r="K115" i="45" s="1"/>
  <c r="L115" i="45" s="1"/>
  <c r="K114" i="45"/>
  <c r="L114" i="45" s="1"/>
  <c r="H113" i="45"/>
  <c r="K113" i="45" s="1"/>
  <c r="L113" i="45" s="1"/>
  <c r="K112" i="45"/>
  <c r="L112" i="45" s="1"/>
  <c r="H112" i="45"/>
  <c r="H116" i="45" s="1"/>
  <c r="H111" i="45"/>
  <c r="K111" i="45" s="1"/>
  <c r="F100" i="45"/>
  <c r="F99" i="45"/>
  <c r="F96" i="45"/>
  <c r="F95" i="45"/>
  <c r="F94" i="45"/>
  <c r="F93" i="45"/>
  <c r="F92" i="45"/>
  <c r="F91" i="45"/>
  <c r="F90" i="45"/>
  <c r="F89" i="45"/>
  <c r="F80" i="45"/>
  <c r="E80" i="45" s="1"/>
  <c r="F79" i="45"/>
  <c r="F78" i="45"/>
  <c r="F77" i="45"/>
  <c r="F76" i="45"/>
  <c r="E76" i="45"/>
  <c r="F75" i="45"/>
  <c r="F74" i="45"/>
  <c r="F81" i="45" s="1"/>
  <c r="F73" i="45"/>
  <c r="E73" i="45" s="1"/>
  <c r="F72" i="45"/>
  <c r="E72" i="45"/>
  <c r="F71" i="45"/>
  <c r="E71" i="45"/>
  <c r="M70" i="45"/>
  <c r="F70" i="45"/>
  <c r="E70" i="45"/>
  <c r="E81" i="45" s="1"/>
  <c r="M67" i="45"/>
  <c r="M66" i="45"/>
  <c r="M65" i="45"/>
  <c r="N55" i="45"/>
  <c r="M55" i="45"/>
  <c r="L55" i="45"/>
  <c r="K55" i="45"/>
  <c r="K46" i="45" s="1"/>
  <c r="J55" i="45"/>
  <c r="J46" i="45" s="1"/>
  <c r="I55" i="45"/>
  <c r="I46" i="45" s="1"/>
  <c r="H55" i="45"/>
  <c r="G55" i="45"/>
  <c r="F55" i="45"/>
  <c r="E55" i="45"/>
  <c r="D55" i="45"/>
  <c r="C55" i="45"/>
  <c r="N54" i="45"/>
  <c r="M54" i="45"/>
  <c r="L54" i="45"/>
  <c r="K54" i="45"/>
  <c r="J54" i="45"/>
  <c r="I54" i="45"/>
  <c r="H54" i="45"/>
  <c r="G54" i="45"/>
  <c r="F54" i="45"/>
  <c r="E54" i="45"/>
  <c r="D54" i="45"/>
  <c r="C54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K51" i="45"/>
  <c r="J51" i="45"/>
  <c r="I51" i="45"/>
  <c r="C51" i="45"/>
  <c r="N50" i="45"/>
  <c r="M50" i="45"/>
  <c r="G50" i="45"/>
  <c r="F50" i="45"/>
  <c r="E50" i="45"/>
  <c r="C50" i="45"/>
  <c r="K49" i="45"/>
  <c r="K56" i="45" s="1"/>
  <c r="I49" i="45"/>
  <c r="C49" i="45"/>
  <c r="N46" i="45"/>
  <c r="M46" i="45"/>
  <c r="L46" i="45"/>
  <c r="H46" i="45"/>
  <c r="G46" i="45"/>
  <c r="F46" i="45"/>
  <c r="E46" i="45"/>
  <c r="D46" i="45"/>
  <c r="C46" i="45"/>
  <c r="N45" i="45"/>
  <c r="M45" i="45"/>
  <c r="L45" i="45"/>
  <c r="K45" i="45"/>
  <c r="J45" i="45"/>
  <c r="I45" i="45"/>
  <c r="H45" i="45"/>
  <c r="G45" i="45"/>
  <c r="F45" i="45"/>
  <c r="E45" i="45"/>
  <c r="D45" i="45"/>
  <c r="N44" i="45"/>
  <c r="N51" i="45" s="1"/>
  <c r="M44" i="45"/>
  <c r="M51" i="45" s="1"/>
  <c r="L44" i="45"/>
  <c r="L51" i="45" s="1"/>
  <c r="K44" i="45"/>
  <c r="J44" i="45"/>
  <c r="I44" i="45"/>
  <c r="H44" i="45"/>
  <c r="H51" i="45" s="1"/>
  <c r="G44" i="45"/>
  <c r="G51" i="45" s="1"/>
  <c r="F44" i="45"/>
  <c r="F51" i="45" s="1"/>
  <c r="E44" i="45"/>
  <c r="E51" i="45" s="1"/>
  <c r="D44" i="45"/>
  <c r="D51" i="45" s="1"/>
  <c r="C44" i="45"/>
  <c r="N43" i="45"/>
  <c r="M43" i="45"/>
  <c r="L43" i="45"/>
  <c r="L50" i="45" s="1"/>
  <c r="K43" i="45"/>
  <c r="K50" i="45" s="1"/>
  <c r="J43" i="45"/>
  <c r="J50" i="45" s="1"/>
  <c r="I43" i="45"/>
  <c r="I50" i="45" s="1"/>
  <c r="H43" i="45"/>
  <c r="H50" i="45" s="1"/>
  <c r="G43" i="45"/>
  <c r="F43" i="45"/>
  <c r="E43" i="45"/>
  <c r="D43" i="45"/>
  <c r="D50" i="45" s="1"/>
  <c r="C43" i="45"/>
  <c r="N42" i="45"/>
  <c r="N49" i="45" s="1"/>
  <c r="N56" i="45" s="1"/>
  <c r="M42" i="45"/>
  <c r="M49" i="45" s="1"/>
  <c r="M56" i="45" s="1"/>
  <c r="L42" i="45"/>
  <c r="L49" i="45" s="1"/>
  <c r="L56" i="45" s="1"/>
  <c r="K42" i="45"/>
  <c r="J42" i="45"/>
  <c r="J49" i="45" s="1"/>
  <c r="J56" i="45" s="1"/>
  <c r="I42" i="45"/>
  <c r="H42" i="45"/>
  <c r="H49" i="45" s="1"/>
  <c r="G42" i="45"/>
  <c r="G49" i="45" s="1"/>
  <c r="G56" i="45" s="1"/>
  <c r="F42" i="45"/>
  <c r="F49" i="45" s="1"/>
  <c r="F56" i="45" s="1"/>
  <c r="E42" i="45"/>
  <c r="E49" i="45" s="1"/>
  <c r="E56" i="45" s="1"/>
  <c r="D42" i="45"/>
  <c r="D49" i="45" s="1"/>
  <c r="D56" i="45" s="1"/>
  <c r="C42" i="45"/>
  <c r="F23" i="45"/>
  <c r="G23" i="45" s="1"/>
  <c r="H23" i="45" s="1"/>
  <c r="I23" i="45" s="1"/>
  <c r="J23" i="45" s="1"/>
  <c r="K23" i="45" s="1"/>
  <c r="L23" i="45" s="1"/>
  <c r="M23" i="45" s="1"/>
  <c r="N23" i="45" s="1"/>
  <c r="N22" i="45"/>
  <c r="M22" i="45"/>
  <c r="L22" i="45"/>
  <c r="K22" i="45"/>
  <c r="J22" i="45"/>
  <c r="I22" i="45"/>
  <c r="H22" i="45"/>
  <c r="G22" i="45"/>
  <c r="F22" i="45"/>
  <c r="E22" i="45"/>
  <c r="D22" i="45"/>
  <c r="F21" i="45"/>
  <c r="G21" i="45" s="1"/>
  <c r="H21" i="45" s="1"/>
  <c r="I21" i="45" s="1"/>
  <c r="J21" i="45" s="1"/>
  <c r="K21" i="45" s="1"/>
  <c r="L21" i="45" s="1"/>
  <c r="M21" i="45" s="1"/>
  <c r="N21" i="45" s="1"/>
  <c r="N20" i="45"/>
  <c r="M20" i="45"/>
  <c r="L20" i="45"/>
  <c r="K20" i="45"/>
  <c r="J20" i="45"/>
  <c r="I20" i="45"/>
  <c r="H20" i="45"/>
  <c r="G20" i="45"/>
  <c r="F20" i="45"/>
  <c r="E20" i="45"/>
  <c r="D20" i="45"/>
  <c r="F66" i="45" s="1"/>
  <c r="E66" i="45" s="1"/>
  <c r="N19" i="45"/>
  <c r="M19" i="45"/>
  <c r="L19" i="45"/>
  <c r="K19" i="45"/>
  <c r="J19" i="45"/>
  <c r="I19" i="45"/>
  <c r="H19" i="45"/>
  <c r="G19" i="45"/>
  <c r="F19" i="45"/>
  <c r="E19" i="45"/>
  <c r="F65" i="45" s="1"/>
  <c r="E65" i="45" s="1"/>
  <c r="D19" i="45"/>
  <c r="N18" i="45"/>
  <c r="M18" i="45"/>
  <c r="L18" i="45"/>
  <c r="K18" i="45"/>
  <c r="J18" i="45"/>
  <c r="I18" i="45"/>
  <c r="H18" i="45"/>
  <c r="G18" i="45"/>
  <c r="F18" i="45"/>
  <c r="F24" i="45" s="1"/>
  <c r="F29" i="45" s="1"/>
  <c r="E18" i="45"/>
  <c r="D18" i="45"/>
  <c r="F64" i="45" s="1"/>
  <c r="E64" i="45" s="1"/>
  <c r="N17" i="45"/>
  <c r="M17" i="45"/>
  <c r="L17" i="45"/>
  <c r="K17" i="45"/>
  <c r="J17" i="45"/>
  <c r="I17" i="45"/>
  <c r="F63" i="45" s="1"/>
  <c r="E63" i="45" s="1"/>
  <c r="H17" i="45"/>
  <c r="G17" i="45"/>
  <c r="F17" i="45"/>
  <c r="E17" i="45"/>
  <c r="D17" i="45"/>
  <c r="N16" i="45"/>
  <c r="M16" i="45"/>
  <c r="L16" i="45"/>
  <c r="K16" i="45"/>
  <c r="J16" i="45"/>
  <c r="I16" i="45"/>
  <c r="H16" i="45"/>
  <c r="G16" i="45"/>
  <c r="F16" i="45"/>
  <c r="E16" i="45"/>
  <c r="D16" i="45"/>
  <c r="F62" i="45" s="1"/>
  <c r="E62" i="45" s="1"/>
  <c r="N15" i="45"/>
  <c r="M15" i="45"/>
  <c r="L15" i="45"/>
  <c r="K15" i="45"/>
  <c r="J15" i="45"/>
  <c r="I15" i="45"/>
  <c r="H15" i="45"/>
  <c r="G15" i="45"/>
  <c r="F15" i="45"/>
  <c r="E15" i="45"/>
  <c r="D15" i="45"/>
  <c r="F61" i="45" s="1"/>
  <c r="E61" i="45" s="1"/>
  <c r="N14" i="45"/>
  <c r="M14" i="45"/>
  <c r="L14" i="45"/>
  <c r="K14" i="45"/>
  <c r="J14" i="45"/>
  <c r="I14" i="45"/>
  <c r="H14" i="45"/>
  <c r="G14" i="45"/>
  <c r="F14" i="45"/>
  <c r="E14" i="45"/>
  <c r="E24" i="45" s="1"/>
  <c r="E29" i="45" s="1"/>
  <c r="D14" i="45"/>
  <c r="M12" i="45"/>
  <c r="M26" i="45" s="1"/>
  <c r="E12" i="45"/>
  <c r="E26" i="45" s="1"/>
  <c r="E30" i="45" s="1"/>
  <c r="N11" i="45"/>
  <c r="M11" i="45"/>
  <c r="L11" i="45"/>
  <c r="K11" i="45"/>
  <c r="J11" i="45"/>
  <c r="I11" i="45"/>
  <c r="H11" i="45"/>
  <c r="G11" i="45"/>
  <c r="F11" i="45"/>
  <c r="E11" i="45"/>
  <c r="D11" i="45"/>
  <c r="N10" i="45"/>
  <c r="M10" i="45"/>
  <c r="L10" i="45"/>
  <c r="K10" i="45"/>
  <c r="J10" i="45"/>
  <c r="I10" i="45"/>
  <c r="H10" i="45"/>
  <c r="G10" i="45"/>
  <c r="F10" i="45"/>
  <c r="E10" i="45"/>
  <c r="D10" i="45"/>
  <c r="N9" i="45"/>
  <c r="M9" i="45"/>
  <c r="L9" i="45"/>
  <c r="K9" i="45"/>
  <c r="J9" i="45"/>
  <c r="I9" i="45"/>
  <c r="H9" i="45"/>
  <c r="G9" i="45"/>
  <c r="F9" i="45"/>
  <c r="E9" i="45"/>
  <c r="D9" i="45"/>
  <c r="N8" i="45"/>
  <c r="M8" i="45"/>
  <c r="L8" i="45"/>
  <c r="K8" i="45"/>
  <c r="J8" i="45"/>
  <c r="I8" i="45"/>
  <c r="H8" i="45"/>
  <c r="G8" i="45"/>
  <c r="F8" i="45"/>
  <c r="E8" i="45"/>
  <c r="D8" i="45"/>
  <c r="N7" i="45"/>
  <c r="M7" i="45"/>
  <c r="L7" i="45"/>
  <c r="K7" i="45"/>
  <c r="J7" i="45"/>
  <c r="I7" i="45"/>
  <c r="H7" i="45"/>
  <c r="G7" i="45"/>
  <c r="F7" i="45"/>
  <c r="E7" i="45"/>
  <c r="D7" i="45"/>
  <c r="N6" i="45"/>
  <c r="M6" i="45"/>
  <c r="L6" i="45"/>
  <c r="K6" i="45"/>
  <c r="J6" i="45"/>
  <c r="I6" i="45"/>
  <c r="H6" i="45"/>
  <c r="G6" i="45"/>
  <c r="G12" i="45" s="1"/>
  <c r="G26" i="45" s="1"/>
  <c r="F6" i="45"/>
  <c r="E6" i="45"/>
  <c r="D6" i="45"/>
  <c r="N5" i="45"/>
  <c r="N12" i="45" s="1"/>
  <c r="N26" i="45" s="1"/>
  <c r="M5" i="45"/>
  <c r="L5" i="45"/>
  <c r="L12" i="45" s="1"/>
  <c r="L26" i="45" s="1"/>
  <c r="K5" i="45"/>
  <c r="K12" i="45" s="1"/>
  <c r="K26" i="45" s="1"/>
  <c r="J5" i="45"/>
  <c r="J12" i="45" s="1"/>
  <c r="J26" i="45" s="1"/>
  <c r="I5" i="45"/>
  <c r="I12" i="45" s="1"/>
  <c r="I26" i="45" s="1"/>
  <c r="H5" i="45"/>
  <c r="H12" i="45" s="1"/>
  <c r="H26" i="45" s="1"/>
  <c r="G5" i="45"/>
  <c r="F5" i="45"/>
  <c r="F12" i="45" s="1"/>
  <c r="F26" i="45" s="1"/>
  <c r="F30" i="45" s="1"/>
  <c r="E5" i="45"/>
  <c r="D5" i="45"/>
  <c r="D12" i="45" s="1"/>
  <c r="D26" i="45" s="1"/>
  <c r="L111" i="45" l="1"/>
  <c r="K116" i="45"/>
  <c r="L116" i="45" s="1"/>
  <c r="I56" i="45"/>
  <c r="J24" i="45"/>
  <c r="J29" i="45" s="1"/>
  <c r="N24" i="45"/>
  <c r="N29" i="45" s="1"/>
  <c r="H30" i="45"/>
  <c r="J30" i="45"/>
  <c r="K24" i="45"/>
  <c r="K29" i="45" s="1"/>
  <c r="K30" i="45" s="1"/>
  <c r="H24" i="45"/>
  <c r="H29" i="45" s="1"/>
  <c r="H56" i="45"/>
  <c r="G24" i="45"/>
  <c r="G29" i="45" s="1"/>
  <c r="G30" i="45" s="1"/>
  <c r="I24" i="45"/>
  <c r="I29" i="45" s="1"/>
  <c r="I30" i="45" s="1"/>
  <c r="L24" i="45"/>
  <c r="L29" i="45" s="1"/>
  <c r="L30" i="45"/>
  <c r="M24" i="45"/>
  <c r="M29" i="45" s="1"/>
  <c r="M30" i="45" s="1"/>
  <c r="D23" i="45"/>
  <c r="F68" i="45"/>
  <c r="F60" i="45"/>
  <c r="E65" i="28"/>
  <c r="N45" i="28"/>
  <c r="M45" i="28"/>
  <c r="L45" i="28"/>
  <c r="K45" i="28"/>
  <c r="J45" i="28"/>
  <c r="I45" i="28"/>
  <c r="H45" i="28"/>
  <c r="G45" i="28"/>
  <c r="F45" i="28"/>
  <c r="E45" i="28"/>
  <c r="D45" i="28"/>
  <c r="F41" i="23"/>
  <c r="E60" i="45" l="1"/>
  <c r="M125" i="29"/>
  <c r="M124" i="29"/>
  <c r="M123" i="29"/>
  <c r="M122" i="29"/>
  <c r="M121" i="29"/>
  <c r="M120" i="29"/>
  <c r="M119" i="29"/>
  <c r="M118" i="29"/>
  <c r="M117" i="29"/>
  <c r="M116" i="29"/>
  <c r="J126" i="29"/>
  <c r="J125" i="29"/>
  <c r="J124" i="29"/>
  <c r="J123" i="29"/>
  <c r="J122" i="29"/>
  <c r="J121" i="29"/>
  <c r="J120" i="29"/>
  <c r="J119" i="29"/>
  <c r="J118" i="29"/>
  <c r="J117" i="29"/>
  <c r="J116" i="29"/>
  <c r="G125" i="29"/>
  <c r="G118" i="29"/>
  <c r="G122" i="29"/>
  <c r="G124" i="29"/>
  <c r="G123" i="29"/>
  <c r="G121" i="29"/>
  <c r="G120" i="29"/>
  <c r="G119" i="29"/>
  <c r="G117" i="29"/>
  <c r="G116" i="29"/>
  <c r="I10" i="23"/>
  <c r="M126" i="29" l="1"/>
  <c r="G126" i="29"/>
  <c r="D155" i="22"/>
  <c r="D65" i="20"/>
  <c r="C123" i="22"/>
  <c r="H115" i="28"/>
  <c r="H113" i="28"/>
  <c r="H112" i="28"/>
  <c r="H111" i="28"/>
  <c r="F120" i="28"/>
  <c r="E106" i="34"/>
  <c r="F121" i="28"/>
  <c r="F99" i="28"/>
  <c r="F91" i="28"/>
  <c r="N18" i="15"/>
  <c r="M18" i="15"/>
  <c r="L18" i="15"/>
  <c r="K18" i="15"/>
  <c r="J18" i="15"/>
  <c r="I18" i="15"/>
  <c r="H18" i="15"/>
  <c r="G18" i="15"/>
  <c r="F18" i="15"/>
  <c r="E18" i="15"/>
  <c r="D18" i="15"/>
  <c r="N17" i="15"/>
  <c r="M17" i="15"/>
  <c r="L17" i="15"/>
  <c r="K17" i="15"/>
  <c r="J17" i="15"/>
  <c r="I17" i="15"/>
  <c r="H17" i="15"/>
  <c r="G17" i="15"/>
  <c r="F17" i="15"/>
  <c r="E17" i="15"/>
  <c r="D17" i="15"/>
  <c r="N16" i="15"/>
  <c r="M16" i="15"/>
  <c r="L16" i="15"/>
  <c r="K16" i="15"/>
  <c r="J16" i="15"/>
  <c r="I16" i="15"/>
  <c r="H16" i="15"/>
  <c r="G16" i="15"/>
  <c r="F16" i="15"/>
  <c r="E16" i="15"/>
  <c r="D16" i="15"/>
  <c r="N19" i="15"/>
  <c r="M19" i="15"/>
  <c r="L19" i="15"/>
  <c r="K19" i="15"/>
  <c r="J19" i="15"/>
  <c r="I19" i="15"/>
  <c r="H19" i="15"/>
  <c r="G19" i="15"/>
  <c r="F19" i="15"/>
  <c r="E19" i="15"/>
  <c r="D19" i="15"/>
  <c r="N52" i="28"/>
  <c r="M52" i="28"/>
  <c r="L52" i="28"/>
  <c r="K52" i="28"/>
  <c r="J52" i="28"/>
  <c r="I52" i="28"/>
  <c r="H52" i="28"/>
  <c r="G52" i="28"/>
  <c r="F52" i="28"/>
  <c r="E52" i="28"/>
  <c r="D44" i="28"/>
  <c r="D42" i="28"/>
  <c r="D11" i="28"/>
  <c r="D5" i="28"/>
  <c r="C19" i="18"/>
  <c r="C68" i="18"/>
  <c r="M29" i="18"/>
  <c r="L29" i="18"/>
  <c r="K29" i="18"/>
  <c r="J29" i="18"/>
  <c r="I29" i="18"/>
  <c r="H29" i="18"/>
  <c r="G29" i="18"/>
  <c r="F29" i="18"/>
  <c r="E29" i="18"/>
  <c r="D29" i="18"/>
  <c r="C30" i="18"/>
  <c r="D9" i="18"/>
  <c r="D87" i="18"/>
  <c r="D10" i="18" s="1"/>
  <c r="D48" i="18" s="1"/>
  <c r="P87" i="29"/>
  <c r="O87" i="29"/>
  <c r="N87" i="29"/>
  <c r="M87" i="29"/>
  <c r="L87" i="29"/>
  <c r="K87" i="29"/>
  <c r="J87" i="29"/>
  <c r="I87" i="29"/>
  <c r="H87" i="29"/>
  <c r="G87" i="29"/>
  <c r="P86" i="29"/>
  <c r="O86" i="29"/>
  <c r="N86" i="29"/>
  <c r="M86" i="29"/>
  <c r="L86" i="29"/>
  <c r="K86" i="29"/>
  <c r="J86" i="29"/>
  <c r="I86" i="29"/>
  <c r="H86" i="29"/>
  <c r="G86" i="29"/>
  <c r="C25" i="23"/>
  <c r="I25" i="23" s="1"/>
  <c r="C24" i="23"/>
  <c r="C20" i="23"/>
  <c r="C18" i="23"/>
  <c r="E16" i="23"/>
  <c r="F16" i="23" s="1"/>
  <c r="F10" i="23"/>
  <c r="F18" i="23" s="1"/>
  <c r="E10" i="23"/>
  <c r="G18" i="23"/>
  <c r="E18" i="23"/>
  <c r="D18" i="23"/>
  <c r="E17" i="23"/>
  <c r="D17" i="23"/>
  <c r="C17" i="23"/>
  <c r="D16" i="23"/>
  <c r="M15" i="23"/>
  <c r="L15" i="23"/>
  <c r="K15" i="23"/>
  <c r="J15" i="23"/>
  <c r="D154" i="22"/>
  <c r="C30" i="22"/>
  <c r="C39" i="22" s="1"/>
  <c r="C48" i="22" s="1"/>
  <c r="C57" i="22" s="1"/>
  <c r="C66" i="22" s="1"/>
  <c r="C75" i="22" s="1"/>
  <c r="C84" i="22" s="1"/>
  <c r="C93" i="22" s="1"/>
  <c r="C102" i="22" s="1"/>
  <c r="C111" i="22" s="1"/>
  <c r="D20" i="22"/>
  <c r="D11" i="22"/>
  <c r="C124" i="22"/>
  <c r="C122" i="22"/>
  <c r="C121" i="22"/>
  <c r="D90" i="22"/>
  <c r="D91" i="22" s="1"/>
  <c r="E90" i="22"/>
  <c r="E91" i="22" s="1"/>
  <c r="G90" i="22"/>
  <c r="H90" i="22"/>
  <c r="C91" i="22"/>
  <c r="G91" i="22"/>
  <c r="H91" i="22"/>
  <c r="D92" i="22"/>
  <c r="E92" i="22" s="1"/>
  <c r="F92" i="22" s="1"/>
  <c r="G92" i="22" s="1"/>
  <c r="L92" i="22"/>
  <c r="M92" i="22" s="1"/>
  <c r="C95" i="22"/>
  <c r="G20" i="20"/>
  <c r="F20" i="20"/>
  <c r="M30" i="20"/>
  <c r="L30" i="20"/>
  <c r="K30" i="20"/>
  <c r="J30" i="20"/>
  <c r="I30" i="20"/>
  <c r="H30" i="20"/>
  <c r="G30" i="20"/>
  <c r="F30" i="20"/>
  <c r="E30" i="20"/>
  <c r="D30" i="20"/>
  <c r="C45" i="20"/>
  <c r="C42" i="20"/>
  <c r="C43" i="20"/>
  <c r="C40" i="20"/>
  <c r="F43" i="20" s="1"/>
  <c r="G12" i="20"/>
  <c r="G11" i="20"/>
  <c r="H26" i="29"/>
  <c r="C59" i="20"/>
  <c r="I43" i="20"/>
  <c r="H43" i="20"/>
  <c r="G43" i="20"/>
  <c r="C41" i="26"/>
  <c r="C43" i="26" s="1"/>
  <c r="B32" i="26"/>
  <c r="M29" i="26" s="1"/>
  <c r="N44" i="28" s="1"/>
  <c r="B22" i="26"/>
  <c r="I19" i="26" s="1"/>
  <c r="J44" i="28" s="1"/>
  <c r="D59" i="26"/>
  <c r="D58" i="26"/>
  <c r="G19" i="26"/>
  <c r="H44" i="28" s="1"/>
  <c r="F9" i="26"/>
  <c r="G44" i="28" s="1"/>
  <c r="D9" i="26"/>
  <c r="E44" i="28" s="1"/>
  <c r="C30" i="19"/>
  <c r="C32" i="19" s="1"/>
  <c r="D44" i="19"/>
  <c r="M9" i="19"/>
  <c r="L9" i="19"/>
  <c r="K9" i="19"/>
  <c r="J9" i="19"/>
  <c r="I9" i="19"/>
  <c r="H9" i="19"/>
  <c r="G9" i="19"/>
  <c r="F9" i="19"/>
  <c r="E9" i="19"/>
  <c r="D9" i="19"/>
  <c r="F79" i="28" l="1"/>
  <c r="D47" i="18"/>
  <c r="E47" i="18" s="1"/>
  <c r="F47" i="18" s="1"/>
  <c r="G47" i="18" s="1"/>
  <c r="H47" i="18" s="1"/>
  <c r="E48" i="18"/>
  <c r="F48" i="18" s="1"/>
  <c r="G48" i="18" s="1"/>
  <c r="H48" i="18" s="1"/>
  <c r="I48" i="18" s="1"/>
  <c r="J25" i="23"/>
  <c r="K25" i="23"/>
  <c r="D25" i="23"/>
  <c r="L25" i="23"/>
  <c r="E25" i="23"/>
  <c r="M25" i="23"/>
  <c r="F25" i="23"/>
  <c r="G25" i="23"/>
  <c r="H25" i="23"/>
  <c r="F80" i="28"/>
  <c r="E80" i="28" s="1"/>
  <c r="C15" i="38" s="1"/>
  <c r="M67" i="28" s="1"/>
  <c r="K115" i="28"/>
  <c r="L115" i="28" s="1"/>
  <c r="K114" i="28"/>
  <c r="L114" i="28" s="1"/>
  <c r="K113" i="28"/>
  <c r="L113" i="28" s="1"/>
  <c r="K112" i="28"/>
  <c r="L112" i="28" s="1"/>
  <c r="G116" i="28"/>
  <c r="F78" i="28"/>
  <c r="F77" i="28"/>
  <c r="E87" i="29"/>
  <c r="D89" i="18" s="1"/>
  <c r="G16" i="23"/>
  <c r="G17" i="23" s="1"/>
  <c r="F17" i="23"/>
  <c r="H16" i="23"/>
  <c r="C96" i="22"/>
  <c r="F90" i="22"/>
  <c r="F91" i="22" s="1"/>
  <c r="H92" i="22"/>
  <c r="C94" i="22"/>
  <c r="K43" i="20"/>
  <c r="J43" i="20"/>
  <c r="D43" i="20"/>
  <c r="L43" i="20"/>
  <c r="E43" i="20"/>
  <c r="M43" i="20"/>
  <c r="L29" i="26"/>
  <c r="M44" i="28" s="1"/>
  <c r="K29" i="26"/>
  <c r="L44" i="28" s="1"/>
  <c r="J29" i="26"/>
  <c r="K44" i="28" s="1"/>
  <c r="H19" i="26"/>
  <c r="I44" i="28" s="1"/>
  <c r="I47" i="18" l="1"/>
  <c r="J47" i="18" s="1"/>
  <c r="K47" i="18" s="1"/>
  <c r="L47" i="18" s="1"/>
  <c r="M47" i="18" s="1"/>
  <c r="J48" i="18"/>
  <c r="K48" i="18" s="1"/>
  <c r="L48" i="18" s="1"/>
  <c r="M48" i="18" s="1"/>
  <c r="M33" i="26"/>
  <c r="L33" i="26"/>
  <c r="K33" i="26"/>
  <c r="J33" i="26"/>
  <c r="H17" i="23"/>
  <c r="I17" i="23" l="1"/>
  <c r="J17" i="23" l="1"/>
  <c r="K17" i="23" l="1"/>
  <c r="L16" i="23"/>
  <c r="L17" i="23" l="1"/>
  <c r="M16" i="23"/>
  <c r="M17" i="23" s="1"/>
  <c r="C42" i="14" l="1"/>
  <c r="C44" i="14" s="1"/>
  <c r="M29" i="14"/>
  <c r="N42" i="28" s="1"/>
  <c r="L29" i="14"/>
  <c r="M42" i="28" s="1"/>
  <c r="K29" i="14"/>
  <c r="L42" i="28" s="1"/>
  <c r="J29" i="14"/>
  <c r="K42" i="28" s="1"/>
  <c r="I19" i="14"/>
  <c r="J42" i="28" s="1"/>
  <c r="H19" i="14"/>
  <c r="I42" i="28" s="1"/>
  <c r="G19" i="14"/>
  <c r="H42" i="28" s="1"/>
  <c r="D60" i="14" l="1"/>
  <c r="C60" i="14" s="1"/>
  <c r="D59" i="14"/>
  <c r="C59" i="14" s="1"/>
  <c r="F9" i="14"/>
  <c r="G42" i="28" s="1"/>
  <c r="D9" i="14"/>
  <c r="E42" i="28" s="1"/>
  <c r="D15" i="15"/>
  <c r="D14" i="15"/>
  <c r="D13" i="15"/>
  <c r="D12" i="15"/>
  <c r="D11" i="15"/>
  <c r="D10" i="15"/>
  <c r="D9" i="15"/>
  <c r="P93" i="29"/>
  <c r="O93" i="29"/>
  <c r="N93" i="29"/>
  <c r="L93" i="29"/>
  <c r="K93" i="29"/>
  <c r="J93" i="29"/>
  <c r="I93" i="29"/>
  <c r="H93" i="29"/>
  <c r="G93" i="29"/>
  <c r="M77" i="29"/>
  <c r="M93" i="29" s="1"/>
  <c r="E56" i="29"/>
  <c r="E43" i="29"/>
  <c r="P102" i="29"/>
  <c r="O102" i="29"/>
  <c r="N102" i="29"/>
  <c r="M102" i="29"/>
  <c r="L102" i="29"/>
  <c r="K102" i="29"/>
  <c r="J102" i="29"/>
  <c r="I102" i="29"/>
  <c r="H102" i="29"/>
  <c r="P98" i="29"/>
  <c r="O98" i="29"/>
  <c r="N98" i="29"/>
  <c r="M98" i="29"/>
  <c r="L98" i="29"/>
  <c r="J98" i="29"/>
  <c r="I98" i="29"/>
  <c r="H98" i="29"/>
  <c r="G98" i="29"/>
  <c r="P97" i="29"/>
  <c r="O97" i="29"/>
  <c r="N97" i="29"/>
  <c r="M97" i="29"/>
  <c r="K97" i="29"/>
  <c r="J97" i="29"/>
  <c r="I97" i="29"/>
  <c r="H97" i="29"/>
  <c r="G97" i="29"/>
  <c r="P104" i="29"/>
  <c r="M104" i="29"/>
  <c r="L104" i="29"/>
  <c r="H104" i="29"/>
  <c r="P96" i="29"/>
  <c r="O96" i="29"/>
  <c r="N96" i="29"/>
  <c r="L96" i="29"/>
  <c r="K96" i="29"/>
  <c r="J96" i="29"/>
  <c r="I96" i="29"/>
  <c r="H96" i="29"/>
  <c r="G96" i="29"/>
  <c r="P95" i="29"/>
  <c r="O95" i="29"/>
  <c r="N95" i="29"/>
  <c r="L95" i="29"/>
  <c r="K95" i="29"/>
  <c r="J95" i="29"/>
  <c r="I95" i="29"/>
  <c r="H95" i="29"/>
  <c r="G95" i="29"/>
  <c r="P103" i="29"/>
  <c r="O103" i="29"/>
  <c r="N103" i="29"/>
  <c r="M103" i="29"/>
  <c r="L103" i="29"/>
  <c r="J103" i="29"/>
  <c r="I103" i="29"/>
  <c r="H103" i="29"/>
  <c r="G103" i="29"/>
  <c r="P100" i="29"/>
  <c r="O100" i="29"/>
  <c r="N100" i="29"/>
  <c r="M100" i="29"/>
  <c r="K100" i="29"/>
  <c r="J100" i="29"/>
  <c r="I100" i="29"/>
  <c r="H100" i="29"/>
  <c r="G100" i="29"/>
  <c r="P99" i="29"/>
  <c r="O99" i="29"/>
  <c r="N99" i="29"/>
  <c r="M99" i="29"/>
  <c r="L99" i="29"/>
  <c r="K99" i="29"/>
  <c r="I99" i="29"/>
  <c r="H99" i="29"/>
  <c r="G99" i="29"/>
  <c r="P101" i="29"/>
  <c r="O101" i="29"/>
  <c r="N101" i="29"/>
  <c r="M101" i="29"/>
  <c r="K101" i="29"/>
  <c r="I101" i="29"/>
  <c r="P94" i="29"/>
  <c r="O94" i="29"/>
  <c r="N94" i="29"/>
  <c r="M94" i="29"/>
  <c r="L94" i="29"/>
  <c r="K94" i="29"/>
  <c r="J94" i="29"/>
  <c r="I94" i="29"/>
  <c r="H94" i="29"/>
  <c r="O92" i="29"/>
  <c r="N92" i="29"/>
  <c r="M92" i="29"/>
  <c r="L92" i="29"/>
  <c r="K92" i="29"/>
  <c r="J92" i="29"/>
  <c r="I92" i="29"/>
  <c r="H92" i="29"/>
  <c r="G92" i="29"/>
  <c r="P91" i="29"/>
  <c r="O91" i="29"/>
  <c r="N91" i="29"/>
  <c r="M91" i="29"/>
  <c r="K91" i="29"/>
  <c r="I91" i="29"/>
  <c r="H91" i="29"/>
  <c r="G91" i="29"/>
  <c r="P90" i="29"/>
  <c r="O90" i="29"/>
  <c r="N90" i="29"/>
  <c r="K90" i="29"/>
  <c r="I90" i="29"/>
  <c r="H90" i="29"/>
  <c r="P89" i="29"/>
  <c r="O89" i="29"/>
  <c r="N89" i="29"/>
  <c r="M89" i="29"/>
  <c r="L89" i="29"/>
  <c r="K89" i="29"/>
  <c r="I89" i="29"/>
  <c r="H89" i="29"/>
  <c r="G89" i="29"/>
  <c r="P88" i="29"/>
  <c r="N88" i="29"/>
  <c r="M88" i="29"/>
  <c r="K88" i="29"/>
  <c r="J88" i="29"/>
  <c r="I88" i="29"/>
  <c r="G88" i="29"/>
  <c r="G85" i="29"/>
  <c r="D27" i="20" s="1"/>
  <c r="D45" i="20" s="1"/>
  <c r="P85" i="29"/>
  <c r="M27" i="20" s="1"/>
  <c r="M45" i="20" s="1"/>
  <c r="M85" i="29"/>
  <c r="J27" i="20" s="1"/>
  <c r="J45" i="20" s="1"/>
  <c r="L85" i="29"/>
  <c r="I27" i="20" s="1"/>
  <c r="I45" i="20" s="1"/>
  <c r="J85" i="29"/>
  <c r="G27" i="20" s="1"/>
  <c r="G45" i="20" s="1"/>
  <c r="I85" i="29"/>
  <c r="F27" i="20" s="1"/>
  <c r="F45" i="20" s="1"/>
  <c r="P84" i="29"/>
  <c r="M18" i="20" s="1"/>
  <c r="M84" i="29"/>
  <c r="J18" i="20" s="1"/>
  <c r="K84" i="29"/>
  <c r="H18" i="20" s="1"/>
  <c r="J84" i="29"/>
  <c r="G18" i="20" s="1"/>
  <c r="I84" i="29"/>
  <c r="F18" i="20" s="1"/>
  <c r="H84" i="29"/>
  <c r="E18" i="20" s="1"/>
  <c r="G84" i="29"/>
  <c r="D18" i="20" s="1"/>
  <c r="N112" i="29"/>
  <c r="K112" i="29"/>
  <c r="I112" i="29"/>
  <c r="P111" i="29"/>
  <c r="O111" i="29"/>
  <c r="N111" i="29"/>
  <c r="H111" i="29"/>
  <c r="P110" i="29"/>
  <c r="M110" i="29"/>
  <c r="J110" i="29"/>
  <c r="I110" i="29"/>
  <c r="G110" i="29"/>
  <c r="P109" i="29"/>
  <c r="M109" i="29"/>
  <c r="P108" i="29"/>
  <c r="P82" i="29" s="1"/>
  <c r="O108" i="29"/>
  <c r="O82" i="29" s="1"/>
  <c r="N108" i="29"/>
  <c r="L108" i="29"/>
  <c r="H108" i="29"/>
  <c r="H82" i="29" s="1"/>
  <c r="E111" i="29"/>
  <c r="E108" i="29"/>
  <c r="P83" i="29"/>
  <c r="O83" i="29"/>
  <c r="N83" i="29"/>
  <c r="M83" i="29"/>
  <c r="L83" i="29"/>
  <c r="K83" i="29"/>
  <c r="I83" i="29"/>
  <c r="H83" i="29"/>
  <c r="G83" i="29"/>
  <c r="O68" i="29"/>
  <c r="O84" i="29" s="1"/>
  <c r="L18" i="20" s="1"/>
  <c r="O67" i="29"/>
  <c r="O66" i="29"/>
  <c r="O65" i="29"/>
  <c r="O64" i="29"/>
  <c r="P78" i="29"/>
  <c r="P112" i="29" s="1"/>
  <c r="N63" i="29"/>
  <c r="N62" i="29"/>
  <c r="N61" i="29"/>
  <c r="N60" i="29"/>
  <c r="N59" i="29"/>
  <c r="M69" i="29"/>
  <c r="M112" i="29" s="1"/>
  <c r="M70" i="29"/>
  <c r="M96" i="29" s="1"/>
  <c r="M76" i="29"/>
  <c r="M75" i="29"/>
  <c r="M74" i="29"/>
  <c r="M95" i="29" s="1"/>
  <c r="M73" i="29"/>
  <c r="M72" i="29"/>
  <c r="L56" i="29"/>
  <c r="L88" i="29" s="1"/>
  <c r="L51" i="29"/>
  <c r="L50" i="29"/>
  <c r="L100" i="29" s="1"/>
  <c r="D42" i="23" s="1"/>
  <c r="L49" i="29"/>
  <c r="L48" i="29"/>
  <c r="L109" i="29" s="1"/>
  <c r="L47" i="29"/>
  <c r="L35" i="29"/>
  <c r="L34" i="29"/>
  <c r="K33" i="29"/>
  <c r="K98" i="29" s="1"/>
  <c r="K32" i="29"/>
  <c r="K85" i="29" s="1"/>
  <c r="H27" i="20" s="1"/>
  <c r="H45" i="20" s="1"/>
  <c r="K54" i="29"/>
  <c r="K38" i="29"/>
  <c r="K37" i="29"/>
  <c r="K111" i="29" s="1"/>
  <c r="K36" i="29"/>
  <c r="J44" i="29"/>
  <c r="J83" i="29" s="1"/>
  <c r="J43" i="29"/>
  <c r="J99" i="29" s="1"/>
  <c r="D41" i="23" s="1"/>
  <c r="J111" i="29"/>
  <c r="J42" i="29"/>
  <c r="J104" i="29" s="1"/>
  <c r="C146" i="22" s="1"/>
  <c r="G63" i="22" s="1"/>
  <c r="J39" i="29"/>
  <c r="J89" i="29" s="1"/>
  <c r="E27" i="29"/>
  <c r="G27" i="29" s="1"/>
  <c r="I21" i="29"/>
  <c r="I20" i="29"/>
  <c r="I19" i="29"/>
  <c r="I18" i="29"/>
  <c r="I17" i="29"/>
  <c r="I16" i="29"/>
  <c r="G15" i="29"/>
  <c r="G14" i="29"/>
  <c r="G12" i="29"/>
  <c r="G104" i="29" s="1"/>
  <c r="C142" i="22" s="1"/>
  <c r="G11" i="29"/>
  <c r="G10" i="29"/>
  <c r="G13" i="29"/>
  <c r="G9" i="29"/>
  <c r="E71" i="29"/>
  <c r="O71" i="29" s="1"/>
  <c r="O112" i="29" s="1"/>
  <c r="E45" i="29"/>
  <c r="J45" i="29" s="1"/>
  <c r="J101" i="29" s="1"/>
  <c r="C145" i="22" s="1"/>
  <c r="G54" i="22" s="1"/>
  <c r="E28" i="29"/>
  <c r="G28" i="29" s="1"/>
  <c r="C54" i="28" l="1"/>
  <c r="M31" i="14"/>
  <c r="K31" i="14"/>
  <c r="J31" i="14"/>
  <c r="L31" i="14"/>
  <c r="I28" i="23"/>
  <c r="C42" i="23"/>
  <c r="I15" i="23" s="1"/>
  <c r="F19" i="20"/>
  <c r="E9" i="14"/>
  <c r="F42" i="28" s="1"/>
  <c r="D58" i="14"/>
  <c r="D20" i="15"/>
  <c r="E93" i="29"/>
  <c r="N104" i="29"/>
  <c r="C150" i="22" s="1"/>
  <c r="K99" i="22" s="1"/>
  <c r="G94" i="29"/>
  <c r="E94" i="29" s="1"/>
  <c r="O104" i="29"/>
  <c r="C151" i="22" s="1"/>
  <c r="L108" i="22" s="1"/>
  <c r="M90" i="29"/>
  <c r="E83" i="29"/>
  <c r="O88" i="29"/>
  <c r="P92" i="29"/>
  <c r="E92" i="29" s="1"/>
  <c r="E89" i="29"/>
  <c r="E100" i="29"/>
  <c r="E95" i="29"/>
  <c r="E98" i="29"/>
  <c r="E96" i="29"/>
  <c r="E99" i="29"/>
  <c r="I104" i="29"/>
  <c r="C144" i="22" s="1"/>
  <c r="L101" i="29"/>
  <c r="C149" i="22" s="1"/>
  <c r="I90" i="22" s="1"/>
  <c r="P105" i="29"/>
  <c r="P113" i="29" s="1"/>
  <c r="P114" i="29" s="1"/>
  <c r="L110" i="29"/>
  <c r="N85" i="29"/>
  <c r="K27" i="20" s="1"/>
  <c r="K45" i="20" s="1"/>
  <c r="G108" i="29"/>
  <c r="G82" i="29" s="1"/>
  <c r="O109" i="29"/>
  <c r="I108" i="29"/>
  <c r="I81" i="29" s="1"/>
  <c r="K110" i="29"/>
  <c r="N109" i="29"/>
  <c r="K108" i="29"/>
  <c r="K81" i="29" s="1"/>
  <c r="I105" i="29"/>
  <c r="L111" i="29"/>
  <c r="J109" i="29"/>
  <c r="J108" i="29"/>
  <c r="N110" i="29"/>
  <c r="I109" i="29"/>
  <c r="M111" i="29"/>
  <c r="G111" i="29"/>
  <c r="O85" i="29"/>
  <c r="L27" i="20" s="1"/>
  <c r="L45" i="20" s="1"/>
  <c r="M105" i="29"/>
  <c r="M108" i="29"/>
  <c r="M82" i="29" s="1"/>
  <c r="N105" i="29"/>
  <c r="O105" i="29"/>
  <c r="L84" i="29"/>
  <c r="I18" i="20" s="1"/>
  <c r="I111" i="29"/>
  <c r="N84" i="29"/>
  <c r="K18" i="20" s="1"/>
  <c r="O110" i="29"/>
  <c r="L81" i="29"/>
  <c r="L82" i="29"/>
  <c r="N81" i="29"/>
  <c r="O81" i="29"/>
  <c r="N82" i="29"/>
  <c r="P81" i="29"/>
  <c r="H81" i="29"/>
  <c r="I91" i="22" l="1"/>
  <c r="J90" i="22"/>
  <c r="J19" i="20"/>
  <c r="D57" i="26"/>
  <c r="E9" i="26"/>
  <c r="F44" i="28" s="1"/>
  <c r="P106" i="29"/>
  <c r="O106" i="29"/>
  <c r="E84" i="29"/>
  <c r="C60" i="20" s="1"/>
  <c r="N106" i="29"/>
  <c r="E86" i="29"/>
  <c r="D88" i="18" s="1"/>
  <c r="K82" i="29"/>
  <c r="I82" i="29"/>
  <c r="E82" i="29" s="1"/>
  <c r="G81" i="29"/>
  <c r="O113" i="29"/>
  <c r="O114" i="29" s="1"/>
  <c r="N113" i="29"/>
  <c r="N114" i="29" s="1"/>
  <c r="I113" i="29"/>
  <c r="I114" i="29" s="1"/>
  <c r="M113" i="29"/>
  <c r="M114" i="29" s="1"/>
  <c r="M81" i="29"/>
  <c r="M106" i="29" s="1"/>
  <c r="L19" i="20" l="1"/>
  <c r="K19" i="20"/>
  <c r="M19" i="20" s="1"/>
  <c r="K90" i="22"/>
  <c r="J91" i="22"/>
  <c r="I106" i="29"/>
  <c r="E81" i="29"/>
  <c r="P7" i="37"/>
  <c r="P6" i="37"/>
  <c r="C108" i="29"/>
  <c r="E23" i="29"/>
  <c r="H23" i="29" s="1"/>
  <c r="E22" i="29"/>
  <c r="E24" i="29"/>
  <c r="H24" i="29" s="1"/>
  <c r="E55" i="29"/>
  <c r="L55" i="29" s="1"/>
  <c r="E53" i="29"/>
  <c r="K53" i="29" s="1"/>
  <c r="K103" i="29" s="1"/>
  <c r="E52" i="29"/>
  <c r="K52" i="29" s="1"/>
  <c r="K104" i="29" s="1"/>
  <c r="E46" i="29"/>
  <c r="L46" i="29" s="1"/>
  <c r="L97" i="29" s="1"/>
  <c r="E97" i="29" s="1"/>
  <c r="E41" i="29"/>
  <c r="E26" i="29"/>
  <c r="E110" i="29" s="1"/>
  <c r="E25" i="29"/>
  <c r="E104" i="29" l="1"/>
  <c r="C148" i="22"/>
  <c r="E103" i="29"/>
  <c r="C147" i="22"/>
  <c r="K91" i="22"/>
  <c r="L90" i="22"/>
  <c r="H88" i="29"/>
  <c r="E88" i="29" s="1"/>
  <c r="L91" i="29"/>
  <c r="L90" i="29"/>
  <c r="H25" i="29"/>
  <c r="E109" i="29"/>
  <c r="L112" i="29"/>
  <c r="L105" i="29"/>
  <c r="K105" i="29"/>
  <c r="K106" i="29" s="1"/>
  <c r="K109" i="29"/>
  <c r="H112" i="29"/>
  <c r="G22" i="29"/>
  <c r="E40" i="29"/>
  <c r="J40" i="29" s="1"/>
  <c r="J90" i="29" s="1"/>
  <c r="J41" i="29"/>
  <c r="J91" i="29" s="1"/>
  <c r="L91" i="22" l="1"/>
  <c r="M90" i="22"/>
  <c r="M91" i="22" s="1"/>
  <c r="E91" i="29"/>
  <c r="E112" i="29"/>
  <c r="L106" i="29"/>
  <c r="G112" i="29"/>
  <c r="G90" i="29"/>
  <c r="E90" i="29" s="1"/>
  <c r="H109" i="29"/>
  <c r="H101" i="29"/>
  <c r="C143" i="22" s="1"/>
  <c r="H105" i="29"/>
  <c r="L113" i="29"/>
  <c r="L114" i="29" s="1"/>
  <c r="K113" i="29"/>
  <c r="K114" i="29" s="1"/>
  <c r="H85" i="29"/>
  <c r="E27" i="20" s="1"/>
  <c r="H110" i="29"/>
  <c r="J105" i="29"/>
  <c r="J106" i="29" s="1"/>
  <c r="J112" i="29"/>
  <c r="E105" i="29"/>
  <c r="E45" i="20" l="1"/>
  <c r="F28" i="20"/>
  <c r="E113" i="29"/>
  <c r="F113" i="29" s="1"/>
  <c r="H113" i="29"/>
  <c r="H114" i="29" s="1"/>
  <c r="E85" i="29"/>
  <c r="C61" i="20" s="1"/>
  <c r="H106" i="29"/>
  <c r="J113" i="29"/>
  <c r="J114" i="29" s="1"/>
  <c r="F109" i="29"/>
  <c r="F108" i="29"/>
  <c r="F111" i="29"/>
  <c r="F110" i="29"/>
  <c r="F112" i="29"/>
  <c r="G8" i="29"/>
  <c r="G109" i="29" l="1"/>
  <c r="G101" i="29"/>
  <c r="F114" i="29"/>
  <c r="B8" i="19"/>
  <c r="B8" i="14"/>
  <c r="G4" i="29"/>
  <c r="F4" i="29"/>
  <c r="P102" i="34"/>
  <c r="P98" i="34"/>
  <c r="P97" i="34"/>
  <c r="P96" i="34"/>
  <c r="P95" i="34"/>
  <c r="P94" i="34"/>
  <c r="P93" i="34"/>
  <c r="P92" i="34"/>
  <c r="P91" i="34"/>
  <c r="P90" i="34"/>
  <c r="P89" i="34"/>
  <c r="P88" i="34"/>
  <c r="P87" i="34"/>
  <c r="P86" i="34"/>
  <c r="P85" i="34"/>
  <c r="P84" i="34"/>
  <c r="P83" i="34"/>
  <c r="P82" i="34"/>
  <c r="P99" i="34" s="1"/>
  <c r="P78" i="34"/>
  <c r="P77" i="34"/>
  <c r="P76" i="34"/>
  <c r="P75" i="34"/>
  <c r="P74" i="34"/>
  <c r="P73" i="34"/>
  <c r="P72" i="34"/>
  <c r="P71" i="34"/>
  <c r="P70" i="34"/>
  <c r="P69" i="34"/>
  <c r="P68" i="34"/>
  <c r="P67" i="34"/>
  <c r="P79" i="34" s="1"/>
  <c r="P64" i="34"/>
  <c r="P63" i="34"/>
  <c r="P62" i="34"/>
  <c r="P61" i="34"/>
  <c r="P60" i="34"/>
  <c r="P59" i="34"/>
  <c r="P58" i="34"/>
  <c r="P57" i="34"/>
  <c r="P56" i="34"/>
  <c r="P55" i="34"/>
  <c r="P54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P38" i="34"/>
  <c r="P37" i="34"/>
  <c r="P36" i="34"/>
  <c r="P35" i="34"/>
  <c r="P51" i="34" s="1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32" i="34" s="1"/>
  <c r="D5" i="32"/>
  <c r="C5" i="32"/>
  <c r="D5" i="18"/>
  <c r="C5" i="18"/>
  <c r="D5" i="23"/>
  <c r="C5" i="23"/>
  <c r="D5" i="22"/>
  <c r="C5" i="22"/>
  <c r="D5" i="20"/>
  <c r="C5" i="20"/>
  <c r="D5" i="26"/>
  <c r="C5" i="26"/>
  <c r="D5" i="19"/>
  <c r="C5" i="19"/>
  <c r="D5" i="14"/>
  <c r="C5" i="14"/>
  <c r="D30" i="31"/>
  <c r="C30" i="31"/>
  <c r="E30" i="31" s="1"/>
  <c r="D29" i="31"/>
  <c r="C29" i="31"/>
  <c r="E29" i="31" s="1"/>
  <c r="D28" i="31"/>
  <c r="C28" i="31"/>
  <c r="E28" i="31" s="1"/>
  <c r="D27" i="31"/>
  <c r="C27" i="31"/>
  <c r="D26" i="31"/>
  <c r="C26" i="31"/>
  <c r="E26" i="31" s="1"/>
  <c r="D25" i="31"/>
  <c r="C25" i="31"/>
  <c r="E25" i="31" s="1"/>
  <c r="D24" i="31"/>
  <c r="C24" i="31"/>
  <c r="D23" i="31"/>
  <c r="C23" i="31"/>
  <c r="D22" i="31"/>
  <c r="C22" i="31"/>
  <c r="E22" i="31" s="1"/>
  <c r="D21" i="31"/>
  <c r="C21" i="31"/>
  <c r="E21" i="31" s="1"/>
  <c r="D20" i="31"/>
  <c r="C20" i="31"/>
  <c r="E20" i="31" s="1"/>
  <c r="D19" i="31"/>
  <c r="C19" i="31"/>
  <c r="D18" i="31"/>
  <c r="C18" i="31"/>
  <c r="E18" i="31" s="1"/>
  <c r="D17" i="31"/>
  <c r="C17" i="31"/>
  <c r="E17" i="31" s="1"/>
  <c r="D16" i="31"/>
  <c r="C16" i="31"/>
  <c r="D15" i="31"/>
  <c r="C15" i="31"/>
  <c r="E15" i="31" s="1"/>
  <c r="D14" i="31"/>
  <c r="C14" i="31"/>
  <c r="E14" i="31" s="1"/>
  <c r="D13" i="31"/>
  <c r="C13" i="31"/>
  <c r="E13" i="31" s="1"/>
  <c r="D12" i="31"/>
  <c r="C12" i="31"/>
  <c r="D11" i="31"/>
  <c r="C11" i="31"/>
  <c r="E11" i="31" s="1"/>
  <c r="D10" i="31"/>
  <c r="C10" i="31"/>
  <c r="E10" i="31" s="1"/>
  <c r="D9" i="31"/>
  <c r="C9" i="31"/>
  <c r="E9" i="31" s="1"/>
  <c r="D8" i="31"/>
  <c r="C8" i="31"/>
  <c r="D7" i="31"/>
  <c r="C7" i="31"/>
  <c r="E7" i="31" s="1"/>
  <c r="D6" i="31"/>
  <c r="C6" i="31"/>
  <c r="E6" i="31" s="1"/>
  <c r="D5" i="31"/>
  <c r="E5" i="31" s="1"/>
  <c r="C5" i="31"/>
  <c r="P103" i="34" l="1"/>
  <c r="E101" i="29"/>
  <c r="C141" i="22"/>
  <c r="B18" i="14"/>
  <c r="B28" i="14"/>
  <c r="E16" i="31"/>
  <c r="E24" i="31"/>
  <c r="E8" i="31"/>
  <c r="E12" i="31"/>
  <c r="E19" i="31"/>
  <c r="E23" i="31"/>
  <c r="E27" i="31"/>
  <c r="U98" i="34" l="1"/>
  <c r="T98" i="34"/>
  <c r="S98" i="34"/>
  <c r="J98" i="34" s="1"/>
  <c r="R98" i="34"/>
  <c r="U97" i="34"/>
  <c r="T97" i="34"/>
  <c r="S97" i="34"/>
  <c r="R97" i="34"/>
  <c r="U96" i="34"/>
  <c r="S96" i="34"/>
  <c r="R96" i="34"/>
  <c r="U95" i="34"/>
  <c r="T95" i="34"/>
  <c r="S95" i="34"/>
  <c r="R95" i="34"/>
  <c r="U94" i="34"/>
  <c r="S94" i="34"/>
  <c r="R94" i="34"/>
  <c r="U93" i="34"/>
  <c r="S93" i="34"/>
  <c r="R93" i="34"/>
  <c r="U92" i="34"/>
  <c r="T92" i="34"/>
  <c r="S92" i="34"/>
  <c r="R92" i="34"/>
  <c r="U91" i="34"/>
  <c r="T91" i="34"/>
  <c r="S91" i="34"/>
  <c r="R91" i="34"/>
  <c r="U90" i="34"/>
  <c r="T90" i="34"/>
  <c r="S90" i="34"/>
  <c r="R90" i="34"/>
  <c r="U89" i="34"/>
  <c r="T89" i="34"/>
  <c r="S89" i="34"/>
  <c r="R89" i="34"/>
  <c r="U88" i="34"/>
  <c r="T88" i="34"/>
  <c r="S88" i="34"/>
  <c r="R88" i="34"/>
  <c r="U87" i="34"/>
  <c r="S87" i="34"/>
  <c r="R87" i="34"/>
  <c r="U86" i="34"/>
  <c r="S86" i="34"/>
  <c r="R86" i="34"/>
  <c r="U85" i="34"/>
  <c r="S85" i="34"/>
  <c r="R85" i="34"/>
  <c r="U84" i="34"/>
  <c r="T84" i="34"/>
  <c r="S84" i="34"/>
  <c r="R84" i="34"/>
  <c r="U83" i="34"/>
  <c r="T83" i="34"/>
  <c r="S83" i="34"/>
  <c r="R83" i="34"/>
  <c r="U82" i="34"/>
  <c r="T82" i="34"/>
  <c r="S82" i="34"/>
  <c r="R82" i="34"/>
  <c r="U78" i="34"/>
  <c r="T78" i="34"/>
  <c r="S78" i="34"/>
  <c r="R78" i="34"/>
  <c r="U77" i="34"/>
  <c r="T77" i="34"/>
  <c r="S77" i="34"/>
  <c r="R77" i="34"/>
  <c r="U76" i="34"/>
  <c r="T76" i="34"/>
  <c r="S76" i="34"/>
  <c r="R76" i="34"/>
  <c r="U75" i="34"/>
  <c r="T75" i="34"/>
  <c r="S75" i="34"/>
  <c r="R75" i="34"/>
  <c r="U74" i="34"/>
  <c r="T74" i="34"/>
  <c r="S74" i="34"/>
  <c r="R74" i="34"/>
  <c r="U73" i="34"/>
  <c r="T73" i="34"/>
  <c r="S73" i="34"/>
  <c r="R73" i="34"/>
  <c r="U72" i="34"/>
  <c r="S72" i="34"/>
  <c r="R72" i="34"/>
  <c r="U71" i="34"/>
  <c r="T71" i="34"/>
  <c r="S71" i="34"/>
  <c r="R71" i="34"/>
  <c r="U70" i="34"/>
  <c r="T70" i="34"/>
  <c r="S70" i="34"/>
  <c r="R70" i="34"/>
  <c r="U69" i="34"/>
  <c r="T69" i="34"/>
  <c r="S69" i="34"/>
  <c r="R69" i="34"/>
  <c r="U68" i="34"/>
  <c r="T68" i="34"/>
  <c r="S68" i="34"/>
  <c r="R68" i="34"/>
  <c r="U67" i="34"/>
  <c r="T67" i="34"/>
  <c r="S67" i="34"/>
  <c r="R67" i="34"/>
  <c r="U63" i="34"/>
  <c r="T63" i="34"/>
  <c r="S63" i="34"/>
  <c r="R63" i="34"/>
  <c r="U62" i="34"/>
  <c r="T62" i="34"/>
  <c r="S62" i="34"/>
  <c r="R62" i="34"/>
  <c r="J62" i="34" s="1"/>
  <c r="U61" i="34"/>
  <c r="T61" i="34"/>
  <c r="S61" i="34"/>
  <c r="R61" i="34"/>
  <c r="U60" i="34"/>
  <c r="T60" i="34"/>
  <c r="S60" i="34"/>
  <c r="R60" i="34"/>
  <c r="J60" i="34" s="1"/>
  <c r="U59" i="34"/>
  <c r="T59" i="34"/>
  <c r="S59" i="34"/>
  <c r="R59" i="34"/>
  <c r="U58" i="34"/>
  <c r="T58" i="34"/>
  <c r="S58" i="34"/>
  <c r="R58" i="34"/>
  <c r="U57" i="34"/>
  <c r="T57" i="34"/>
  <c r="S57" i="34"/>
  <c r="R57" i="34"/>
  <c r="U56" i="34"/>
  <c r="T56" i="34"/>
  <c r="S56" i="34"/>
  <c r="R56" i="34"/>
  <c r="J56" i="34" s="1"/>
  <c r="U55" i="34"/>
  <c r="T55" i="34"/>
  <c r="S55" i="34"/>
  <c r="R55" i="34"/>
  <c r="U54" i="34"/>
  <c r="T54" i="34"/>
  <c r="S54" i="34"/>
  <c r="R54" i="34"/>
  <c r="J54" i="34" s="1"/>
  <c r="U50" i="34"/>
  <c r="T50" i="34"/>
  <c r="S50" i="34"/>
  <c r="R50" i="34"/>
  <c r="U49" i="34"/>
  <c r="T49" i="34"/>
  <c r="S49" i="34"/>
  <c r="R49" i="34"/>
  <c r="U48" i="34"/>
  <c r="T48" i="34"/>
  <c r="S48" i="34"/>
  <c r="R48" i="34"/>
  <c r="U47" i="34"/>
  <c r="T47" i="34"/>
  <c r="S47" i="34"/>
  <c r="R47" i="34"/>
  <c r="U46" i="34"/>
  <c r="T46" i="34"/>
  <c r="S46" i="34"/>
  <c r="R46" i="34"/>
  <c r="U45" i="34"/>
  <c r="T45" i="34"/>
  <c r="S45" i="34"/>
  <c r="R45" i="34"/>
  <c r="U44" i="34"/>
  <c r="T44" i="34"/>
  <c r="S44" i="34"/>
  <c r="R44" i="34"/>
  <c r="U43" i="34"/>
  <c r="T43" i="34"/>
  <c r="S43" i="34"/>
  <c r="R43" i="34"/>
  <c r="U42" i="34"/>
  <c r="T42" i="34"/>
  <c r="S42" i="34"/>
  <c r="R42" i="34"/>
  <c r="U41" i="34"/>
  <c r="T41" i="34"/>
  <c r="S41" i="34"/>
  <c r="R41" i="34"/>
  <c r="U40" i="34"/>
  <c r="T40" i="34"/>
  <c r="S40" i="34"/>
  <c r="R40" i="34"/>
  <c r="U39" i="34"/>
  <c r="T39" i="34"/>
  <c r="S39" i="34"/>
  <c r="R39" i="34"/>
  <c r="J39" i="34" s="1"/>
  <c r="U38" i="34"/>
  <c r="S38" i="34"/>
  <c r="R38" i="34"/>
  <c r="U37" i="34"/>
  <c r="T37" i="34"/>
  <c r="S37" i="34"/>
  <c r="R37" i="34"/>
  <c r="U36" i="34"/>
  <c r="T36" i="34"/>
  <c r="S36" i="34"/>
  <c r="R36" i="34"/>
  <c r="U35" i="34"/>
  <c r="T35" i="34"/>
  <c r="S35" i="34"/>
  <c r="R35" i="34"/>
  <c r="J47" i="34"/>
  <c r="U31" i="34"/>
  <c r="T31" i="34"/>
  <c r="U30" i="34"/>
  <c r="T30" i="34"/>
  <c r="U29" i="34"/>
  <c r="T29" i="34"/>
  <c r="U28" i="34"/>
  <c r="T28" i="34"/>
  <c r="U27" i="34"/>
  <c r="T27" i="34"/>
  <c r="U26" i="34"/>
  <c r="T26" i="34"/>
  <c r="U25" i="34"/>
  <c r="T25" i="34"/>
  <c r="U24" i="34"/>
  <c r="T24" i="34"/>
  <c r="U23" i="34"/>
  <c r="T23" i="34"/>
  <c r="U22" i="34"/>
  <c r="T22" i="34"/>
  <c r="U21" i="34"/>
  <c r="U20" i="34"/>
  <c r="T20" i="34"/>
  <c r="U19" i="34"/>
  <c r="T19" i="34"/>
  <c r="U18" i="34"/>
  <c r="T18" i="34"/>
  <c r="U17" i="34"/>
  <c r="T17" i="34"/>
  <c r="U16" i="34"/>
  <c r="T16" i="34"/>
  <c r="U15" i="34"/>
  <c r="T15" i="34"/>
  <c r="U14" i="34"/>
  <c r="T14" i="34"/>
  <c r="U13" i="34"/>
  <c r="T13" i="34"/>
  <c r="U12" i="34"/>
  <c r="T12" i="34"/>
  <c r="U11" i="34"/>
  <c r="T11" i="34"/>
  <c r="U10" i="34"/>
  <c r="T10" i="34"/>
  <c r="U9" i="34"/>
  <c r="T9" i="34"/>
  <c r="U8" i="34"/>
  <c r="T8" i="34"/>
  <c r="U7" i="34"/>
  <c r="S7" i="34"/>
  <c r="T7" i="34"/>
  <c r="S31" i="34"/>
  <c r="S30" i="34"/>
  <c r="S29" i="34"/>
  <c r="S28" i="34"/>
  <c r="S27" i="34"/>
  <c r="S26" i="34"/>
  <c r="S25" i="34"/>
  <c r="S24" i="34"/>
  <c r="S23" i="34"/>
  <c r="S22" i="34"/>
  <c r="S21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S8" i="34"/>
  <c r="R31" i="34"/>
  <c r="R30" i="34"/>
  <c r="R29" i="34"/>
  <c r="R28" i="34"/>
  <c r="R27" i="34"/>
  <c r="R26" i="34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G102" i="34"/>
  <c r="G99" i="34"/>
  <c r="G79" i="34"/>
  <c r="G64" i="34"/>
  <c r="G51" i="34"/>
  <c r="G32" i="34"/>
  <c r="E126" i="34"/>
  <c r="E123" i="34"/>
  <c r="T93" i="34" s="1"/>
  <c r="H5" i="36"/>
  <c r="E5" i="36"/>
  <c r="D5" i="36"/>
  <c r="C5" i="36"/>
  <c r="M87" i="34"/>
  <c r="M78" i="34"/>
  <c r="M72" i="34"/>
  <c r="M47" i="34"/>
  <c r="M55" i="34"/>
  <c r="M38" i="34"/>
  <c r="M21" i="34"/>
  <c r="E37" i="35"/>
  <c r="E34" i="35"/>
  <c r="E43" i="35"/>
  <c r="E40" i="35"/>
  <c r="J97" i="34" l="1"/>
  <c r="J67" i="34"/>
  <c r="J69" i="34"/>
  <c r="J75" i="34"/>
  <c r="J84" i="34"/>
  <c r="J55" i="34"/>
  <c r="J57" i="34"/>
  <c r="J61" i="34"/>
  <c r="J89" i="34"/>
  <c r="J91" i="34"/>
  <c r="J93" i="34"/>
  <c r="J35" i="34"/>
  <c r="J37" i="34"/>
  <c r="J78" i="34"/>
  <c r="J83" i="34"/>
  <c r="J88" i="34"/>
  <c r="J71" i="34"/>
  <c r="J31" i="34"/>
  <c r="J42" i="34"/>
  <c r="J44" i="34"/>
  <c r="J48" i="34"/>
  <c r="J50" i="34"/>
  <c r="J63" i="34"/>
  <c r="J68" i="34"/>
  <c r="J70" i="34"/>
  <c r="J76" i="34"/>
  <c r="J90" i="34"/>
  <c r="J92" i="34"/>
  <c r="J17" i="34"/>
  <c r="J25" i="34"/>
  <c r="J59" i="34"/>
  <c r="T38" i="34"/>
  <c r="J38" i="34" s="1"/>
  <c r="J95" i="34"/>
  <c r="J73" i="34"/>
  <c r="J77" i="34"/>
  <c r="J82" i="34"/>
  <c r="J74" i="34"/>
  <c r="J49" i="34"/>
  <c r="J46" i="34"/>
  <c r="J64" i="34"/>
  <c r="J45" i="34"/>
  <c r="G103" i="34"/>
  <c r="J43" i="34"/>
  <c r="J41" i="34"/>
  <c r="J36" i="34"/>
  <c r="J13" i="34"/>
  <c r="T86" i="34"/>
  <c r="J86" i="34" s="1"/>
  <c r="T94" i="34"/>
  <c r="J94" i="34" s="1"/>
  <c r="T96" i="34"/>
  <c r="J96" i="34" s="1"/>
  <c r="J9" i="34"/>
  <c r="T21" i="34"/>
  <c r="J21" i="34" s="1"/>
  <c r="J8" i="34"/>
  <c r="J16" i="34"/>
  <c r="J24" i="34"/>
  <c r="J18" i="34"/>
  <c r="J30" i="34"/>
  <c r="J26" i="34"/>
  <c r="J40" i="34"/>
  <c r="T72" i="34"/>
  <c r="J72" i="34" s="1"/>
  <c r="T85" i="34"/>
  <c r="J85" i="34" s="1"/>
  <c r="T87" i="34"/>
  <c r="J87" i="34" s="1"/>
  <c r="J22" i="34"/>
  <c r="J27" i="34"/>
  <c r="J12" i="34"/>
  <c r="J20" i="34"/>
  <c r="J28" i="34"/>
  <c r="J19" i="34"/>
  <c r="J14" i="34"/>
  <c r="J10" i="34"/>
  <c r="J11" i="34"/>
  <c r="J15" i="34"/>
  <c r="J23" i="34"/>
  <c r="J29" i="34"/>
  <c r="J7" i="34"/>
  <c r="J79" i="34" l="1"/>
  <c r="J99" i="34"/>
  <c r="J51" i="34"/>
  <c r="J32" i="34"/>
  <c r="J102" i="34"/>
  <c r="J103" i="34" l="1"/>
  <c r="E15" i="35"/>
  <c r="F15" i="35" s="1"/>
  <c r="E9" i="35"/>
  <c r="F9" i="35" s="1"/>
  <c r="F6" i="35"/>
  <c r="E14" i="35"/>
  <c r="F14" i="35" s="1"/>
  <c r="E6" i="35"/>
  <c r="E13" i="35"/>
  <c r="E11" i="35"/>
  <c r="F11" i="35" s="1"/>
  <c r="E10" i="35"/>
  <c r="F10" i="35" s="1"/>
  <c r="E5" i="35"/>
  <c r="F5" i="35" s="1"/>
  <c r="M18" i="34" s="1"/>
  <c r="I5" i="36" s="1"/>
  <c r="E7" i="35"/>
  <c r="F7" i="35" s="1"/>
  <c r="M22" i="34" s="1"/>
  <c r="E8" i="35"/>
  <c r="F8" i="35" s="1"/>
  <c r="M35" i="34" s="1"/>
  <c r="E12" i="35"/>
  <c r="F12" i="35" s="1"/>
  <c r="M61" i="34" s="1"/>
  <c r="E18" i="35"/>
  <c r="F18" i="35" s="1"/>
  <c r="M98" i="34" s="1"/>
  <c r="E17" i="35"/>
  <c r="F17" i="35" s="1"/>
  <c r="M97" i="34" s="1"/>
  <c r="E16" i="35"/>
  <c r="L102" i="34" l="1"/>
  <c r="F102" i="34"/>
  <c r="E102" i="34"/>
  <c r="I97" i="34"/>
  <c r="K97" i="34" s="1"/>
  <c r="N97" i="34" s="1"/>
  <c r="O97" i="34" s="1"/>
  <c r="I96" i="34"/>
  <c r="K96" i="34" s="1"/>
  <c r="N96" i="34" s="1"/>
  <c r="O96" i="34" s="1"/>
  <c r="I95" i="34"/>
  <c r="K95" i="34" s="1"/>
  <c r="N95" i="34" s="1"/>
  <c r="O95" i="34" s="1"/>
  <c r="I94" i="34"/>
  <c r="K94" i="34" s="1"/>
  <c r="N94" i="34" s="1"/>
  <c r="O94" i="34" s="1"/>
  <c r="I93" i="34"/>
  <c r="K93" i="34" s="1"/>
  <c r="N93" i="34" s="1"/>
  <c r="O93" i="34" s="1"/>
  <c r="I92" i="34"/>
  <c r="K92" i="34" s="1"/>
  <c r="N92" i="34" s="1"/>
  <c r="O92" i="34" s="1"/>
  <c r="I91" i="34"/>
  <c r="K91" i="34" s="1"/>
  <c r="N91" i="34" s="1"/>
  <c r="O91" i="34" s="1"/>
  <c r="I90" i="34"/>
  <c r="K90" i="34" s="1"/>
  <c r="N90" i="34" s="1"/>
  <c r="O90" i="34" s="1"/>
  <c r="I89" i="34"/>
  <c r="K89" i="34" s="1"/>
  <c r="N89" i="34" s="1"/>
  <c r="O89" i="34" s="1"/>
  <c r="I88" i="34"/>
  <c r="K88" i="34" s="1"/>
  <c r="I87" i="34"/>
  <c r="K87" i="34" s="1"/>
  <c r="N87" i="34" s="1"/>
  <c r="O87" i="34" s="1"/>
  <c r="I86" i="34"/>
  <c r="K86" i="34" s="1"/>
  <c r="N86" i="34" s="1"/>
  <c r="O86" i="34" s="1"/>
  <c r="I85" i="34"/>
  <c r="K85" i="34" s="1"/>
  <c r="N85" i="34" s="1"/>
  <c r="O85" i="34" s="1"/>
  <c r="I63" i="34"/>
  <c r="K63" i="34" s="1"/>
  <c r="N63" i="34" s="1"/>
  <c r="O63" i="34" s="1"/>
  <c r="I62" i="34"/>
  <c r="K62" i="34" s="1"/>
  <c r="I61" i="34"/>
  <c r="K61" i="34" s="1"/>
  <c r="N61" i="34" s="1"/>
  <c r="O61" i="34" s="1"/>
  <c r="I60" i="34"/>
  <c r="K60" i="34" s="1"/>
  <c r="N60" i="34" s="1"/>
  <c r="O60" i="34" s="1"/>
  <c r="I59" i="34"/>
  <c r="K59" i="34" s="1"/>
  <c r="N59" i="34" s="1"/>
  <c r="O59" i="34" s="1"/>
  <c r="I58" i="34"/>
  <c r="K58" i="34" s="1"/>
  <c r="N58" i="34" s="1"/>
  <c r="O58" i="34" s="1"/>
  <c r="I50" i="34"/>
  <c r="K50" i="34" s="1"/>
  <c r="N50" i="34" s="1"/>
  <c r="O50" i="34" s="1"/>
  <c r="I49" i="34"/>
  <c r="K49" i="34" s="1"/>
  <c r="N49" i="34" s="1"/>
  <c r="O49" i="34" s="1"/>
  <c r="I48" i="34"/>
  <c r="K48" i="34" s="1"/>
  <c r="N48" i="34" s="1"/>
  <c r="O48" i="34" s="1"/>
  <c r="I47" i="34"/>
  <c r="K47" i="34" s="1"/>
  <c r="N47" i="34" s="1"/>
  <c r="O47" i="34" s="1"/>
  <c r="I46" i="34"/>
  <c r="K46" i="34" s="1"/>
  <c r="N46" i="34" s="1"/>
  <c r="O46" i="34" s="1"/>
  <c r="I45" i="34"/>
  <c r="K45" i="34" s="1"/>
  <c r="N45" i="34" s="1"/>
  <c r="O45" i="34" s="1"/>
  <c r="I44" i="34"/>
  <c r="K44" i="34" s="1"/>
  <c r="N44" i="34" s="1"/>
  <c r="O44" i="34" s="1"/>
  <c r="I43" i="34"/>
  <c r="K43" i="34" s="1"/>
  <c r="N43" i="34" s="1"/>
  <c r="O43" i="34" s="1"/>
  <c r="I42" i="34"/>
  <c r="K42" i="34" s="1"/>
  <c r="N42" i="34" s="1"/>
  <c r="O42" i="34" s="1"/>
  <c r="I41" i="34"/>
  <c r="K41" i="34" s="1"/>
  <c r="N41" i="34" s="1"/>
  <c r="O41" i="34" s="1"/>
  <c r="I40" i="34"/>
  <c r="K40" i="34" s="1"/>
  <c r="N40" i="34" s="1"/>
  <c r="O40" i="34" s="1"/>
  <c r="I39" i="34"/>
  <c r="K39" i="34" s="1"/>
  <c r="N39" i="34" s="1"/>
  <c r="O39" i="34" s="1"/>
  <c r="I38" i="34"/>
  <c r="K38" i="34" s="1"/>
  <c r="N38" i="34" s="1"/>
  <c r="O38" i="34" s="1"/>
  <c r="I31" i="34"/>
  <c r="K31" i="34" s="1"/>
  <c r="N31" i="34" s="1"/>
  <c r="O31" i="34" s="1"/>
  <c r="I30" i="34"/>
  <c r="K30" i="34" s="1"/>
  <c r="N30" i="34" s="1"/>
  <c r="O30" i="34" s="1"/>
  <c r="I29" i="34"/>
  <c r="K29" i="34" s="1"/>
  <c r="N29" i="34" s="1"/>
  <c r="O29" i="34" s="1"/>
  <c r="I28" i="34"/>
  <c r="K28" i="34" s="1"/>
  <c r="N28" i="34" s="1"/>
  <c r="O28" i="34" s="1"/>
  <c r="I27" i="34"/>
  <c r="K27" i="34" s="1"/>
  <c r="N27" i="34" s="1"/>
  <c r="O27" i="34" s="1"/>
  <c r="I26" i="34"/>
  <c r="K26" i="34" s="1"/>
  <c r="N26" i="34" s="1"/>
  <c r="O26" i="34" s="1"/>
  <c r="I25" i="34"/>
  <c r="K25" i="34" s="1"/>
  <c r="N25" i="34" s="1"/>
  <c r="O25" i="34" s="1"/>
  <c r="I24" i="34"/>
  <c r="K24" i="34" s="1"/>
  <c r="N24" i="34" s="1"/>
  <c r="O24" i="34" s="1"/>
  <c r="I23" i="34"/>
  <c r="K23" i="34" s="1"/>
  <c r="N23" i="34" s="1"/>
  <c r="O23" i="34" s="1"/>
  <c r="I22" i="34"/>
  <c r="K22" i="34" s="1"/>
  <c r="N22" i="34" s="1"/>
  <c r="O22" i="34" s="1"/>
  <c r="I21" i="34"/>
  <c r="K21" i="34" s="1"/>
  <c r="N21" i="34" s="1"/>
  <c r="O21" i="34" s="1"/>
  <c r="I20" i="34"/>
  <c r="K20" i="34" s="1"/>
  <c r="N20" i="34" s="1"/>
  <c r="O20" i="34" s="1"/>
  <c r="I19" i="34"/>
  <c r="K19" i="34" s="1"/>
  <c r="N19" i="34" s="1"/>
  <c r="O19" i="34" s="1"/>
  <c r="I18" i="34"/>
  <c r="F5" i="36" s="1"/>
  <c r="I17" i="34"/>
  <c r="K17" i="34" s="1"/>
  <c r="N17" i="34" s="1"/>
  <c r="O17" i="34" s="1"/>
  <c r="I16" i="34"/>
  <c r="K16" i="34" s="1"/>
  <c r="N16" i="34" s="1"/>
  <c r="O16" i="34" s="1"/>
  <c r="I15" i="34"/>
  <c r="K15" i="34" s="1"/>
  <c r="N15" i="34" s="1"/>
  <c r="O15" i="34" s="1"/>
  <c r="I14" i="34"/>
  <c r="K14" i="34" s="1"/>
  <c r="N14" i="34" s="1"/>
  <c r="O14" i="34" s="1"/>
  <c r="I13" i="34"/>
  <c r="K13" i="34" s="1"/>
  <c r="N13" i="34" s="1"/>
  <c r="O13" i="34" s="1"/>
  <c r="I12" i="34"/>
  <c r="K12" i="34" s="1"/>
  <c r="N12" i="34" s="1"/>
  <c r="O12" i="34" s="1"/>
  <c r="I11" i="34"/>
  <c r="H32" i="34"/>
  <c r="A83" i="34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68" i="34"/>
  <c r="A69" i="34" s="1"/>
  <c r="A70" i="34" s="1"/>
  <c r="A71" i="34" s="1"/>
  <c r="A72" i="34" s="1"/>
  <c r="A73" i="34" s="1"/>
  <c r="A74" i="34" s="1"/>
  <c r="A75" i="34" s="1"/>
  <c r="A76" i="34" s="1"/>
  <c r="A77" i="34" s="1"/>
  <c r="A55" i="34"/>
  <c r="A56" i="34" s="1"/>
  <c r="A57" i="34" s="1"/>
  <c r="A58" i="34" s="1"/>
  <c r="A59" i="34" s="1"/>
  <c r="A60" i="34" s="1"/>
  <c r="A61" i="34" s="1"/>
  <c r="A62" i="34" s="1"/>
  <c r="A36" i="34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L32" i="34"/>
  <c r="F32" i="34"/>
  <c r="E32" i="34"/>
  <c r="A8" i="34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K18" i="34" l="1"/>
  <c r="K111" i="28"/>
  <c r="L111" i="28" s="1"/>
  <c r="F122" i="28"/>
  <c r="F124" i="28" s="1"/>
  <c r="J116" i="28"/>
  <c r="I116" i="28"/>
  <c r="F116" i="28"/>
  <c r="E116" i="28"/>
  <c r="D116" i="28"/>
  <c r="F95" i="28"/>
  <c r="F94" i="28"/>
  <c r="F93" i="28"/>
  <c r="F92" i="28"/>
  <c r="F90" i="28"/>
  <c r="F89" i="28"/>
  <c r="C86" i="42"/>
  <c r="D86" i="42" s="1"/>
  <c r="B86" i="42"/>
  <c r="D85" i="42"/>
  <c r="D84" i="42"/>
  <c r="C82" i="42"/>
  <c r="D82" i="42" s="1"/>
  <c r="B82" i="42"/>
  <c r="D81" i="42"/>
  <c r="D80" i="42"/>
  <c r="D79" i="42"/>
  <c r="D78" i="42"/>
  <c r="D77" i="42"/>
  <c r="D76" i="42"/>
  <c r="C74" i="42"/>
  <c r="D74" i="42" s="1"/>
  <c r="B74" i="42"/>
  <c r="D73" i="42"/>
  <c r="D72" i="42"/>
  <c r="D71" i="42"/>
  <c r="D70" i="42"/>
  <c r="D69" i="42"/>
  <c r="D68" i="42"/>
  <c r="D67" i="42"/>
  <c r="C61" i="42"/>
  <c r="B61" i="42"/>
  <c r="B27" i="41" s="1"/>
  <c r="D60" i="42"/>
  <c r="D59" i="42"/>
  <c r="C57" i="42"/>
  <c r="C22" i="41" s="1"/>
  <c r="B57" i="42"/>
  <c r="D56" i="42"/>
  <c r="D55" i="42"/>
  <c r="C53" i="42"/>
  <c r="B53" i="42"/>
  <c r="B15" i="41" s="1"/>
  <c r="D52" i="42"/>
  <c r="D51" i="42"/>
  <c r="D50" i="42"/>
  <c r="C48" i="42"/>
  <c r="B48" i="42"/>
  <c r="B9" i="41" s="1"/>
  <c r="D47" i="42"/>
  <c r="D46" i="42"/>
  <c r="C40" i="42"/>
  <c r="C21" i="41" s="1"/>
  <c r="B40" i="42"/>
  <c r="B21" i="41" s="1"/>
  <c r="D39" i="42"/>
  <c r="D38" i="42"/>
  <c r="D37" i="42"/>
  <c r="C35" i="42"/>
  <c r="D35" i="42" s="1"/>
  <c r="B35" i="42"/>
  <c r="D34" i="42"/>
  <c r="D33" i="42"/>
  <c r="D32" i="42"/>
  <c r="D31" i="42"/>
  <c r="D30" i="42"/>
  <c r="D29" i="42"/>
  <c r="D28" i="42"/>
  <c r="D27" i="42"/>
  <c r="D26" i="42"/>
  <c r="D25" i="42"/>
  <c r="C23" i="42"/>
  <c r="B23" i="42"/>
  <c r="B8" i="41" s="1"/>
  <c r="D22" i="42"/>
  <c r="D21" i="42"/>
  <c r="C15" i="42"/>
  <c r="D15" i="42" s="1"/>
  <c r="B15" i="42"/>
  <c r="D14" i="42"/>
  <c r="D13" i="42"/>
  <c r="C11" i="42"/>
  <c r="B11" i="42"/>
  <c r="B13" i="41" s="1"/>
  <c r="D10" i="42"/>
  <c r="D9" i="42"/>
  <c r="C7" i="42"/>
  <c r="D7" i="42" s="1"/>
  <c r="B7" i="42"/>
  <c r="D6" i="42"/>
  <c r="D5" i="42"/>
  <c r="B28" i="41"/>
  <c r="C27" i="41"/>
  <c r="C23" i="41"/>
  <c r="B23" i="41"/>
  <c r="B22" i="41"/>
  <c r="B20" i="41"/>
  <c r="C16" i="41"/>
  <c r="B16" i="41"/>
  <c r="C15" i="41"/>
  <c r="B14" i="41"/>
  <c r="C9" i="41"/>
  <c r="B7" i="41"/>
  <c r="E141" i="40"/>
  <c r="D139" i="40"/>
  <c r="D30" i="39" s="1"/>
  <c r="C139" i="40"/>
  <c r="C30" i="39" s="1"/>
  <c r="E138" i="40"/>
  <c r="E137" i="40"/>
  <c r="E136" i="40"/>
  <c r="E130" i="40"/>
  <c r="D124" i="40"/>
  <c r="D29" i="39" s="1"/>
  <c r="C124" i="40"/>
  <c r="C29" i="39" s="1"/>
  <c r="E123" i="40"/>
  <c r="E122" i="40"/>
  <c r="E116" i="40"/>
  <c r="E115" i="40"/>
  <c r="D113" i="40"/>
  <c r="C113" i="40"/>
  <c r="E112" i="40"/>
  <c r="E111" i="40"/>
  <c r="E105" i="40"/>
  <c r="D103" i="40"/>
  <c r="E103" i="40" s="1"/>
  <c r="C103" i="40"/>
  <c r="E102" i="40"/>
  <c r="E101" i="40"/>
  <c r="E100" i="40"/>
  <c r="E98" i="40"/>
  <c r="E92" i="40"/>
  <c r="D86" i="40"/>
  <c r="D25" i="39" s="1"/>
  <c r="C86" i="40"/>
  <c r="C25" i="39" s="1"/>
  <c r="E85" i="40"/>
  <c r="E84" i="40"/>
  <c r="E83" i="40"/>
  <c r="E82" i="40"/>
  <c r="E81" i="40"/>
  <c r="E79" i="40"/>
  <c r="E73" i="40"/>
  <c r="E67" i="40"/>
  <c r="E66" i="40"/>
  <c r="E60" i="40"/>
  <c r="E59" i="40"/>
  <c r="D57" i="40"/>
  <c r="C57" i="40"/>
  <c r="E56" i="40"/>
  <c r="E55" i="40"/>
  <c r="E54" i="40"/>
  <c r="D48" i="40"/>
  <c r="C48" i="40"/>
  <c r="E47" i="40"/>
  <c r="E46" i="40"/>
  <c r="E45" i="40"/>
  <c r="E44" i="40"/>
  <c r="E38" i="40"/>
  <c r="E37" i="40"/>
  <c r="D31" i="40"/>
  <c r="C31" i="40"/>
  <c r="E30" i="40"/>
  <c r="E29" i="40"/>
  <c r="E23" i="40"/>
  <c r="E17" i="40"/>
  <c r="E11" i="40"/>
  <c r="E5" i="40"/>
  <c r="D38" i="39"/>
  <c r="C38" i="39"/>
  <c r="D37" i="39"/>
  <c r="C37" i="39"/>
  <c r="D36" i="39"/>
  <c r="C36" i="39"/>
  <c r="D35" i="39"/>
  <c r="C35" i="39"/>
  <c r="D34" i="39"/>
  <c r="C34" i="39"/>
  <c r="D28" i="39"/>
  <c r="C28" i="39"/>
  <c r="C27" i="39"/>
  <c r="D26" i="39"/>
  <c r="C26" i="39"/>
  <c r="D24" i="39"/>
  <c r="C24" i="39"/>
  <c r="D23" i="39"/>
  <c r="C23" i="39"/>
  <c r="D22" i="39"/>
  <c r="C22" i="39"/>
  <c r="D21" i="39"/>
  <c r="C21" i="39"/>
  <c r="D20" i="39"/>
  <c r="C20" i="39"/>
  <c r="D19" i="39"/>
  <c r="C19" i="39"/>
  <c r="D18" i="39"/>
  <c r="C18" i="39"/>
  <c r="D17" i="39"/>
  <c r="C17" i="39"/>
  <c r="D16" i="39"/>
  <c r="C16" i="39"/>
  <c r="D12" i="39"/>
  <c r="C12" i="39"/>
  <c r="D11" i="39"/>
  <c r="C11" i="39"/>
  <c r="D10" i="39"/>
  <c r="C10" i="39"/>
  <c r="D9" i="39"/>
  <c r="C9" i="39"/>
  <c r="D8" i="39"/>
  <c r="C8" i="39"/>
  <c r="D7" i="39"/>
  <c r="C7" i="39"/>
  <c r="D6" i="39"/>
  <c r="C6" i="39"/>
  <c r="F68" i="28" l="1"/>
  <c r="D23" i="28"/>
  <c r="B7" i="37" s="1"/>
  <c r="N18" i="34"/>
  <c r="O18" i="34" s="1"/>
  <c r="G5" i="36"/>
  <c r="E57" i="40"/>
  <c r="D53" i="42"/>
  <c r="C13" i="39"/>
  <c r="B17" i="41"/>
  <c r="D23" i="42"/>
  <c r="E124" i="40"/>
  <c r="C14" i="41"/>
  <c r="C28" i="41"/>
  <c r="D28" i="41" s="1"/>
  <c r="C7" i="41"/>
  <c r="C10" i="41" s="1"/>
  <c r="D11" i="42"/>
  <c r="H116" i="28"/>
  <c r="D31" i="39"/>
  <c r="E31" i="39" s="1"/>
  <c r="C8" i="41"/>
  <c r="D27" i="39"/>
  <c r="D39" i="39"/>
  <c r="E31" i="40"/>
  <c r="E48" i="40"/>
  <c r="B29" i="41"/>
  <c r="C31" i="39"/>
  <c r="B24" i="41"/>
  <c r="D24" i="41" s="1"/>
  <c r="C39" i="39"/>
  <c r="C13" i="41"/>
  <c r="C20" i="41"/>
  <c r="C24" i="41" s="1"/>
  <c r="C29" i="41"/>
  <c r="D57" i="42"/>
  <c r="D61" i="42"/>
  <c r="F100" i="28"/>
  <c r="D13" i="39"/>
  <c r="E13" i="39" s="1"/>
  <c r="B10" i="41"/>
  <c r="K116" i="28"/>
  <c r="L116" i="28" s="1"/>
  <c r="E86" i="40"/>
  <c r="E113" i="40"/>
  <c r="E139" i="40"/>
  <c r="D40" i="42"/>
  <c r="D48" i="42"/>
  <c r="E7" i="39"/>
  <c r="E8" i="39"/>
  <c r="E9" i="39"/>
  <c r="E10" i="39"/>
  <c r="E11" i="39"/>
  <c r="E12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5" i="39"/>
  <c r="E36" i="39"/>
  <c r="E37" i="39"/>
  <c r="E38" i="39"/>
  <c r="D8" i="41"/>
  <c r="D9" i="41"/>
  <c r="D14" i="41"/>
  <c r="D15" i="41"/>
  <c r="D16" i="41"/>
  <c r="D21" i="41"/>
  <c r="D22" i="41"/>
  <c r="D23" i="41"/>
  <c r="E39" i="39"/>
  <c r="D10" i="41"/>
  <c r="E6" i="39"/>
  <c r="E16" i="39"/>
  <c r="E34" i="39"/>
  <c r="D13" i="41"/>
  <c r="D20" i="41"/>
  <c r="D27" i="41"/>
  <c r="K32" i="37"/>
  <c r="J32" i="37"/>
  <c r="I32" i="37"/>
  <c r="H32" i="37"/>
  <c r="G32" i="37"/>
  <c r="F32" i="37"/>
  <c r="E32" i="37"/>
  <c r="D32" i="37"/>
  <c r="C32" i="37"/>
  <c r="K31" i="37"/>
  <c r="J31" i="37"/>
  <c r="I31" i="37"/>
  <c r="H31" i="37"/>
  <c r="G31" i="37"/>
  <c r="F31" i="37"/>
  <c r="E31" i="37"/>
  <c r="D31" i="37"/>
  <c r="C31" i="37"/>
  <c r="C7" i="37"/>
  <c r="C6" i="37"/>
  <c r="B33" i="37"/>
  <c r="B32" i="37"/>
  <c r="B31" i="37"/>
  <c r="C20" i="37"/>
  <c r="C33" i="37" s="1"/>
  <c r="D9" i="37"/>
  <c r="E9" i="37" s="1"/>
  <c r="F9" i="37" s="1"/>
  <c r="G9" i="37" s="1"/>
  <c r="H9" i="37" s="1"/>
  <c r="I9" i="37" s="1"/>
  <c r="J9" i="37" s="1"/>
  <c r="K9" i="37" s="1"/>
  <c r="L9" i="37" s="1"/>
  <c r="D5" i="37"/>
  <c r="E5" i="37" s="1"/>
  <c r="F5" i="37" s="1"/>
  <c r="G5" i="37" s="1"/>
  <c r="H5" i="37" s="1"/>
  <c r="I5" i="37" s="1"/>
  <c r="J5" i="37" s="1"/>
  <c r="K5" i="37" s="1"/>
  <c r="L5" i="37" s="1"/>
  <c r="C4" i="37"/>
  <c r="D4" i="37" s="1"/>
  <c r="E4" i="37" s="1"/>
  <c r="F4" i="37" s="1"/>
  <c r="G4" i="37" s="1"/>
  <c r="H4" i="37" s="1"/>
  <c r="I4" i="37" s="1"/>
  <c r="J4" i="37" s="1"/>
  <c r="K4" i="37" s="1"/>
  <c r="L4" i="37" s="1"/>
  <c r="F23" i="28"/>
  <c r="G23" i="28" s="1"/>
  <c r="H23" i="28" s="1"/>
  <c r="I23" i="28" s="1"/>
  <c r="J23" i="28" s="1"/>
  <c r="K23" i="28" s="1"/>
  <c r="L23" i="28" s="1"/>
  <c r="M23" i="28" s="1"/>
  <c r="N23" i="28" s="1"/>
  <c r="L7" i="37" s="1"/>
  <c r="F21" i="28"/>
  <c r="G21" i="28" s="1"/>
  <c r="H21" i="28" s="1"/>
  <c r="I21" i="28" s="1"/>
  <c r="J21" i="28" s="1"/>
  <c r="K21" i="28" s="1"/>
  <c r="L21" i="28" s="1"/>
  <c r="M21" i="28" s="1"/>
  <c r="N21" i="28" s="1"/>
  <c r="L6" i="37" s="1"/>
  <c r="F25" i="36"/>
  <c r="I18" i="36"/>
  <c r="H18" i="36"/>
  <c r="D18" i="36"/>
  <c r="C18" i="36"/>
  <c r="H15" i="36"/>
  <c r="E15" i="36"/>
  <c r="D15" i="36"/>
  <c r="C15" i="36"/>
  <c r="I14" i="36"/>
  <c r="H14" i="36"/>
  <c r="D14" i="36"/>
  <c r="C14" i="36"/>
  <c r="H13" i="36"/>
  <c r="E13" i="36"/>
  <c r="D13" i="36"/>
  <c r="C13" i="36"/>
  <c r="I9" i="36"/>
  <c r="H9" i="36"/>
  <c r="D9" i="36"/>
  <c r="C9" i="36"/>
  <c r="I8" i="36"/>
  <c r="H8" i="36"/>
  <c r="D8" i="36"/>
  <c r="C8" i="36"/>
  <c r="I7" i="36"/>
  <c r="H7" i="36"/>
  <c r="D7" i="36"/>
  <c r="C7" i="36"/>
  <c r="I6" i="36"/>
  <c r="H6" i="36"/>
  <c r="D6" i="36"/>
  <c r="C6" i="36"/>
  <c r="F16" i="35"/>
  <c r="M88" i="34" s="1"/>
  <c r="N88" i="34" s="1"/>
  <c r="O88" i="34" s="1"/>
  <c r="I15" i="36"/>
  <c r="F13" i="35"/>
  <c r="I16" i="36"/>
  <c r="H16" i="36"/>
  <c r="D16" i="36"/>
  <c r="C16" i="36"/>
  <c r="G15" i="36"/>
  <c r="G13" i="36"/>
  <c r="I12" i="36"/>
  <c r="H12" i="36"/>
  <c r="D12" i="36"/>
  <c r="C12" i="36"/>
  <c r="I11" i="36"/>
  <c r="H11" i="36"/>
  <c r="D11" i="36"/>
  <c r="C11" i="36"/>
  <c r="M99" i="34"/>
  <c r="I10" i="36" s="1"/>
  <c r="L99" i="34"/>
  <c r="H10" i="36" s="1"/>
  <c r="F99" i="34"/>
  <c r="D10" i="36" s="1"/>
  <c r="E99" i="34"/>
  <c r="C10" i="36" s="1"/>
  <c r="I98" i="34"/>
  <c r="K98" i="34" s="1"/>
  <c r="N98" i="34" s="1"/>
  <c r="O98" i="34" s="1"/>
  <c r="I84" i="34"/>
  <c r="K84" i="34" s="1"/>
  <c r="N84" i="34" s="1"/>
  <c r="O84" i="34" s="1"/>
  <c r="I83" i="34"/>
  <c r="K83" i="34" s="1"/>
  <c r="N83" i="34" s="1"/>
  <c r="O83" i="34" s="1"/>
  <c r="L79" i="34"/>
  <c r="F79" i="34"/>
  <c r="E79" i="34"/>
  <c r="I78" i="34"/>
  <c r="K78" i="34" s="1"/>
  <c r="H77" i="34"/>
  <c r="I77" i="34" s="1"/>
  <c r="K77" i="34" s="1"/>
  <c r="N77" i="34" s="1"/>
  <c r="O77" i="34" s="1"/>
  <c r="H76" i="34"/>
  <c r="I76" i="34" s="1"/>
  <c r="K76" i="34" s="1"/>
  <c r="N76" i="34" s="1"/>
  <c r="O76" i="34" s="1"/>
  <c r="H75" i="34"/>
  <c r="I75" i="34" s="1"/>
  <c r="K75" i="34" s="1"/>
  <c r="N75" i="34" s="1"/>
  <c r="O75" i="34" s="1"/>
  <c r="H74" i="34"/>
  <c r="I74" i="34" s="1"/>
  <c r="K74" i="34" s="1"/>
  <c r="N74" i="34" s="1"/>
  <c r="O74" i="34" s="1"/>
  <c r="H73" i="34"/>
  <c r="I73" i="34" s="1"/>
  <c r="K73" i="34" s="1"/>
  <c r="N73" i="34" s="1"/>
  <c r="O73" i="34" s="1"/>
  <c r="H72" i="34"/>
  <c r="I71" i="34"/>
  <c r="K71" i="34" s="1"/>
  <c r="I70" i="34"/>
  <c r="K70" i="34" s="1"/>
  <c r="H69" i="34"/>
  <c r="I69" i="34" s="1"/>
  <c r="K69" i="34" s="1"/>
  <c r="N69" i="34" s="1"/>
  <c r="O69" i="34" s="1"/>
  <c r="H68" i="34"/>
  <c r="I68" i="34" s="1"/>
  <c r="K68" i="34" s="1"/>
  <c r="N68" i="34" s="1"/>
  <c r="O68" i="34" s="1"/>
  <c r="H67" i="34"/>
  <c r="L64" i="34"/>
  <c r="F64" i="34"/>
  <c r="E64" i="34"/>
  <c r="I57" i="34"/>
  <c r="K57" i="34" s="1"/>
  <c r="I56" i="34"/>
  <c r="K56" i="34" s="1"/>
  <c r="H64" i="34"/>
  <c r="I54" i="34"/>
  <c r="M51" i="34"/>
  <c r="L51" i="34"/>
  <c r="F51" i="34"/>
  <c r="E51" i="34"/>
  <c r="I37" i="34"/>
  <c r="K37" i="34" s="1"/>
  <c r="N37" i="34" s="1"/>
  <c r="O37" i="34" s="1"/>
  <c r="H51" i="34"/>
  <c r="I35" i="34"/>
  <c r="K11" i="34"/>
  <c r="N11" i="34" s="1"/>
  <c r="O11" i="34" s="1"/>
  <c r="I10" i="34"/>
  <c r="K10" i="34" s="1"/>
  <c r="N10" i="34" s="1"/>
  <c r="O10" i="34" s="1"/>
  <c r="I8" i="34"/>
  <c r="K8" i="34" s="1"/>
  <c r="I7" i="34"/>
  <c r="I13" i="36" l="1"/>
  <c r="M62" i="34"/>
  <c r="E103" i="34"/>
  <c r="F103" i="34"/>
  <c r="L103" i="34"/>
  <c r="I72" i="34"/>
  <c r="K72" i="34" s="1"/>
  <c r="N72" i="34" s="1"/>
  <c r="O72" i="34" s="1"/>
  <c r="H102" i="34"/>
  <c r="M32" i="34"/>
  <c r="J15" i="36"/>
  <c r="K15" i="36" s="1"/>
  <c r="C17" i="41"/>
  <c r="D17" i="41" s="1"/>
  <c r="H99" i="34"/>
  <c r="E10" i="36" s="1"/>
  <c r="E11" i="36"/>
  <c r="D7" i="41"/>
  <c r="J13" i="36"/>
  <c r="K13" i="36" s="1"/>
  <c r="E16" i="36"/>
  <c r="D29" i="41"/>
  <c r="H79" i="34"/>
  <c r="H103" i="34" s="1"/>
  <c r="D6" i="37"/>
  <c r="E6" i="37"/>
  <c r="F6" i="37"/>
  <c r="G6" i="37"/>
  <c r="H6" i="37"/>
  <c r="I6" i="37"/>
  <c r="J6" i="37"/>
  <c r="K6" i="37"/>
  <c r="D7" i="37"/>
  <c r="E7" i="37"/>
  <c r="F7" i="37"/>
  <c r="G7" i="37"/>
  <c r="H7" i="37"/>
  <c r="I7" i="37"/>
  <c r="J7" i="37"/>
  <c r="K7" i="37"/>
  <c r="D20" i="37"/>
  <c r="N57" i="34"/>
  <c r="O57" i="34" s="1"/>
  <c r="C19" i="36"/>
  <c r="D19" i="36"/>
  <c r="F24" i="36" s="1"/>
  <c r="F26" i="36" s="1"/>
  <c r="F28" i="36" s="1"/>
  <c r="H19" i="36"/>
  <c r="I19" i="36"/>
  <c r="E6" i="36"/>
  <c r="E7" i="36"/>
  <c r="E8" i="36"/>
  <c r="E9" i="36"/>
  <c r="F9" i="36"/>
  <c r="G9" i="36"/>
  <c r="J9" i="36" s="1"/>
  <c r="K9" i="36" s="1"/>
  <c r="F13" i="36"/>
  <c r="F15" i="36"/>
  <c r="E18" i="36"/>
  <c r="N8" i="34"/>
  <c r="O8" i="34" s="1"/>
  <c r="N70" i="34"/>
  <c r="O70" i="34" s="1"/>
  <c r="N71" i="34"/>
  <c r="O71" i="34" s="1"/>
  <c r="M79" i="34"/>
  <c r="N78" i="34"/>
  <c r="O78" i="34" s="1"/>
  <c r="K7" i="34"/>
  <c r="I9" i="34"/>
  <c r="I32" i="34" s="1"/>
  <c r="K35" i="34"/>
  <c r="I36" i="34"/>
  <c r="K54" i="34"/>
  <c r="I55" i="34"/>
  <c r="I67" i="34"/>
  <c r="F8" i="36" s="1"/>
  <c r="I82" i="34"/>
  <c r="F18" i="36"/>
  <c r="F40" i="28"/>
  <c r="G40" i="28" s="1"/>
  <c r="H40" i="28" s="1"/>
  <c r="I40" i="28" s="1"/>
  <c r="J40" i="28" s="1"/>
  <c r="K40" i="28" s="1"/>
  <c r="L40" i="28" s="1"/>
  <c r="M40" i="28" s="1"/>
  <c r="N40" i="28" s="1"/>
  <c r="C70" i="32"/>
  <c r="C69" i="32"/>
  <c r="D85" i="32"/>
  <c r="D84" i="32"/>
  <c r="H28" i="32" s="1"/>
  <c r="D83" i="32"/>
  <c r="D10" i="32" s="1"/>
  <c r="D75" i="32"/>
  <c r="E75" i="32" s="1"/>
  <c r="F75" i="32" s="1"/>
  <c r="G75" i="32" s="1"/>
  <c r="H75" i="32" s="1"/>
  <c r="I75" i="32" s="1"/>
  <c r="J75" i="32" s="1"/>
  <c r="K75" i="32" s="1"/>
  <c r="L75" i="32" s="1"/>
  <c r="B75" i="32"/>
  <c r="D74" i="32"/>
  <c r="E74" i="32" s="1"/>
  <c r="F74" i="32" s="1"/>
  <c r="G74" i="32" s="1"/>
  <c r="H74" i="32" s="1"/>
  <c r="I74" i="32" s="1"/>
  <c r="J74" i="32" s="1"/>
  <c r="K74" i="32" s="1"/>
  <c r="L74" i="32" s="1"/>
  <c r="B74" i="32"/>
  <c r="C60" i="32"/>
  <c r="C50" i="32"/>
  <c r="D46" i="32"/>
  <c r="D45" i="32"/>
  <c r="E45" i="32" s="1"/>
  <c r="F45" i="32" s="1"/>
  <c r="C42" i="32"/>
  <c r="C32" i="32"/>
  <c r="C29" i="32"/>
  <c r="C47" i="32" s="1"/>
  <c r="D28" i="32"/>
  <c r="E28" i="32" s="1"/>
  <c r="D27" i="32"/>
  <c r="C24" i="32"/>
  <c r="C22" i="32"/>
  <c r="C14" i="32"/>
  <c r="C17" i="32" s="1"/>
  <c r="C23" i="32" s="1"/>
  <c r="E5" i="32"/>
  <c r="F5" i="32" s="1"/>
  <c r="G5" i="32" s="1"/>
  <c r="H5" i="32" s="1"/>
  <c r="I5" i="32" s="1"/>
  <c r="J5" i="32" s="1"/>
  <c r="K5" i="32" s="1"/>
  <c r="L5" i="32" s="1"/>
  <c r="M5" i="32" s="1"/>
  <c r="D4" i="32"/>
  <c r="D18" i="28"/>
  <c r="D49" i="28"/>
  <c r="D43" i="28"/>
  <c r="D50" i="28" s="1"/>
  <c r="D51" i="28"/>
  <c r="D54" i="28"/>
  <c r="G54" i="28"/>
  <c r="H54" i="28"/>
  <c r="I54" i="28"/>
  <c r="J54" i="28"/>
  <c r="K54" i="28"/>
  <c r="L54" i="28"/>
  <c r="M54" i="28"/>
  <c r="N54" i="28"/>
  <c r="D55" i="28"/>
  <c r="D46" i="28" s="1"/>
  <c r="I55" i="28"/>
  <c r="I46" i="28" s="1"/>
  <c r="J55" i="28"/>
  <c r="J46" i="28" s="1"/>
  <c r="K55" i="28"/>
  <c r="K46" i="28" s="1"/>
  <c r="L55" i="28"/>
  <c r="L46" i="28" s="1"/>
  <c r="M55" i="28"/>
  <c r="M46" i="28" s="1"/>
  <c r="N55" i="28"/>
  <c r="N46" i="28" s="1"/>
  <c r="H4" i="29"/>
  <c r="I4" i="29" s="1"/>
  <c r="J4" i="29" s="1"/>
  <c r="K4" i="29" s="1"/>
  <c r="L4" i="29" s="1"/>
  <c r="M4" i="29" s="1"/>
  <c r="N4" i="29" s="1"/>
  <c r="O4" i="29" s="1"/>
  <c r="P4" i="29" s="1"/>
  <c r="G7" i="29"/>
  <c r="E54" i="28"/>
  <c r="F54" i="28"/>
  <c r="E55" i="28"/>
  <c r="E46" i="28" s="1"/>
  <c r="H55" i="28"/>
  <c r="H46" i="28" s="1"/>
  <c r="D53" i="28"/>
  <c r="K53" i="28"/>
  <c r="M53" i="28"/>
  <c r="N53" i="28"/>
  <c r="D16" i="28"/>
  <c r="D15" i="28"/>
  <c r="C128" i="22"/>
  <c r="C133" i="22" s="1"/>
  <c r="D4" i="18"/>
  <c r="D39" i="18" s="1"/>
  <c r="E5" i="18"/>
  <c r="F5" i="18" s="1"/>
  <c r="G5" i="18" s="1"/>
  <c r="H5" i="18" s="1"/>
  <c r="I5" i="18" s="1"/>
  <c r="J5" i="18" s="1"/>
  <c r="K5" i="18" s="1"/>
  <c r="L5" i="18" s="1"/>
  <c r="M5" i="18" s="1"/>
  <c r="C14" i="18"/>
  <c r="C22" i="18"/>
  <c r="C23" i="18"/>
  <c r="C66" i="18" s="1"/>
  <c r="D24" i="18"/>
  <c r="E24" i="18" s="1"/>
  <c r="F24" i="18" s="1"/>
  <c r="G24" i="18" s="1"/>
  <c r="H24" i="18" s="1"/>
  <c r="I24" i="18" s="1"/>
  <c r="J24" i="18" s="1"/>
  <c r="K24" i="18" s="1"/>
  <c r="L24" i="18" s="1"/>
  <c r="M24" i="18" s="1"/>
  <c r="C25" i="18"/>
  <c r="C33" i="18"/>
  <c r="C36" i="18" s="1"/>
  <c r="C65" i="18"/>
  <c r="C49" i="18"/>
  <c r="C60" i="18" s="1"/>
  <c r="C52" i="18"/>
  <c r="C55" i="18" s="1"/>
  <c r="C61" i="18" s="1"/>
  <c r="D62" i="18"/>
  <c r="E62" i="18" s="1"/>
  <c r="F62" i="18" s="1"/>
  <c r="G62" i="18" s="1"/>
  <c r="H62" i="18" s="1"/>
  <c r="I62" i="18" s="1"/>
  <c r="J62" i="18" s="1"/>
  <c r="K62" i="18" s="1"/>
  <c r="L62" i="18" s="1"/>
  <c r="M62" i="18" s="1"/>
  <c r="C63" i="18"/>
  <c r="D20" i="28"/>
  <c r="B78" i="18"/>
  <c r="D78" i="18"/>
  <c r="E78" i="18" s="1"/>
  <c r="F78" i="18" s="1"/>
  <c r="G78" i="18" s="1"/>
  <c r="H78" i="18" s="1"/>
  <c r="I78" i="18" s="1"/>
  <c r="J78" i="18" s="1"/>
  <c r="K78" i="18" s="1"/>
  <c r="L78" i="18" s="1"/>
  <c r="B79" i="18"/>
  <c r="D79" i="18"/>
  <c r="E79" i="18" s="1"/>
  <c r="F79" i="18" s="1"/>
  <c r="G79" i="18" s="1"/>
  <c r="H79" i="18" s="1"/>
  <c r="I79" i="18" s="1"/>
  <c r="J79" i="18" s="1"/>
  <c r="K79" i="18" s="1"/>
  <c r="L79" i="18" s="1"/>
  <c r="E10" i="18"/>
  <c r="F10" i="18" s="1"/>
  <c r="G10" i="18" s="1"/>
  <c r="H10" i="18" s="1"/>
  <c r="D4" i="23"/>
  <c r="E5" i="23"/>
  <c r="F5" i="23" s="1"/>
  <c r="G5" i="23" s="1"/>
  <c r="H5" i="23" s="1"/>
  <c r="I5" i="23" s="1"/>
  <c r="J5" i="23" s="1"/>
  <c r="K5" i="23" s="1"/>
  <c r="L5" i="23" s="1"/>
  <c r="M5" i="23" s="1"/>
  <c r="D10" i="23"/>
  <c r="D11" i="23" s="1"/>
  <c r="H18" i="23"/>
  <c r="C11" i="23"/>
  <c r="E11" i="23"/>
  <c r="F11" i="23"/>
  <c r="G11" i="23"/>
  <c r="D19" i="28"/>
  <c r="B32" i="23"/>
  <c r="D32" i="23"/>
  <c r="E32" i="23" s="1"/>
  <c r="F32" i="23" s="1"/>
  <c r="G32" i="23" s="1"/>
  <c r="H32" i="23" s="1"/>
  <c r="I32" i="23" s="1"/>
  <c r="J32" i="23" s="1"/>
  <c r="K32" i="23" s="1"/>
  <c r="L32" i="23" s="1"/>
  <c r="B33" i="23"/>
  <c r="D33" i="23"/>
  <c r="E33" i="23" s="1"/>
  <c r="F33" i="23" s="1"/>
  <c r="G33" i="23" s="1"/>
  <c r="H33" i="23" s="1"/>
  <c r="I33" i="23" s="1"/>
  <c r="J33" i="23" s="1"/>
  <c r="K33" i="23" s="1"/>
  <c r="L33" i="23" s="1"/>
  <c r="D4" i="22"/>
  <c r="D124" i="22" s="1"/>
  <c r="E5" i="22"/>
  <c r="F5" i="22" s="1"/>
  <c r="G5" i="22" s="1"/>
  <c r="H5" i="22" s="1"/>
  <c r="I5" i="22" s="1"/>
  <c r="J5" i="22" s="1"/>
  <c r="K5" i="22" s="1"/>
  <c r="L5" i="22" s="1"/>
  <c r="M5" i="22" s="1"/>
  <c r="C10" i="22"/>
  <c r="C14" i="22" s="1"/>
  <c r="G11" i="22"/>
  <c r="H11" i="22" s="1"/>
  <c r="I11" i="22" s="1"/>
  <c r="J11" i="22" s="1"/>
  <c r="K11" i="22" s="1"/>
  <c r="L11" i="22" s="1"/>
  <c r="M11" i="22" s="1"/>
  <c r="D18" i="22"/>
  <c r="C19" i="22"/>
  <c r="C23" i="22" s="1"/>
  <c r="G20" i="22"/>
  <c r="H20" i="22" s="1"/>
  <c r="I20" i="22" s="1"/>
  <c r="J20" i="22" s="1"/>
  <c r="K20" i="22" s="1"/>
  <c r="L20" i="22" s="1"/>
  <c r="M20" i="22" s="1"/>
  <c r="D27" i="22"/>
  <c r="C28" i="22"/>
  <c r="C31" i="22" s="1"/>
  <c r="D29" i="22"/>
  <c r="G29" i="22"/>
  <c r="H29" i="22" s="1"/>
  <c r="I29" i="22" s="1"/>
  <c r="J29" i="22" s="1"/>
  <c r="K29" i="22" s="1"/>
  <c r="L29" i="22" s="1"/>
  <c r="M29" i="22" s="1"/>
  <c r="D36" i="22"/>
  <c r="D37" i="22" s="1"/>
  <c r="C37" i="22"/>
  <c r="C41" i="22" s="1"/>
  <c r="D38" i="22"/>
  <c r="H38" i="22"/>
  <c r="I38" i="22" s="1"/>
  <c r="J38" i="22" s="1"/>
  <c r="K38" i="22" s="1"/>
  <c r="L38" i="22" s="1"/>
  <c r="M38" i="22" s="1"/>
  <c r="D45" i="22"/>
  <c r="D46" i="22" s="1"/>
  <c r="C46" i="22"/>
  <c r="C49" i="22" s="1"/>
  <c r="D47" i="22"/>
  <c r="H47" i="22"/>
  <c r="I47" i="22" s="1"/>
  <c r="J47" i="22" s="1"/>
  <c r="K47" i="22" s="1"/>
  <c r="L47" i="22" s="1"/>
  <c r="M47" i="22" s="1"/>
  <c r="D54" i="22"/>
  <c r="E54" i="22" s="1"/>
  <c r="C55" i="22"/>
  <c r="C58" i="22" s="1"/>
  <c r="D56" i="22"/>
  <c r="E56" i="22" s="1"/>
  <c r="J56" i="22"/>
  <c r="K56" i="22" s="1"/>
  <c r="L56" i="22" s="1"/>
  <c r="M56" i="22" s="1"/>
  <c r="D63" i="22"/>
  <c r="C64" i="22"/>
  <c r="C67" i="22" s="1"/>
  <c r="D65" i="22"/>
  <c r="E65" i="22" s="1"/>
  <c r="J65" i="22"/>
  <c r="K65" i="22" s="1"/>
  <c r="L65" i="22" s="1"/>
  <c r="M65" i="22" s="1"/>
  <c r="D72" i="22"/>
  <c r="D73" i="22" s="1"/>
  <c r="G72" i="22"/>
  <c r="G73" i="22" s="1"/>
  <c r="H72" i="22"/>
  <c r="C73" i="22"/>
  <c r="D74" i="22"/>
  <c r="E74" i="22" s="1"/>
  <c r="F74" i="22" s="1"/>
  <c r="G74" i="22" s="1"/>
  <c r="J74" i="22"/>
  <c r="K74" i="22" s="1"/>
  <c r="L74" i="22" s="1"/>
  <c r="M74" i="22" s="1"/>
  <c r="D81" i="22"/>
  <c r="D82" i="22" s="1"/>
  <c r="G81" i="22"/>
  <c r="G82" i="22" s="1"/>
  <c r="H81" i="22"/>
  <c r="H82" i="22" s="1"/>
  <c r="C82" i="22"/>
  <c r="D83" i="22"/>
  <c r="E83" i="22" s="1"/>
  <c r="F83" i="22" s="1"/>
  <c r="G83" i="22" s="1"/>
  <c r="J83" i="22"/>
  <c r="K83" i="22" s="1"/>
  <c r="L83" i="22" s="1"/>
  <c r="M83" i="22" s="1"/>
  <c r="D99" i="22"/>
  <c r="D100" i="22" s="1"/>
  <c r="G99" i="22"/>
  <c r="G100" i="22" s="1"/>
  <c r="H99" i="22"/>
  <c r="H100" i="22" s="1"/>
  <c r="K100" i="22"/>
  <c r="C100" i="22"/>
  <c r="C103" i="22" s="1"/>
  <c r="D101" i="22"/>
  <c r="E101" i="22" s="1"/>
  <c r="F101" i="22" s="1"/>
  <c r="G101" i="22" s="1"/>
  <c r="H101" i="22" s="1"/>
  <c r="I101" i="22" s="1"/>
  <c r="J101" i="22" s="1"/>
  <c r="D108" i="22"/>
  <c r="G108" i="22"/>
  <c r="G109" i="22" s="1"/>
  <c r="H108" i="22"/>
  <c r="H109" i="22" s="1"/>
  <c r="I108" i="22"/>
  <c r="J108" i="22" s="1"/>
  <c r="J109" i="22" s="1"/>
  <c r="C109" i="22"/>
  <c r="C112" i="22" s="1"/>
  <c r="D110" i="22"/>
  <c r="E110" i="22" s="1"/>
  <c r="F110" i="22" s="1"/>
  <c r="G110" i="22" s="1"/>
  <c r="B131" i="22"/>
  <c r="D131" i="22"/>
  <c r="E131" i="22" s="1"/>
  <c r="F131" i="22" s="1"/>
  <c r="G131" i="22" s="1"/>
  <c r="H131" i="22" s="1"/>
  <c r="I131" i="22" s="1"/>
  <c r="J131" i="22" s="1"/>
  <c r="K131" i="22" s="1"/>
  <c r="L131" i="22" s="1"/>
  <c r="B132" i="22"/>
  <c r="D132" i="22"/>
  <c r="E132" i="22" s="1"/>
  <c r="F132" i="22" s="1"/>
  <c r="G132" i="22" s="1"/>
  <c r="H132" i="22" s="1"/>
  <c r="I132" i="22" s="1"/>
  <c r="J132" i="22" s="1"/>
  <c r="K132" i="22" s="1"/>
  <c r="L132" i="22" s="1"/>
  <c r="E36" i="22"/>
  <c r="H63" i="22"/>
  <c r="I63" i="22" s="1"/>
  <c r="J63" i="22" s="1"/>
  <c r="K63" i="22" s="1"/>
  <c r="L63" i="22" s="1"/>
  <c r="L64" i="22" s="1"/>
  <c r="D4" i="20"/>
  <c r="E4" i="20" s="1"/>
  <c r="E21" i="20" s="1"/>
  <c r="E5" i="20"/>
  <c r="F5" i="20" s="1"/>
  <c r="G5" i="20" s="1"/>
  <c r="H5" i="20" s="1"/>
  <c r="I5" i="20" s="1"/>
  <c r="J5" i="20" s="1"/>
  <c r="K5" i="20" s="1"/>
  <c r="L5" i="20" s="1"/>
  <c r="M5" i="20" s="1"/>
  <c r="D11" i="20"/>
  <c r="E11" i="20" s="1"/>
  <c r="F11" i="20" s="1"/>
  <c r="D19" i="20"/>
  <c r="E19" i="20" s="1"/>
  <c r="D20" i="20"/>
  <c r="D23" i="20" s="1"/>
  <c r="H20" i="20"/>
  <c r="L20" i="20" s="1"/>
  <c r="M20" i="20" s="1"/>
  <c r="C22" i="20"/>
  <c r="C23" i="20"/>
  <c r="C24" i="20"/>
  <c r="D28" i="20"/>
  <c r="E28" i="20" s="1"/>
  <c r="D29" i="20"/>
  <c r="H29" i="20"/>
  <c r="I29" i="20" s="1"/>
  <c r="J29" i="20" s="1"/>
  <c r="K29" i="20" s="1"/>
  <c r="L29" i="20" s="1"/>
  <c r="M29" i="20" s="1"/>
  <c r="C31" i="20"/>
  <c r="C32" i="20"/>
  <c r="C33" i="20"/>
  <c r="D33" i="20"/>
  <c r="B50" i="20"/>
  <c r="D50" i="20"/>
  <c r="E50" i="20" s="1"/>
  <c r="F50" i="20" s="1"/>
  <c r="G50" i="20" s="1"/>
  <c r="H50" i="20" s="1"/>
  <c r="I50" i="20" s="1"/>
  <c r="J50" i="20" s="1"/>
  <c r="K50" i="20" s="1"/>
  <c r="L50" i="20" s="1"/>
  <c r="B51" i="20"/>
  <c r="D51" i="20"/>
  <c r="E51" i="20" s="1"/>
  <c r="F51" i="20" s="1"/>
  <c r="G51" i="20" s="1"/>
  <c r="H51" i="20" s="1"/>
  <c r="I51" i="20" s="1"/>
  <c r="J51" i="20" s="1"/>
  <c r="K51" i="20" s="1"/>
  <c r="L51" i="20" s="1"/>
  <c r="D4" i="26"/>
  <c r="E4" i="26" s="1"/>
  <c r="F4" i="26" s="1"/>
  <c r="G4" i="26" s="1"/>
  <c r="H4" i="26" s="1"/>
  <c r="E5" i="26"/>
  <c r="F5" i="26" s="1"/>
  <c r="G5" i="26" s="1"/>
  <c r="H5" i="26" s="1"/>
  <c r="I5" i="26" s="1"/>
  <c r="J5" i="26" s="1"/>
  <c r="K5" i="26" s="1"/>
  <c r="L5" i="26" s="1"/>
  <c r="M5" i="26" s="1"/>
  <c r="D14" i="26"/>
  <c r="D24" i="26" s="1"/>
  <c r="E14" i="26"/>
  <c r="E24" i="26" s="1"/>
  <c r="F14" i="26"/>
  <c r="F24" i="26" s="1"/>
  <c r="G14" i="26"/>
  <c r="G24" i="26" s="1"/>
  <c r="H15" i="26"/>
  <c r="I15" i="26" s="1"/>
  <c r="J15" i="26" s="1"/>
  <c r="K15" i="26" s="1"/>
  <c r="L15" i="26" s="1"/>
  <c r="M15" i="26" s="1"/>
  <c r="D23" i="26"/>
  <c r="C24" i="26"/>
  <c r="C34" i="26" s="1"/>
  <c r="E25" i="26"/>
  <c r="F25" i="26" s="1"/>
  <c r="J25" i="26"/>
  <c r="E35" i="26"/>
  <c r="F35" i="26" s="1"/>
  <c r="C38" i="26"/>
  <c r="C39" i="26" s="1"/>
  <c r="D41" i="26"/>
  <c r="D43" i="26" s="1"/>
  <c r="E41" i="26"/>
  <c r="E43" i="26" s="1"/>
  <c r="F41" i="26"/>
  <c r="F43" i="26" s="1"/>
  <c r="C44" i="26"/>
  <c r="B48" i="26"/>
  <c r="D48" i="26"/>
  <c r="E48" i="26" s="1"/>
  <c r="F48" i="26" s="1"/>
  <c r="G48" i="26" s="1"/>
  <c r="H48" i="26" s="1"/>
  <c r="I48" i="26" s="1"/>
  <c r="J48" i="26" s="1"/>
  <c r="K48" i="26" s="1"/>
  <c r="L48" i="26" s="1"/>
  <c r="B49" i="26"/>
  <c r="D49" i="26"/>
  <c r="E49" i="26" s="1"/>
  <c r="F49" i="26" s="1"/>
  <c r="G49" i="26" s="1"/>
  <c r="H49" i="26" s="1"/>
  <c r="I49" i="26" s="1"/>
  <c r="J49" i="26" s="1"/>
  <c r="K49" i="26" s="1"/>
  <c r="L49" i="26" s="1"/>
  <c r="C58" i="26"/>
  <c r="C59" i="26"/>
  <c r="M31" i="26" s="1"/>
  <c r="D4" i="19"/>
  <c r="D14" i="19" s="1"/>
  <c r="E5" i="19"/>
  <c r="F5" i="19" s="1"/>
  <c r="G5" i="19" s="1"/>
  <c r="H5" i="19" s="1"/>
  <c r="I5" i="19" s="1"/>
  <c r="J5" i="19" s="1"/>
  <c r="K5" i="19" s="1"/>
  <c r="L5" i="19" s="1"/>
  <c r="M5" i="19" s="1"/>
  <c r="E10" i="19"/>
  <c r="L10" i="19"/>
  <c r="M10" i="19" s="1"/>
  <c r="D11" i="19"/>
  <c r="C25" i="19"/>
  <c r="C26" i="19" s="1"/>
  <c r="B26" i="19"/>
  <c r="B27" i="19"/>
  <c r="D4" i="14"/>
  <c r="E5" i="14"/>
  <c r="F5" i="14" s="1"/>
  <c r="G5" i="14" s="1"/>
  <c r="H5" i="14" s="1"/>
  <c r="I5" i="14" s="1"/>
  <c r="J5" i="14" s="1"/>
  <c r="K5" i="14" s="1"/>
  <c r="L5" i="14" s="1"/>
  <c r="M5" i="14" s="1"/>
  <c r="D13" i="14"/>
  <c r="H15" i="14"/>
  <c r="I15" i="14" s="1"/>
  <c r="J15" i="14" s="1"/>
  <c r="K15" i="14" s="1"/>
  <c r="L15" i="14" s="1"/>
  <c r="M15" i="14" s="1"/>
  <c r="C24" i="14"/>
  <c r="C34" i="14" s="1"/>
  <c r="E25" i="14"/>
  <c r="F25" i="14" s="1"/>
  <c r="J25" i="14"/>
  <c r="K25" i="14" s="1"/>
  <c r="L25" i="14" s="1"/>
  <c r="M25" i="14" s="1"/>
  <c r="E35" i="14"/>
  <c r="F35" i="14" s="1"/>
  <c r="G35" i="14" s="1"/>
  <c r="M35" i="14"/>
  <c r="C39" i="14"/>
  <c r="C40" i="14" s="1"/>
  <c r="B49" i="14"/>
  <c r="D49" i="14"/>
  <c r="E49" i="14" s="1"/>
  <c r="F49" i="14" s="1"/>
  <c r="G49" i="14" s="1"/>
  <c r="H49" i="14" s="1"/>
  <c r="I49" i="14" s="1"/>
  <c r="J49" i="14" s="1"/>
  <c r="K49" i="14" s="1"/>
  <c r="L49" i="14" s="1"/>
  <c r="B50" i="14"/>
  <c r="D50" i="14"/>
  <c r="E50" i="14" s="1"/>
  <c r="F50" i="14" s="1"/>
  <c r="G50" i="14" s="1"/>
  <c r="H50" i="14" s="1"/>
  <c r="I50" i="14" s="1"/>
  <c r="J50" i="14" s="1"/>
  <c r="K50" i="14" s="1"/>
  <c r="L50" i="14" s="1"/>
  <c r="C58" i="14"/>
  <c r="C68" i="14" s="1"/>
  <c r="E4" i="15"/>
  <c r="F5" i="15"/>
  <c r="G5" i="15" s="1"/>
  <c r="H5" i="15" s="1"/>
  <c r="I5" i="15" s="1"/>
  <c r="J5" i="15" s="1"/>
  <c r="K5" i="15" s="1"/>
  <c r="L5" i="15" s="1"/>
  <c r="M5" i="15" s="1"/>
  <c r="N5" i="15" s="1"/>
  <c r="C58" i="32"/>
  <c r="D20" i="32"/>
  <c r="D21" i="32"/>
  <c r="E27" i="32"/>
  <c r="F27" i="32" s="1"/>
  <c r="C35" i="32"/>
  <c r="C41" i="32" s="1"/>
  <c r="C40" i="32"/>
  <c r="E46" i="32"/>
  <c r="F46" i="32" s="1"/>
  <c r="C53" i="32"/>
  <c r="C59" i="32" s="1"/>
  <c r="D57" i="32"/>
  <c r="N62" i="34" l="1"/>
  <c r="O62" i="34" s="1"/>
  <c r="M102" i="34"/>
  <c r="D20" i="18"/>
  <c r="F36" i="22"/>
  <c r="F37" i="22" s="1"/>
  <c r="H73" i="22"/>
  <c r="E4" i="22"/>
  <c r="E124" i="22" s="1"/>
  <c r="D95" i="22"/>
  <c r="D93" i="22"/>
  <c r="D94" i="22" s="1"/>
  <c r="D96" i="22"/>
  <c r="C69" i="22"/>
  <c r="C50" i="22"/>
  <c r="E55" i="22"/>
  <c r="F54" i="22"/>
  <c r="F55" i="22" s="1"/>
  <c r="C105" i="22"/>
  <c r="C104" i="22"/>
  <c r="D64" i="22"/>
  <c r="E63" i="22"/>
  <c r="K109" i="22"/>
  <c r="D111" i="22"/>
  <c r="C32" i="22"/>
  <c r="C59" i="22"/>
  <c r="D51" i="22"/>
  <c r="C60" i="22"/>
  <c r="C51" i="22"/>
  <c r="D39" i="22"/>
  <c r="D40" i="22" s="1"/>
  <c r="C13" i="22"/>
  <c r="C68" i="22"/>
  <c r="D12" i="22"/>
  <c r="D75" i="22"/>
  <c r="D76" i="22" s="1"/>
  <c r="D66" i="22"/>
  <c r="D57" i="22"/>
  <c r="D48" i="22"/>
  <c r="C22" i="22"/>
  <c r="D123" i="22"/>
  <c r="D84" i="22"/>
  <c r="D21" i="22"/>
  <c r="D122" i="22"/>
  <c r="D121" i="22"/>
  <c r="D102" i="22"/>
  <c r="D103" i="22" s="1"/>
  <c r="D30" i="22"/>
  <c r="D17" i="28"/>
  <c r="C47" i="20"/>
  <c r="C52" i="20" s="1"/>
  <c r="F4" i="20"/>
  <c r="F40" i="20" s="1"/>
  <c r="F42" i="20" s="1"/>
  <c r="F24" i="20"/>
  <c r="C27" i="19"/>
  <c r="C28" i="19" s="1"/>
  <c r="E13" i="15"/>
  <c r="E10" i="15"/>
  <c r="D70" i="32"/>
  <c r="E15" i="15"/>
  <c r="E12" i="15"/>
  <c r="E9" i="15"/>
  <c r="E14" i="15"/>
  <c r="E11" i="15"/>
  <c r="G105" i="29"/>
  <c r="G113" i="29" s="1"/>
  <c r="G114" i="29" s="1"/>
  <c r="G102" i="29"/>
  <c r="J49" i="28"/>
  <c r="H51" i="28"/>
  <c r="M49" i="28"/>
  <c r="I13" i="14"/>
  <c r="E9" i="18"/>
  <c r="F9" i="18" s="1"/>
  <c r="G9" i="18" s="1"/>
  <c r="H9" i="18" s="1"/>
  <c r="J23" i="14"/>
  <c r="F43" i="28"/>
  <c r="F50" i="28" s="1"/>
  <c r="F51" i="28"/>
  <c r="K64" i="22"/>
  <c r="G51" i="28"/>
  <c r="G16" i="28"/>
  <c r="C9" i="20"/>
  <c r="D52" i="28" s="1"/>
  <c r="D56" i="28" s="1"/>
  <c r="G55" i="28"/>
  <c r="G46" i="28" s="1"/>
  <c r="G53" i="28"/>
  <c r="L53" i="28"/>
  <c r="F16" i="28"/>
  <c r="E16" i="28"/>
  <c r="C29" i="23"/>
  <c r="C34" i="23" s="1"/>
  <c r="C50" i="28"/>
  <c r="K43" i="28"/>
  <c r="K50" i="28" s="1"/>
  <c r="N49" i="28"/>
  <c r="N43" i="28"/>
  <c r="N50" i="28" s="1"/>
  <c r="M43" i="28"/>
  <c r="M50" i="28" s="1"/>
  <c r="E13" i="19"/>
  <c r="F49" i="28"/>
  <c r="M21" i="14"/>
  <c r="G21" i="26"/>
  <c r="H21" i="26"/>
  <c r="I21" i="26"/>
  <c r="L43" i="28"/>
  <c r="L50" i="28" s="1"/>
  <c r="C88" i="18"/>
  <c r="D13" i="19"/>
  <c r="C41" i="23"/>
  <c r="C75" i="18"/>
  <c r="C80" i="18" s="1"/>
  <c r="F13" i="19"/>
  <c r="I102" i="34"/>
  <c r="D11" i="14"/>
  <c r="E11" i="14"/>
  <c r="M63" i="22"/>
  <c r="M64" i="22" s="1"/>
  <c r="J21" i="14"/>
  <c r="K21" i="14"/>
  <c r="I43" i="28"/>
  <c r="I50" i="28" s="1"/>
  <c r="D24" i="20"/>
  <c r="L21" i="14"/>
  <c r="M11" i="14"/>
  <c r="H64" i="22"/>
  <c r="H21" i="14"/>
  <c r="L51" i="28"/>
  <c r="G64" i="22"/>
  <c r="I21" i="14"/>
  <c r="I64" i="22"/>
  <c r="G21" i="14"/>
  <c r="D60" i="32"/>
  <c r="C51" i="28"/>
  <c r="D31" i="20"/>
  <c r="E12" i="20"/>
  <c r="D55" i="22"/>
  <c r="C24" i="22"/>
  <c r="C15" i="22"/>
  <c r="F53" i="28"/>
  <c r="J64" i="22"/>
  <c r="E49" i="28"/>
  <c r="D21" i="20"/>
  <c r="D68" i="22"/>
  <c r="C33" i="22"/>
  <c r="K51" i="28"/>
  <c r="F23" i="26"/>
  <c r="E23" i="26"/>
  <c r="N51" i="28"/>
  <c r="E40" i="20"/>
  <c r="E42" i="20" s="1"/>
  <c r="D32" i="20"/>
  <c r="E45" i="22"/>
  <c r="E46" i="22" s="1"/>
  <c r="E51" i="22" s="1"/>
  <c r="G19" i="20"/>
  <c r="H19" i="20" s="1"/>
  <c r="F23" i="20"/>
  <c r="C85" i="22"/>
  <c r="C86" i="22"/>
  <c r="D24" i="23"/>
  <c r="E19" i="28" s="1"/>
  <c r="E4" i="23"/>
  <c r="E12" i="23" s="1"/>
  <c r="E20" i="23" s="1"/>
  <c r="D12" i="23"/>
  <c r="D20" i="23" s="1"/>
  <c r="L33" i="14"/>
  <c r="E43" i="28"/>
  <c r="E50" i="28" s="1"/>
  <c r="E4" i="19"/>
  <c r="D21" i="18"/>
  <c r="D25" i="18" s="1"/>
  <c r="I46" i="32"/>
  <c r="C85" i="32"/>
  <c r="I45" i="32" s="1"/>
  <c r="J45" i="32" s="1"/>
  <c r="E4" i="14"/>
  <c r="F4" i="14" s="1"/>
  <c r="F14" i="14" s="1"/>
  <c r="D42" i="14"/>
  <c r="D14" i="14"/>
  <c r="D25" i="19"/>
  <c r="D26" i="19" s="1"/>
  <c r="K31" i="26"/>
  <c r="L31" i="26"/>
  <c r="D13" i="26"/>
  <c r="E51" i="28"/>
  <c r="E12" i="22"/>
  <c r="E123" i="22"/>
  <c r="E57" i="22"/>
  <c r="E58" i="22" s="1"/>
  <c r="E102" i="22"/>
  <c r="E122" i="22"/>
  <c r="E126" i="22" s="1"/>
  <c r="C87" i="22"/>
  <c r="D14" i="28"/>
  <c r="D67" i="32"/>
  <c r="D69" i="32" s="1"/>
  <c r="E4" i="32"/>
  <c r="D11" i="32"/>
  <c r="D29" i="32" s="1"/>
  <c r="D38" i="32"/>
  <c r="D41" i="32" s="1"/>
  <c r="D56" i="32"/>
  <c r="D59" i="32" s="1"/>
  <c r="D39" i="32"/>
  <c r="D42" i="32" s="1"/>
  <c r="E37" i="22"/>
  <c r="F28" i="32"/>
  <c r="G28" i="32" s="1"/>
  <c r="C71" i="32"/>
  <c r="C76" i="32" s="1"/>
  <c r="J43" i="28"/>
  <c r="J50" i="28" s="1"/>
  <c r="C42" i="28"/>
  <c r="C57" i="26"/>
  <c r="D33" i="14"/>
  <c r="G33" i="14"/>
  <c r="D30" i="19"/>
  <c r="L99" i="22"/>
  <c r="L100" i="22" s="1"/>
  <c r="D40" i="18"/>
  <c r="E13" i="14"/>
  <c r="H11" i="14"/>
  <c r="G11" i="14"/>
  <c r="I11" i="14"/>
  <c r="K11" i="14"/>
  <c r="F45" i="22"/>
  <c r="E121" i="22"/>
  <c r="K25" i="26"/>
  <c r="J21" i="26"/>
  <c r="G35" i="26"/>
  <c r="C113" i="22"/>
  <c r="C114" i="22"/>
  <c r="C76" i="22"/>
  <c r="C77" i="22"/>
  <c r="C78" i="22"/>
  <c r="E4" i="18"/>
  <c r="E20" i="18" s="1"/>
  <c r="D71" i="18"/>
  <c r="D73" i="18" s="1"/>
  <c r="D11" i="18"/>
  <c r="D58" i="18"/>
  <c r="D61" i="18" s="1"/>
  <c r="D59" i="18"/>
  <c r="D63" i="18" s="1"/>
  <c r="J53" i="28"/>
  <c r="C49" i="28"/>
  <c r="C34" i="19"/>
  <c r="C37" i="19" s="1"/>
  <c r="H43" i="28"/>
  <c r="H50" i="28" s="1"/>
  <c r="C42" i="22"/>
  <c r="C21" i="23"/>
  <c r="C40" i="22"/>
  <c r="C52" i="28"/>
  <c r="F14" i="36"/>
  <c r="C44" i="19"/>
  <c r="I53" i="28"/>
  <c r="E53" i="28"/>
  <c r="G43" i="28"/>
  <c r="G50" i="28" s="1"/>
  <c r="D40" i="20"/>
  <c r="D42" i="20" s="1"/>
  <c r="D22" i="20"/>
  <c r="I109" i="22"/>
  <c r="C64" i="32"/>
  <c r="I10" i="18"/>
  <c r="D47" i="32"/>
  <c r="D58" i="32" s="1"/>
  <c r="D40" i="32"/>
  <c r="H35" i="14"/>
  <c r="C48" i="14"/>
  <c r="E42" i="14"/>
  <c r="E44" i="14" s="1"/>
  <c r="E14" i="14"/>
  <c r="E38" i="14" s="1"/>
  <c r="J11" i="14"/>
  <c r="F11" i="14"/>
  <c r="D10" i="14"/>
  <c r="I4" i="26"/>
  <c r="H41" i="26"/>
  <c r="H43" i="26" s="1"/>
  <c r="H14" i="26"/>
  <c r="F33" i="14"/>
  <c r="H33" i="14"/>
  <c r="E33" i="14"/>
  <c r="I33" i="14"/>
  <c r="D7" i="28"/>
  <c r="C47" i="26"/>
  <c r="L11" i="14"/>
  <c r="E11" i="19"/>
  <c r="C45" i="26"/>
  <c r="C50" i="26" s="1"/>
  <c r="G41" i="26"/>
  <c r="G43" i="26" s="1"/>
  <c r="D109" i="22"/>
  <c r="E108" i="22"/>
  <c r="D104" i="22"/>
  <c r="D105" i="22"/>
  <c r="F10" i="19"/>
  <c r="F11" i="19" s="1"/>
  <c r="D77" i="22"/>
  <c r="D78" i="22"/>
  <c r="E24" i="20"/>
  <c r="F4" i="15"/>
  <c r="E33" i="20"/>
  <c r="F21" i="20"/>
  <c r="F22" i="20" s="1"/>
  <c r="G4" i="20"/>
  <c r="F12" i="20"/>
  <c r="H110" i="22"/>
  <c r="I110" i="22" s="1"/>
  <c r="L109" i="22"/>
  <c r="M108" i="22"/>
  <c r="M109" i="22" s="1"/>
  <c r="D86" i="22"/>
  <c r="D85" i="22"/>
  <c r="D87" i="22"/>
  <c r="E20" i="20"/>
  <c r="E22" i="20" s="1"/>
  <c r="E84" i="22"/>
  <c r="E75" i="22"/>
  <c r="D69" i="22"/>
  <c r="D59" i="22"/>
  <c r="E59" i="22"/>
  <c r="E18" i="22"/>
  <c r="D19" i="22"/>
  <c r="I99" i="22"/>
  <c r="E99" i="22"/>
  <c r="I81" i="22"/>
  <c r="E81" i="22"/>
  <c r="I72" i="22"/>
  <c r="E72" i="22"/>
  <c r="E60" i="22"/>
  <c r="E47" i="22"/>
  <c r="D50" i="22"/>
  <c r="D42" i="22"/>
  <c r="D28" i="22"/>
  <c r="E27" i="22"/>
  <c r="D49" i="22"/>
  <c r="F4" i="22"/>
  <c r="F124" i="22" s="1"/>
  <c r="E66" i="22"/>
  <c r="E48" i="22"/>
  <c r="E21" i="22"/>
  <c r="E30" i="22"/>
  <c r="D12" i="20"/>
  <c r="D67" i="22"/>
  <c r="D41" i="22"/>
  <c r="E39" i="22"/>
  <c r="I18" i="23"/>
  <c r="H11" i="23"/>
  <c r="E24" i="23"/>
  <c r="F4" i="23"/>
  <c r="F4" i="18"/>
  <c r="E11" i="18"/>
  <c r="E30" i="18" s="1"/>
  <c r="E58" i="18"/>
  <c r="E61" i="18" s="1"/>
  <c r="E71" i="18"/>
  <c r="E73" i="18" s="1"/>
  <c r="D23" i="18"/>
  <c r="H53" i="28"/>
  <c r="C84" i="32"/>
  <c r="H27" i="32" s="1"/>
  <c r="I27" i="32" s="1"/>
  <c r="C62" i="32"/>
  <c r="G14" i="36"/>
  <c r="J14" i="36" s="1"/>
  <c r="K14" i="36" s="1"/>
  <c r="E12" i="36"/>
  <c r="F55" i="28"/>
  <c r="F46" i="28" s="1"/>
  <c r="C83" i="32"/>
  <c r="D9" i="32" s="1"/>
  <c r="E9" i="32" s="1"/>
  <c r="E14" i="36"/>
  <c r="E20" i="37"/>
  <c r="D33" i="37"/>
  <c r="C5" i="38"/>
  <c r="M7" i="37"/>
  <c r="N56" i="34"/>
  <c r="O56" i="34" s="1"/>
  <c r="M64" i="34"/>
  <c r="M103" i="34" s="1"/>
  <c r="K55" i="34"/>
  <c r="K64" i="34" s="1"/>
  <c r="F7" i="36"/>
  <c r="K36" i="34"/>
  <c r="K51" i="34" s="1"/>
  <c r="F6" i="36"/>
  <c r="K9" i="34"/>
  <c r="K32" i="34" s="1"/>
  <c r="G18" i="36"/>
  <c r="J18" i="36" s="1"/>
  <c r="K18" i="36" s="1"/>
  <c r="F16" i="36"/>
  <c r="F12" i="36"/>
  <c r="F11" i="36"/>
  <c r="I99" i="34"/>
  <c r="F10" i="36" s="1"/>
  <c r="K82" i="34"/>
  <c r="I79" i="34"/>
  <c r="K67" i="34"/>
  <c r="G8" i="36" s="1"/>
  <c r="J8" i="36" s="1"/>
  <c r="K8" i="36" s="1"/>
  <c r="N54" i="34"/>
  <c r="N35" i="34"/>
  <c r="N7" i="34"/>
  <c r="I64" i="34"/>
  <c r="I51" i="34"/>
  <c r="C63" i="32"/>
  <c r="G46" i="32"/>
  <c r="G45" i="32"/>
  <c r="G27" i="32"/>
  <c r="I28" i="32"/>
  <c r="E10" i="32"/>
  <c r="D24" i="32"/>
  <c r="M11" i="26" l="1"/>
  <c r="C67" i="26"/>
  <c r="C68" i="26" s="1"/>
  <c r="D68" i="18"/>
  <c r="D66" i="18"/>
  <c r="D30" i="18"/>
  <c r="D49" i="18" s="1"/>
  <c r="D60" i="18" s="1"/>
  <c r="D65" i="18" s="1"/>
  <c r="C69" i="18"/>
  <c r="G36" i="22"/>
  <c r="H36" i="22" s="1"/>
  <c r="D32" i="19"/>
  <c r="E15" i="28" s="1"/>
  <c r="D44" i="14"/>
  <c r="E14" i="28" s="1"/>
  <c r="E102" i="29"/>
  <c r="C140" i="22"/>
  <c r="G9" i="23"/>
  <c r="C117" i="22"/>
  <c r="C116" i="22"/>
  <c r="C118" i="22"/>
  <c r="F93" i="22"/>
  <c r="F94" i="22" s="1"/>
  <c r="F96" i="22"/>
  <c r="F95" i="22"/>
  <c r="E111" i="22"/>
  <c r="E93" i="22"/>
  <c r="E94" i="22" s="1"/>
  <c r="E95" i="22"/>
  <c r="E96" i="22"/>
  <c r="E64" i="22"/>
  <c r="E68" i="22" s="1"/>
  <c r="F63" i="22"/>
  <c r="F64" i="22" s="1"/>
  <c r="F69" i="22" s="1"/>
  <c r="M99" i="22"/>
  <c r="M100" i="22" s="1"/>
  <c r="D58" i="22"/>
  <c r="G17" i="28"/>
  <c r="F47" i="20"/>
  <c r="F17" i="28"/>
  <c r="E47" i="20"/>
  <c r="E52" i="20" s="1"/>
  <c r="E17" i="28"/>
  <c r="D47" i="20"/>
  <c r="D52" i="20" s="1"/>
  <c r="F38" i="14"/>
  <c r="D6" i="28"/>
  <c r="C36" i="19"/>
  <c r="D24" i="14"/>
  <c r="D34" i="14" s="1"/>
  <c r="D38" i="14"/>
  <c r="D39" i="14" s="1"/>
  <c r="D40" i="14" s="1"/>
  <c r="D48" i="14" s="1"/>
  <c r="E20" i="15"/>
  <c r="D46" i="14"/>
  <c r="D51" i="14" s="1"/>
  <c r="F13" i="15"/>
  <c r="F10" i="15"/>
  <c r="F14" i="15"/>
  <c r="F15" i="15"/>
  <c r="E29" i="23" s="1"/>
  <c r="E34" i="23" s="1"/>
  <c r="F12" i="15"/>
  <c r="E75" i="18"/>
  <c r="E80" i="18" s="1"/>
  <c r="E70" i="32"/>
  <c r="F9" i="15"/>
  <c r="F11" i="15"/>
  <c r="G106" i="29"/>
  <c r="H23" i="14"/>
  <c r="G23" i="26"/>
  <c r="D22" i="18"/>
  <c r="G23" i="14"/>
  <c r="I23" i="14"/>
  <c r="L23" i="26"/>
  <c r="J13" i="14"/>
  <c r="H13" i="14"/>
  <c r="G13" i="14"/>
  <c r="F13" i="14"/>
  <c r="G49" i="28"/>
  <c r="G56" i="28" s="1"/>
  <c r="M13" i="14"/>
  <c r="D9" i="20"/>
  <c r="E9" i="20" s="1"/>
  <c r="F9" i="20" s="1"/>
  <c r="G9" i="20" s="1"/>
  <c r="H49" i="28"/>
  <c r="H56" i="28" s="1"/>
  <c r="F14" i="28"/>
  <c r="L13" i="14"/>
  <c r="K13" i="14"/>
  <c r="M23" i="14"/>
  <c r="L23" i="14"/>
  <c r="K23" i="14"/>
  <c r="L13" i="26"/>
  <c r="F13" i="26"/>
  <c r="H13" i="26"/>
  <c r="G13" i="26"/>
  <c r="E23" i="18"/>
  <c r="E66" i="18" s="1"/>
  <c r="E13" i="26"/>
  <c r="C55" i="28"/>
  <c r="M13" i="26"/>
  <c r="I16" i="28"/>
  <c r="J13" i="26"/>
  <c r="I13" i="26"/>
  <c r="K13" i="26"/>
  <c r="C10" i="20"/>
  <c r="C14" i="20" s="1"/>
  <c r="C36" i="20" s="1"/>
  <c r="L49" i="28"/>
  <c r="L56" i="28" s="1"/>
  <c r="M51" i="28"/>
  <c r="M56" i="28" s="1"/>
  <c r="L13" i="19"/>
  <c r="D45" i="26"/>
  <c r="D50" i="26" s="1"/>
  <c r="I49" i="28"/>
  <c r="D22" i="32"/>
  <c r="D62" i="32" s="1"/>
  <c r="D23" i="32"/>
  <c r="D63" i="32" s="1"/>
  <c r="N56" i="28"/>
  <c r="G20" i="26"/>
  <c r="H20" i="26" s="1"/>
  <c r="H23" i="26"/>
  <c r="E56" i="28"/>
  <c r="D71" i="32"/>
  <c r="D76" i="32" s="1"/>
  <c r="J33" i="14"/>
  <c r="M13" i="19"/>
  <c r="C38" i="19"/>
  <c r="G13" i="19"/>
  <c r="D29" i="23"/>
  <c r="D34" i="23" s="1"/>
  <c r="J13" i="19"/>
  <c r="I13" i="19"/>
  <c r="H13" i="19"/>
  <c r="D22" i="28"/>
  <c r="B8" i="37" s="1"/>
  <c r="K49" i="28"/>
  <c r="K56" i="28" s="1"/>
  <c r="F56" i="28"/>
  <c r="I103" i="34"/>
  <c r="K102" i="34"/>
  <c r="E19" i="36"/>
  <c r="F42" i="14"/>
  <c r="G4" i="14"/>
  <c r="H4" i="14" s="1"/>
  <c r="K33" i="14"/>
  <c r="E59" i="18"/>
  <c r="E63" i="18" s="1"/>
  <c r="E40" i="18"/>
  <c r="M33" i="14"/>
  <c r="C44" i="28"/>
  <c r="C65" i="32"/>
  <c r="K11" i="26"/>
  <c r="J51" i="28"/>
  <c r="J56" i="28" s="1"/>
  <c r="C89" i="18"/>
  <c r="E31" i="20"/>
  <c r="C22" i="23"/>
  <c r="D10" i="28" s="1"/>
  <c r="E21" i="18"/>
  <c r="E25" i="18" s="1"/>
  <c r="D64" i="32"/>
  <c r="E39" i="18"/>
  <c r="E40" i="22"/>
  <c r="C46" i="14"/>
  <c r="C51" i="14" s="1"/>
  <c r="C52" i="14" s="1"/>
  <c r="D60" i="22"/>
  <c r="F4" i="19"/>
  <c r="E14" i="19"/>
  <c r="I23" i="26"/>
  <c r="I51" i="28"/>
  <c r="K23" i="26"/>
  <c r="E11" i="26"/>
  <c r="E37" i="26" s="1"/>
  <c r="L25" i="26"/>
  <c r="K21" i="26"/>
  <c r="E41" i="22"/>
  <c r="E42" i="22"/>
  <c r="E30" i="19"/>
  <c r="I11" i="26"/>
  <c r="E32" i="20"/>
  <c r="D27" i="19"/>
  <c r="D28" i="19" s="1"/>
  <c r="C43" i="28"/>
  <c r="H10" i="19"/>
  <c r="I10" i="19"/>
  <c r="J23" i="26"/>
  <c r="F46" i="22"/>
  <c r="F51" i="22" s="1"/>
  <c r="G45" i="22"/>
  <c r="E21" i="32"/>
  <c r="E20" i="32"/>
  <c r="E23" i="32" s="1"/>
  <c r="E67" i="32"/>
  <c r="E69" i="32" s="1"/>
  <c r="E11" i="32"/>
  <c r="E29" i="32" s="1"/>
  <c r="E56" i="32"/>
  <c r="E59" i="32" s="1"/>
  <c r="E38" i="32"/>
  <c r="E41" i="32" s="1"/>
  <c r="E39" i="32"/>
  <c r="E42" i="32" s="1"/>
  <c r="F4" i="32"/>
  <c r="E57" i="32"/>
  <c r="E60" i="32" s="1"/>
  <c r="J46" i="32"/>
  <c r="K46" i="32" s="1"/>
  <c r="K13" i="19"/>
  <c r="E20" i="28"/>
  <c r="D75" i="18"/>
  <c r="D80" i="18" s="1"/>
  <c r="D11" i="26"/>
  <c r="L11" i="26"/>
  <c r="H11" i="26"/>
  <c r="H37" i="26" s="1"/>
  <c r="J11" i="26"/>
  <c r="D10" i="26"/>
  <c r="F11" i="26"/>
  <c r="F37" i="26" s="1"/>
  <c r="G11" i="26"/>
  <c r="G37" i="26" s="1"/>
  <c r="H35" i="26"/>
  <c r="F31" i="20"/>
  <c r="M23" i="26"/>
  <c r="F12" i="23"/>
  <c r="F20" i="23" s="1"/>
  <c r="G4" i="23"/>
  <c r="F24" i="23"/>
  <c r="D32" i="22"/>
  <c r="D33" i="22"/>
  <c r="D31" i="22"/>
  <c r="E49" i="22"/>
  <c r="E82" i="22"/>
  <c r="F81" i="22"/>
  <c r="F82" i="22" s="1"/>
  <c r="D113" i="22"/>
  <c r="D114" i="22"/>
  <c r="D112" i="22"/>
  <c r="J4" i="26"/>
  <c r="I41" i="26"/>
  <c r="I43" i="26" s="1"/>
  <c r="I14" i="26"/>
  <c r="F19" i="28"/>
  <c r="I82" i="22"/>
  <c r="J81" i="22"/>
  <c r="D23" i="22"/>
  <c r="D24" i="22"/>
  <c r="D22" i="22"/>
  <c r="J110" i="22"/>
  <c r="E23" i="20"/>
  <c r="G4" i="15"/>
  <c r="C51" i="26"/>
  <c r="E24" i="14"/>
  <c r="E34" i="14" s="1"/>
  <c r="I35" i="14"/>
  <c r="I9" i="18"/>
  <c r="F20" i="28"/>
  <c r="E22" i="18"/>
  <c r="F12" i="22"/>
  <c r="G4" i="22"/>
  <c r="G124" i="22" s="1"/>
  <c r="F21" i="22"/>
  <c r="F30" i="22"/>
  <c r="F39" i="22"/>
  <c r="F40" i="22" s="1"/>
  <c r="F48" i="22"/>
  <c r="F75" i="22"/>
  <c r="F84" i="22"/>
  <c r="F102" i="22"/>
  <c r="F111" i="22"/>
  <c r="F66" i="22"/>
  <c r="F57" i="22"/>
  <c r="F121" i="22"/>
  <c r="F126" i="22" s="1"/>
  <c r="F123" i="22"/>
  <c r="F122" i="22"/>
  <c r="F68" i="22"/>
  <c r="F41" i="22"/>
  <c r="E73" i="22"/>
  <c r="F72" i="22"/>
  <c r="F73" i="22" s="1"/>
  <c r="E100" i="22"/>
  <c r="F99" i="22"/>
  <c r="F100" i="22" s="1"/>
  <c r="F18" i="22"/>
  <c r="E19" i="22"/>
  <c r="H16" i="28"/>
  <c r="H24" i="26"/>
  <c r="F42" i="22"/>
  <c r="F40" i="18"/>
  <c r="F39" i="18"/>
  <c r="F21" i="18"/>
  <c r="F25" i="18" s="1"/>
  <c r="G4" i="18"/>
  <c r="F11" i="18"/>
  <c r="F30" i="18" s="1"/>
  <c r="F20" i="18"/>
  <c r="F23" i="18" s="1"/>
  <c r="F58" i="18"/>
  <c r="F61" i="18" s="1"/>
  <c r="F71" i="18"/>
  <c r="F73" i="18" s="1"/>
  <c r="F59" i="18"/>
  <c r="F63" i="18" s="1"/>
  <c r="I11" i="23"/>
  <c r="J10" i="23"/>
  <c r="J18" i="23" s="1"/>
  <c r="F27" i="22"/>
  <c r="E28" i="22"/>
  <c r="I73" i="22"/>
  <c r="J72" i="22"/>
  <c r="I100" i="22"/>
  <c r="J99" i="22"/>
  <c r="J100" i="22" s="1"/>
  <c r="E50" i="22"/>
  <c r="H4" i="20"/>
  <c r="G40" i="20"/>
  <c r="G21" i="20"/>
  <c r="G22" i="20" s="1"/>
  <c r="G10" i="19"/>
  <c r="F108" i="22"/>
  <c r="F109" i="22" s="1"/>
  <c r="E109" i="22"/>
  <c r="F24" i="14"/>
  <c r="F34" i="14" s="1"/>
  <c r="E45" i="26"/>
  <c r="E50" i="26" s="1"/>
  <c r="E10" i="14"/>
  <c r="G24" i="20"/>
  <c r="G23" i="20"/>
  <c r="J10" i="18"/>
  <c r="F20" i="37"/>
  <c r="E33" i="37"/>
  <c r="N9" i="34"/>
  <c r="O9" i="34" s="1"/>
  <c r="N36" i="34"/>
  <c r="O36" i="34" s="1"/>
  <c r="G6" i="36"/>
  <c r="J6" i="36" s="1"/>
  <c r="K6" i="36" s="1"/>
  <c r="N55" i="34"/>
  <c r="O55" i="34" s="1"/>
  <c r="G7" i="36"/>
  <c r="J7" i="36" s="1"/>
  <c r="K7" i="36" s="1"/>
  <c r="F19" i="36"/>
  <c r="O7" i="34"/>
  <c r="O35" i="34"/>
  <c r="O54" i="34"/>
  <c r="K79" i="34"/>
  <c r="N67" i="34"/>
  <c r="K99" i="34"/>
  <c r="G10" i="36" s="1"/>
  <c r="J10" i="36" s="1"/>
  <c r="K10" i="36" s="1"/>
  <c r="N82" i="34"/>
  <c r="G11" i="36"/>
  <c r="J11" i="36" s="1"/>
  <c r="K11" i="36" s="1"/>
  <c r="G12" i="36"/>
  <c r="J12" i="36" s="1"/>
  <c r="K12" i="36" s="1"/>
  <c r="G16" i="36"/>
  <c r="J16" i="36" s="1"/>
  <c r="K16" i="36" s="1"/>
  <c r="C73" i="32"/>
  <c r="C77" i="32" s="1"/>
  <c r="K45" i="32"/>
  <c r="H45" i="32"/>
  <c r="H46" i="32"/>
  <c r="J28" i="32"/>
  <c r="J27" i="32"/>
  <c r="F10" i="32"/>
  <c r="E24" i="32"/>
  <c r="F9" i="32"/>
  <c r="E22" i="32"/>
  <c r="F68" i="18" l="1"/>
  <c r="G37" i="22"/>
  <c r="E68" i="18"/>
  <c r="D34" i="19"/>
  <c r="D37" i="19" s="1"/>
  <c r="I37" i="26"/>
  <c r="C12" i="38"/>
  <c r="M65" i="28" s="1"/>
  <c r="K103" i="34"/>
  <c r="F66" i="18"/>
  <c r="C77" i="18"/>
  <c r="C81" i="18" s="1"/>
  <c r="E32" i="19"/>
  <c r="E34" i="19" s="1"/>
  <c r="E37" i="19" s="1"/>
  <c r="G42" i="20"/>
  <c r="H17" i="28" s="1"/>
  <c r="F44" i="14"/>
  <c r="G14" i="28" s="1"/>
  <c r="G20" i="23"/>
  <c r="D9" i="22"/>
  <c r="C53" i="28"/>
  <c r="F67" i="22"/>
  <c r="G93" i="22"/>
  <c r="G94" i="22" s="1"/>
  <c r="G96" i="22"/>
  <c r="G95" i="22"/>
  <c r="E67" i="22"/>
  <c r="E69" i="22"/>
  <c r="D37" i="26"/>
  <c r="D38" i="26" s="1"/>
  <c r="D39" i="26" s="1"/>
  <c r="G42" i="14"/>
  <c r="E46" i="14"/>
  <c r="E51" i="14" s="1"/>
  <c r="F20" i="15"/>
  <c r="G10" i="15"/>
  <c r="G15" i="15"/>
  <c r="F29" i="23" s="1"/>
  <c r="F34" i="23" s="1"/>
  <c r="G11" i="15"/>
  <c r="G12" i="15"/>
  <c r="F52" i="20" s="1"/>
  <c r="F75" i="18"/>
  <c r="F80" i="18" s="1"/>
  <c r="G13" i="15"/>
  <c r="F70" i="32"/>
  <c r="G9" i="15"/>
  <c r="G14" i="15"/>
  <c r="C119" i="22"/>
  <c r="C130" i="22" s="1"/>
  <c r="C134" i="22" s="1"/>
  <c r="E64" i="32"/>
  <c r="C13" i="20"/>
  <c r="C35" i="20" s="1"/>
  <c r="D10" i="20"/>
  <c r="D15" i="20" s="1"/>
  <c r="D37" i="20" s="1"/>
  <c r="C15" i="20"/>
  <c r="C37" i="20" s="1"/>
  <c r="I11" i="19"/>
  <c r="D65" i="32"/>
  <c r="E5" i="28"/>
  <c r="I56" i="28"/>
  <c r="E10" i="26"/>
  <c r="F10" i="26" s="1"/>
  <c r="G10" i="26" s="1"/>
  <c r="E22" i="28"/>
  <c r="F15" i="28"/>
  <c r="D52" i="14"/>
  <c r="F50" i="22"/>
  <c r="F49" i="22"/>
  <c r="G20" i="14"/>
  <c r="H20" i="14" s="1"/>
  <c r="N102" i="34"/>
  <c r="N32" i="34"/>
  <c r="G38" i="26"/>
  <c r="G39" i="26" s="1"/>
  <c r="G11" i="19"/>
  <c r="C31" i="23"/>
  <c r="C35" i="23" s="1"/>
  <c r="G14" i="14"/>
  <c r="C46" i="28"/>
  <c r="N64" i="34"/>
  <c r="O64" i="34" s="1"/>
  <c r="J10" i="19"/>
  <c r="K11" i="19" s="1"/>
  <c r="D36" i="19"/>
  <c r="E6" i="28"/>
  <c r="H45" i="22"/>
  <c r="G46" i="22"/>
  <c r="G50" i="22" s="1"/>
  <c r="M25" i="26"/>
  <c r="M21" i="26" s="1"/>
  <c r="L21" i="26"/>
  <c r="E25" i="19"/>
  <c r="E47" i="32"/>
  <c r="E58" i="32" s="1"/>
  <c r="E40" i="32"/>
  <c r="E62" i="32" s="1"/>
  <c r="F30" i="19"/>
  <c r="F14" i="19"/>
  <c r="G4" i="19"/>
  <c r="D69" i="18"/>
  <c r="E71" i="32"/>
  <c r="E76" i="32" s="1"/>
  <c r="E21" i="23"/>
  <c r="E22" i="23" s="1"/>
  <c r="I35" i="26"/>
  <c r="N51" i="34"/>
  <c r="O51" i="34" s="1"/>
  <c r="G28" i="20"/>
  <c r="F32" i="20"/>
  <c r="F33" i="20"/>
  <c r="F56" i="32"/>
  <c r="F59" i="32" s="1"/>
  <c r="F39" i="32"/>
  <c r="F42" i="32" s="1"/>
  <c r="F38" i="32"/>
  <c r="F41" i="32" s="1"/>
  <c r="F11" i="32"/>
  <c r="F29" i="32" s="1"/>
  <c r="F67" i="32"/>
  <c r="F69" i="32" s="1"/>
  <c r="F20" i="32"/>
  <c r="F23" i="32" s="1"/>
  <c r="G4" i="32"/>
  <c r="F57" i="32"/>
  <c r="F60" i="32" s="1"/>
  <c r="F21" i="32"/>
  <c r="F24" i="32" s="1"/>
  <c r="D21" i="23"/>
  <c r="D22" i="23" s="1"/>
  <c r="E63" i="32"/>
  <c r="F38" i="26"/>
  <c r="F39" i="26" s="1"/>
  <c r="H37" i="22"/>
  <c r="I36" i="22"/>
  <c r="F113" i="22"/>
  <c r="F112" i="22"/>
  <c r="F114" i="22"/>
  <c r="F59" i="22"/>
  <c r="F58" i="22"/>
  <c r="F60" i="22"/>
  <c r="K72" i="22"/>
  <c r="J73" i="22"/>
  <c r="G27" i="22"/>
  <c r="F28" i="22"/>
  <c r="I4" i="14"/>
  <c r="H14" i="14"/>
  <c r="H38" i="14" s="1"/>
  <c r="H42" i="14"/>
  <c r="H44" i="14" s="1"/>
  <c r="F19" i="22"/>
  <c r="G18" i="22"/>
  <c r="J9" i="18"/>
  <c r="I24" i="26"/>
  <c r="G19" i="28"/>
  <c r="F10" i="14"/>
  <c r="G10" i="14" s="1"/>
  <c r="I4" i="20"/>
  <c r="H40" i="20"/>
  <c r="H21" i="20"/>
  <c r="H22" i="20" s="1"/>
  <c r="H23" i="20"/>
  <c r="H24" i="20"/>
  <c r="H54" i="22"/>
  <c r="G55" i="22"/>
  <c r="F22" i="18"/>
  <c r="F104" i="22"/>
  <c r="F103" i="22"/>
  <c r="F105" i="22"/>
  <c r="F78" i="22"/>
  <c r="F77" i="22"/>
  <c r="F76" i="22"/>
  <c r="J16" i="28"/>
  <c r="H4" i="23"/>
  <c r="G24" i="23"/>
  <c r="G27" i="23" s="1"/>
  <c r="G12" i="23"/>
  <c r="K10" i="18"/>
  <c r="E38" i="26"/>
  <c r="E39" i="26" s="1"/>
  <c r="F39" i="14"/>
  <c r="F40" i="14" s="1"/>
  <c r="F18" i="28"/>
  <c r="E128" i="22"/>
  <c r="E133" i="22" s="1"/>
  <c r="G20" i="28"/>
  <c r="G21" i="18"/>
  <c r="G25" i="18" s="1"/>
  <c r="H4" i="18"/>
  <c r="G11" i="18"/>
  <c r="G30" i="18" s="1"/>
  <c r="G20" i="18"/>
  <c r="G23" i="18" s="1"/>
  <c r="G39" i="18"/>
  <c r="G58" i="18"/>
  <c r="G61" i="18" s="1"/>
  <c r="G71" i="18"/>
  <c r="G73" i="18" s="1"/>
  <c r="G59" i="18"/>
  <c r="G63" i="18" s="1"/>
  <c r="G40" i="18"/>
  <c r="I20" i="26"/>
  <c r="J20" i="26" s="1"/>
  <c r="K20" i="26" s="1"/>
  <c r="E105" i="22"/>
  <c r="E103" i="22"/>
  <c r="E104" i="22"/>
  <c r="E78" i="22"/>
  <c r="E77" i="22"/>
  <c r="E76" i="22"/>
  <c r="G12" i="22"/>
  <c r="G48" i="22"/>
  <c r="G57" i="22"/>
  <c r="H4" i="22"/>
  <c r="H124" i="22" s="1"/>
  <c r="G39" i="22"/>
  <c r="G40" i="22" s="1"/>
  <c r="G121" i="22"/>
  <c r="G123" i="22"/>
  <c r="G21" i="22"/>
  <c r="G75" i="22"/>
  <c r="G76" i="22" s="1"/>
  <c r="G84" i="22"/>
  <c r="G85" i="22" s="1"/>
  <c r="G102" i="22"/>
  <c r="G103" i="22" s="1"/>
  <c r="G30" i="22"/>
  <c r="G66" i="22"/>
  <c r="G67" i="22" s="1"/>
  <c r="G114" i="22"/>
  <c r="G122" i="22"/>
  <c r="G111" i="22"/>
  <c r="G112" i="22" s="1"/>
  <c r="G68" i="22"/>
  <c r="G41" i="22"/>
  <c r="G42" i="22"/>
  <c r="G86" i="22"/>
  <c r="G78" i="22"/>
  <c r="G105" i="22"/>
  <c r="G69" i="22"/>
  <c r="G77" i="22"/>
  <c r="G104" i="22"/>
  <c r="G87" i="22"/>
  <c r="G113" i="22"/>
  <c r="E39" i="14"/>
  <c r="E40" i="14" s="1"/>
  <c r="J14" i="26"/>
  <c r="J34" i="26" s="1"/>
  <c r="J41" i="26"/>
  <c r="J43" i="26" s="1"/>
  <c r="K4" i="26"/>
  <c r="F87" i="22"/>
  <c r="F86" i="22"/>
  <c r="F85" i="22"/>
  <c r="F21" i="23"/>
  <c r="F22" i="23" s="1"/>
  <c r="E114" i="22"/>
  <c r="E112" i="22"/>
  <c r="E113" i="22"/>
  <c r="H11" i="19"/>
  <c r="E33" i="22"/>
  <c r="E31" i="22"/>
  <c r="E32" i="22"/>
  <c r="J11" i="23"/>
  <c r="K10" i="23"/>
  <c r="K18" i="23" s="1"/>
  <c r="E24" i="22"/>
  <c r="E22" i="22"/>
  <c r="E23" i="22"/>
  <c r="H4" i="15"/>
  <c r="K81" i="22"/>
  <c r="J82" i="22"/>
  <c r="E87" i="22"/>
  <c r="E86" i="22"/>
  <c r="E85" i="22"/>
  <c r="G20" i="37"/>
  <c r="F33" i="37"/>
  <c r="G19" i="36"/>
  <c r="J5" i="36"/>
  <c r="N99" i="34"/>
  <c r="O99" i="34" s="1"/>
  <c r="O82" i="34"/>
  <c r="N79" i="34"/>
  <c r="O79" i="34" s="1"/>
  <c r="O67" i="34"/>
  <c r="L45" i="32"/>
  <c r="L46" i="32"/>
  <c r="K27" i="32"/>
  <c r="K28" i="32"/>
  <c r="G9" i="32"/>
  <c r="G10" i="32"/>
  <c r="G68" i="18" l="1"/>
  <c r="D38" i="19"/>
  <c r="F45" i="26"/>
  <c r="F50" i="26" s="1"/>
  <c r="D77" i="18"/>
  <c r="D81" i="18" s="1"/>
  <c r="E11" i="28"/>
  <c r="N103" i="34"/>
  <c r="G105" i="34" s="1"/>
  <c r="G66" i="18"/>
  <c r="F32" i="19"/>
  <c r="G15" i="28" s="1"/>
  <c r="H42" i="20"/>
  <c r="I17" i="28" s="1"/>
  <c r="G126" i="22"/>
  <c r="G47" i="20"/>
  <c r="G44" i="14"/>
  <c r="H14" i="28" s="1"/>
  <c r="G31" i="20"/>
  <c r="H28" i="20"/>
  <c r="I28" i="20" s="1"/>
  <c r="E9" i="22"/>
  <c r="D126" i="22"/>
  <c r="D10" i="22"/>
  <c r="H93" i="22"/>
  <c r="H94" i="22" s="1"/>
  <c r="H96" i="22"/>
  <c r="H95" i="22"/>
  <c r="D9" i="28"/>
  <c r="E7" i="28"/>
  <c r="D47" i="26"/>
  <c r="D51" i="26" s="1"/>
  <c r="G24" i="14"/>
  <c r="G34" i="14" s="1"/>
  <c r="G38" i="14"/>
  <c r="G39" i="14" s="1"/>
  <c r="G40" i="14" s="1"/>
  <c r="G20" i="15"/>
  <c r="H10" i="15"/>
  <c r="H15" i="15"/>
  <c r="G29" i="23" s="1"/>
  <c r="G34" i="23" s="1"/>
  <c r="G75" i="18"/>
  <c r="G80" i="18" s="1"/>
  <c r="H12" i="15"/>
  <c r="G52" i="20" s="1"/>
  <c r="G70" i="32"/>
  <c r="H9" i="15"/>
  <c r="H13" i="15"/>
  <c r="H14" i="15"/>
  <c r="H11" i="15"/>
  <c r="G45" i="26" s="1"/>
  <c r="G50" i="26" s="1"/>
  <c r="F22" i="28"/>
  <c r="F24" i="28" s="1"/>
  <c r="F29" i="28" s="1"/>
  <c r="F64" i="32"/>
  <c r="F22" i="32"/>
  <c r="E65" i="32"/>
  <c r="D14" i="20"/>
  <c r="D36" i="20" s="1"/>
  <c r="C38" i="20"/>
  <c r="C49" i="20" s="1"/>
  <c r="C53" i="20" s="1"/>
  <c r="D13" i="20"/>
  <c r="D35" i="20" s="1"/>
  <c r="E10" i="20"/>
  <c r="E13" i="20" s="1"/>
  <c r="E35" i="20" s="1"/>
  <c r="D73" i="32"/>
  <c r="D77" i="32" s="1"/>
  <c r="G51" i="22"/>
  <c r="G49" i="22"/>
  <c r="J30" i="14"/>
  <c r="I20" i="14"/>
  <c r="J20" i="14" s="1"/>
  <c r="K20" i="14" s="1"/>
  <c r="M11" i="19"/>
  <c r="J11" i="19"/>
  <c r="L11" i="19"/>
  <c r="O102" i="34"/>
  <c r="E105" i="34"/>
  <c r="O32" i="34"/>
  <c r="F63" i="32"/>
  <c r="F10" i="28"/>
  <c r="E31" i="23"/>
  <c r="E35" i="23" s="1"/>
  <c r="F47" i="32"/>
  <c r="F58" i="32" s="1"/>
  <c r="F40" i="32"/>
  <c r="H38" i="26"/>
  <c r="H39" i="26" s="1"/>
  <c r="H47" i="26" s="1"/>
  <c r="E26" i="19"/>
  <c r="E27" i="19"/>
  <c r="J35" i="26"/>
  <c r="J31" i="26" s="1"/>
  <c r="J37" i="26" s="1"/>
  <c r="G7" i="28"/>
  <c r="F47" i="26"/>
  <c r="F51" i="26" s="1"/>
  <c r="E10" i="28"/>
  <c r="D31" i="23"/>
  <c r="D35" i="23" s="1"/>
  <c r="H4" i="19"/>
  <c r="G14" i="19"/>
  <c r="G30" i="19"/>
  <c r="F25" i="19"/>
  <c r="I45" i="22"/>
  <c r="H46" i="22"/>
  <c r="H51" i="22" s="1"/>
  <c r="G67" i="32"/>
  <c r="G69" i="32" s="1"/>
  <c r="H4" i="32"/>
  <c r="G57" i="32"/>
  <c r="G60" i="32" s="1"/>
  <c r="G56" i="32"/>
  <c r="G59" i="32" s="1"/>
  <c r="G38" i="32"/>
  <c r="G41" i="32" s="1"/>
  <c r="G11" i="32"/>
  <c r="G29" i="32" s="1"/>
  <c r="G39" i="32"/>
  <c r="G42" i="32" s="1"/>
  <c r="G21" i="32"/>
  <c r="G24" i="32" s="1"/>
  <c r="G20" i="32"/>
  <c r="G33" i="20"/>
  <c r="G32" i="20"/>
  <c r="I37" i="22"/>
  <c r="J36" i="22"/>
  <c r="F71" i="32"/>
  <c r="F76" i="32" s="1"/>
  <c r="L20" i="26"/>
  <c r="M20" i="26" s="1"/>
  <c r="H10" i="14"/>
  <c r="L81" i="22"/>
  <c r="K82" i="22"/>
  <c r="F46" i="14"/>
  <c r="F51" i="14" s="1"/>
  <c r="H10" i="26"/>
  <c r="I10" i="26" s="1"/>
  <c r="L4" i="26"/>
  <c r="K14" i="26"/>
  <c r="K41" i="26"/>
  <c r="K43" i="26" s="1"/>
  <c r="E49" i="18"/>
  <c r="E60" i="18" s="1"/>
  <c r="E65" i="18" s="1"/>
  <c r="G22" i="18"/>
  <c r="L10" i="18"/>
  <c r="G19" i="22"/>
  <c r="H18" i="22"/>
  <c r="I42" i="14"/>
  <c r="I44" i="14" s="1"/>
  <c r="I14" i="14"/>
  <c r="I38" i="14" s="1"/>
  <c r="J4" i="14"/>
  <c r="F32" i="22"/>
  <c r="F31" i="22"/>
  <c r="F33" i="22"/>
  <c r="L10" i="23"/>
  <c r="L18" i="23" s="1"/>
  <c r="K11" i="23"/>
  <c r="K16" i="28"/>
  <c r="H39" i="18"/>
  <c r="H40" i="18"/>
  <c r="I4" i="18"/>
  <c r="H11" i="18"/>
  <c r="H30" i="18" s="1"/>
  <c r="H20" i="18"/>
  <c r="H23" i="18" s="1"/>
  <c r="H59" i="18"/>
  <c r="H63" i="18" s="1"/>
  <c r="H71" i="18"/>
  <c r="H73" i="18" s="1"/>
  <c r="H21" i="18"/>
  <c r="H25" i="18" s="1"/>
  <c r="H58" i="18"/>
  <c r="H61" i="18" s="1"/>
  <c r="H66" i="18" s="1"/>
  <c r="F7" i="28"/>
  <c r="E47" i="26"/>
  <c r="E51" i="26" s="1"/>
  <c r="G21" i="23"/>
  <c r="G22" i="23" s="1"/>
  <c r="G58" i="22"/>
  <c r="G59" i="22"/>
  <c r="G60" i="22"/>
  <c r="F23" i="22"/>
  <c r="F22" i="22"/>
  <c r="F24" i="22"/>
  <c r="G28" i="22"/>
  <c r="H27" i="22"/>
  <c r="J24" i="26"/>
  <c r="H20" i="28"/>
  <c r="G5" i="28"/>
  <c r="F48" i="14"/>
  <c r="H19" i="28"/>
  <c r="H55" i="22"/>
  <c r="I54" i="22"/>
  <c r="H7" i="28"/>
  <c r="G47" i="26"/>
  <c r="K9" i="18"/>
  <c r="I14" i="28"/>
  <c r="I4" i="15"/>
  <c r="G10" i="28"/>
  <c r="F31" i="23"/>
  <c r="F35" i="23" s="1"/>
  <c r="F5" i="28"/>
  <c r="E48" i="14"/>
  <c r="E52" i="14" s="1"/>
  <c r="H39" i="22"/>
  <c r="H40" i="22" s="1"/>
  <c r="H12" i="22"/>
  <c r="H21" i="22"/>
  <c r="H30" i="22"/>
  <c r="I4" i="22"/>
  <c r="I124" i="22" s="1"/>
  <c r="H48" i="22"/>
  <c r="H75" i="22"/>
  <c r="H76" i="22" s="1"/>
  <c r="H84" i="22"/>
  <c r="H85" i="22" s="1"/>
  <c r="H102" i="22"/>
  <c r="H103" i="22" s="1"/>
  <c r="H111" i="22"/>
  <c r="H112" i="22" s="1"/>
  <c r="H57" i="22"/>
  <c r="H66" i="22"/>
  <c r="H67" i="22" s="1"/>
  <c r="H122" i="22"/>
  <c r="H121" i="22"/>
  <c r="H126" i="22" s="1"/>
  <c r="H123" i="22"/>
  <c r="H68" i="22"/>
  <c r="H42" i="22"/>
  <c r="H69" i="22"/>
  <c r="H77" i="22"/>
  <c r="H41" i="22"/>
  <c r="H87" i="22"/>
  <c r="H114" i="22"/>
  <c r="H104" i="22"/>
  <c r="H78" i="22"/>
  <c r="H86" i="22"/>
  <c r="H105" i="22"/>
  <c r="H113" i="22"/>
  <c r="H12" i="23"/>
  <c r="H20" i="23" s="1"/>
  <c r="H24" i="23"/>
  <c r="H27" i="23" s="1"/>
  <c r="I4" i="23"/>
  <c r="I21" i="20"/>
  <c r="I22" i="20" s="1"/>
  <c r="I40" i="20"/>
  <c r="J4" i="20"/>
  <c r="I23" i="20"/>
  <c r="I24" i="20"/>
  <c r="G18" i="28"/>
  <c r="F128" i="22"/>
  <c r="F133" i="22" s="1"/>
  <c r="H24" i="14"/>
  <c r="H34" i="14" s="1"/>
  <c r="L72" i="22"/>
  <c r="K73" i="22"/>
  <c r="H20" i="37"/>
  <c r="G33" i="37"/>
  <c r="J19" i="36"/>
  <c r="K5" i="36"/>
  <c r="M46" i="32"/>
  <c r="M45" i="32"/>
  <c r="L28" i="32"/>
  <c r="L27" i="32"/>
  <c r="H10" i="32"/>
  <c r="H9" i="32"/>
  <c r="G23" i="32"/>
  <c r="G63" i="32" s="1"/>
  <c r="G22" i="32"/>
  <c r="O103" i="34" l="1"/>
  <c r="D21" i="45"/>
  <c r="J35" i="45"/>
  <c r="J35" i="28"/>
  <c r="F34" i="19"/>
  <c r="F37" i="19" s="1"/>
  <c r="H68" i="18"/>
  <c r="K34" i="26"/>
  <c r="K37" i="26"/>
  <c r="D8" i="37"/>
  <c r="D10" i="37" s="1"/>
  <c r="H31" i="20"/>
  <c r="I42" i="20"/>
  <c r="G32" i="19"/>
  <c r="H15" i="28" s="1"/>
  <c r="H47" i="20"/>
  <c r="H52" i="20" s="1"/>
  <c r="D15" i="22"/>
  <c r="D118" i="22" s="1"/>
  <c r="D14" i="22"/>
  <c r="D117" i="22" s="1"/>
  <c r="D13" i="22"/>
  <c r="D116" i="22" s="1"/>
  <c r="E18" i="28"/>
  <c r="D128" i="22"/>
  <c r="D133" i="22" s="1"/>
  <c r="E10" i="22"/>
  <c r="F9" i="22"/>
  <c r="I93" i="22"/>
  <c r="I94" i="22" s="1"/>
  <c r="I95" i="22"/>
  <c r="I96" i="22"/>
  <c r="H20" i="15"/>
  <c r="I10" i="15"/>
  <c r="I15" i="15"/>
  <c r="H29" i="23" s="1"/>
  <c r="H34" i="23" s="1"/>
  <c r="I12" i="15"/>
  <c r="I9" i="15"/>
  <c r="I14" i="15"/>
  <c r="I11" i="15"/>
  <c r="H45" i="26" s="1"/>
  <c r="H50" i="26" s="1"/>
  <c r="H51" i="26" s="1"/>
  <c r="H75" i="18"/>
  <c r="H80" i="18" s="1"/>
  <c r="I13" i="15"/>
  <c r="D8" i="28"/>
  <c r="D12" i="28" s="1"/>
  <c r="D26" i="28" s="1"/>
  <c r="E73" i="32"/>
  <c r="E77" i="32" s="1"/>
  <c r="E15" i="20"/>
  <c r="E37" i="20" s="1"/>
  <c r="F10" i="20"/>
  <c r="G10" i="20" s="1"/>
  <c r="E14" i="20"/>
  <c r="E36" i="20" s="1"/>
  <c r="D38" i="20"/>
  <c r="D49" i="20" s="1"/>
  <c r="D53" i="20" s="1"/>
  <c r="H50" i="22"/>
  <c r="G51" i="26"/>
  <c r="H49" i="22"/>
  <c r="L20" i="14"/>
  <c r="M20" i="14" s="1"/>
  <c r="K30" i="14"/>
  <c r="L30" i="14" s="1"/>
  <c r="M30" i="14" s="1"/>
  <c r="I7" i="28"/>
  <c r="D21" i="28"/>
  <c r="B6" i="37" s="1"/>
  <c r="C4" i="38"/>
  <c r="E28" i="19"/>
  <c r="F6" i="28" s="1"/>
  <c r="F62" i="32"/>
  <c r="F65" i="32" s="1"/>
  <c r="E69" i="18"/>
  <c r="G47" i="32"/>
  <c r="G58" i="32" s="1"/>
  <c r="G40" i="32"/>
  <c r="G62" i="32" s="1"/>
  <c r="F52" i="14"/>
  <c r="I10" i="14"/>
  <c r="J37" i="22"/>
  <c r="K36" i="22"/>
  <c r="I31" i="20"/>
  <c r="H33" i="20"/>
  <c r="H32" i="20"/>
  <c r="G25" i="19"/>
  <c r="G64" i="32"/>
  <c r="H39" i="32"/>
  <c r="H42" i="32" s="1"/>
  <c r="H38" i="32"/>
  <c r="H41" i="32" s="1"/>
  <c r="H21" i="32"/>
  <c r="H11" i="32"/>
  <c r="H29" i="32" s="1"/>
  <c r="H20" i="32"/>
  <c r="H23" i="32" s="1"/>
  <c r="H67" i="32"/>
  <c r="H69" i="32" s="1"/>
  <c r="H57" i="32"/>
  <c r="H60" i="32" s="1"/>
  <c r="H56" i="32"/>
  <c r="H59" i="32" s="1"/>
  <c r="I4" i="32"/>
  <c r="H14" i="19"/>
  <c r="I4" i="19"/>
  <c r="H30" i="19"/>
  <c r="J30" i="26"/>
  <c r="I38" i="26"/>
  <c r="I39" i="26" s="1"/>
  <c r="J7" i="28" s="1"/>
  <c r="J45" i="22"/>
  <c r="I46" i="22"/>
  <c r="I51" i="22" s="1"/>
  <c r="H70" i="32"/>
  <c r="F26" i="19"/>
  <c r="F27" i="19"/>
  <c r="G71" i="32"/>
  <c r="G76" i="32" s="1"/>
  <c r="H10" i="28"/>
  <c r="G31" i="23"/>
  <c r="G35" i="23" s="1"/>
  <c r="J10" i="26"/>
  <c r="K10" i="26" s="1"/>
  <c r="J17" i="28"/>
  <c r="J4" i="15"/>
  <c r="H59" i="22"/>
  <c r="H60" i="22"/>
  <c r="H58" i="22"/>
  <c r="H28" i="22"/>
  <c r="I27" i="22"/>
  <c r="I24" i="14"/>
  <c r="I34" i="14" s="1"/>
  <c r="H39" i="14"/>
  <c r="H40" i="14" s="1"/>
  <c r="I24" i="23"/>
  <c r="I27" i="23" s="1"/>
  <c r="J4" i="23"/>
  <c r="I12" i="23"/>
  <c r="I20" i="23" s="1"/>
  <c r="J38" i="26"/>
  <c r="J39" i="26" s="1"/>
  <c r="G31" i="22"/>
  <c r="G33" i="22"/>
  <c r="G32" i="22"/>
  <c r="H22" i="18"/>
  <c r="M10" i="23"/>
  <c r="L11" i="23"/>
  <c r="J14" i="28"/>
  <c r="M10" i="18"/>
  <c r="L16" i="28"/>
  <c r="I19" i="28"/>
  <c r="J4" i="22"/>
  <c r="J124" i="22" s="1"/>
  <c r="I66" i="22"/>
  <c r="I67" i="22" s="1"/>
  <c r="I48" i="22"/>
  <c r="I12" i="22"/>
  <c r="I21" i="22"/>
  <c r="I30" i="22"/>
  <c r="I57" i="22"/>
  <c r="I122" i="22"/>
  <c r="I126" i="22" s="1"/>
  <c r="I39" i="22"/>
  <c r="I40" i="22" s="1"/>
  <c r="I121" i="22"/>
  <c r="I123" i="22"/>
  <c r="I75" i="22"/>
  <c r="I76" i="22" s="1"/>
  <c r="I84" i="22"/>
  <c r="I85" i="22" s="1"/>
  <c r="I102" i="22"/>
  <c r="I103" i="22" s="1"/>
  <c r="I111" i="22"/>
  <c r="I112" i="22" s="1"/>
  <c r="I42" i="22"/>
  <c r="I41" i="22"/>
  <c r="I114" i="22"/>
  <c r="I69" i="22"/>
  <c r="I68" i="22"/>
  <c r="I113" i="22"/>
  <c r="I77" i="22"/>
  <c r="I104" i="22"/>
  <c r="I87" i="22"/>
  <c r="I86" i="22"/>
  <c r="I78" i="22"/>
  <c r="I105" i="22"/>
  <c r="F49" i="18"/>
  <c r="F60" i="18" s="1"/>
  <c r="F65" i="18" s="1"/>
  <c r="I20" i="28"/>
  <c r="J4" i="18"/>
  <c r="I11" i="18"/>
  <c r="I30" i="18" s="1"/>
  <c r="I20" i="18"/>
  <c r="I23" i="18" s="1"/>
  <c r="I21" i="18"/>
  <c r="I25" i="18" s="1"/>
  <c r="I40" i="18"/>
  <c r="I39" i="18"/>
  <c r="I59" i="18"/>
  <c r="I63" i="18" s="1"/>
  <c r="I58" i="18"/>
  <c r="I61" i="18" s="1"/>
  <c r="I71" i="18"/>
  <c r="I73" i="18" s="1"/>
  <c r="H5" i="28"/>
  <c r="G48" i="14"/>
  <c r="I18" i="22"/>
  <c r="H19" i="22"/>
  <c r="K24" i="26"/>
  <c r="L82" i="22"/>
  <c r="M81" i="22"/>
  <c r="M82" i="22" s="1"/>
  <c r="L73" i="22"/>
  <c r="M72" i="22"/>
  <c r="M73" i="22" s="1"/>
  <c r="J21" i="20"/>
  <c r="J22" i="20" s="1"/>
  <c r="K4" i="20"/>
  <c r="J40" i="20"/>
  <c r="J24" i="20"/>
  <c r="J23" i="20"/>
  <c r="H21" i="23"/>
  <c r="H22" i="23" s="1"/>
  <c r="G46" i="14"/>
  <c r="G51" i="14" s="1"/>
  <c r="L9" i="18"/>
  <c r="J54" i="22"/>
  <c r="I55" i="22"/>
  <c r="H18" i="28"/>
  <c r="G128" i="22"/>
  <c r="G133" i="22" s="1"/>
  <c r="J14" i="14"/>
  <c r="J38" i="14" s="1"/>
  <c r="K4" i="14"/>
  <c r="J42" i="14"/>
  <c r="J44" i="14" s="1"/>
  <c r="G22" i="22"/>
  <c r="G24" i="22"/>
  <c r="G23" i="22"/>
  <c r="M4" i="26"/>
  <c r="L41" i="26"/>
  <c r="L43" i="26" s="1"/>
  <c r="L14" i="26"/>
  <c r="I20" i="37"/>
  <c r="H33" i="37"/>
  <c r="K19" i="36"/>
  <c r="M27" i="32"/>
  <c r="M28" i="32"/>
  <c r="I9" i="32"/>
  <c r="I10" i="32"/>
  <c r="H24" i="32"/>
  <c r="F67" i="45" l="1"/>
  <c r="D24" i="45"/>
  <c r="D29" i="45" s="1"/>
  <c r="D30" i="45" s="1"/>
  <c r="I68" i="18"/>
  <c r="G34" i="19"/>
  <c r="G37" i="19" s="1"/>
  <c r="E77" i="18"/>
  <c r="E81" i="18" s="1"/>
  <c r="F11" i="28"/>
  <c r="L34" i="26"/>
  <c r="L37" i="26"/>
  <c r="I66" i="18"/>
  <c r="H32" i="19"/>
  <c r="I15" i="28" s="1"/>
  <c r="J42" i="20"/>
  <c r="K17" i="28" s="1"/>
  <c r="I47" i="20"/>
  <c r="I52" i="20" s="1"/>
  <c r="D119" i="22"/>
  <c r="E15" i="22"/>
  <c r="E118" i="22" s="1"/>
  <c r="E14" i="22"/>
  <c r="E117" i="22" s="1"/>
  <c r="E13" i="22"/>
  <c r="E116" i="22" s="1"/>
  <c r="E24" i="28"/>
  <c r="E29" i="28" s="1"/>
  <c r="C8" i="37"/>
  <c r="C10" i="37" s="1"/>
  <c r="F10" i="22"/>
  <c r="G9" i="22"/>
  <c r="M11" i="23"/>
  <c r="M18" i="23"/>
  <c r="J93" i="22"/>
  <c r="J94" i="22" s="1"/>
  <c r="J96" i="22"/>
  <c r="J95" i="22"/>
  <c r="I20" i="15"/>
  <c r="I70" i="32"/>
  <c r="J9" i="15"/>
  <c r="J15" i="15"/>
  <c r="I29" i="23" s="1"/>
  <c r="I34" i="23" s="1"/>
  <c r="J12" i="15"/>
  <c r="J14" i="15"/>
  <c r="J11" i="15"/>
  <c r="I45" i="26" s="1"/>
  <c r="I50" i="26" s="1"/>
  <c r="I75" i="18"/>
  <c r="I80" i="18" s="1"/>
  <c r="J13" i="15"/>
  <c r="J10" i="15"/>
  <c r="E36" i="19"/>
  <c r="E38" i="19" s="1"/>
  <c r="H22" i="32"/>
  <c r="E38" i="20"/>
  <c r="E49" i="20" s="1"/>
  <c r="E53" i="20" s="1"/>
  <c r="F14" i="20"/>
  <c r="F36" i="20" s="1"/>
  <c r="B24" i="37"/>
  <c r="F15" i="20"/>
  <c r="F37" i="20" s="1"/>
  <c r="F13" i="20"/>
  <c r="F35" i="20" s="1"/>
  <c r="E8" i="28"/>
  <c r="F73" i="32"/>
  <c r="F77" i="32" s="1"/>
  <c r="H71" i="32"/>
  <c r="H76" i="32" s="1"/>
  <c r="I50" i="22"/>
  <c r="I49" i="22"/>
  <c r="H63" i="32"/>
  <c r="H22" i="28"/>
  <c r="F8" i="37" s="1"/>
  <c r="F10" i="37" s="1"/>
  <c r="F28" i="19"/>
  <c r="F36" i="19" s="1"/>
  <c r="F38" i="19" s="1"/>
  <c r="G65" i="32"/>
  <c r="K30" i="26"/>
  <c r="L30" i="26" s="1"/>
  <c r="M30" i="26" s="1"/>
  <c r="I47" i="26"/>
  <c r="H64" i="32"/>
  <c r="H47" i="32"/>
  <c r="H58" i="32" s="1"/>
  <c r="H40" i="32"/>
  <c r="G27" i="19"/>
  <c r="G26" i="19"/>
  <c r="I14" i="19"/>
  <c r="J4" i="19"/>
  <c r="I30" i="19"/>
  <c r="H25" i="19"/>
  <c r="I11" i="32"/>
  <c r="I29" i="32" s="1"/>
  <c r="I67" i="32"/>
  <c r="I69" i="32" s="1"/>
  <c r="J4" i="32"/>
  <c r="I57" i="32"/>
  <c r="I60" i="32" s="1"/>
  <c r="I39" i="32"/>
  <c r="I42" i="32" s="1"/>
  <c r="I21" i="32"/>
  <c r="I20" i="32"/>
  <c r="I38" i="32"/>
  <c r="I41" i="32" s="1"/>
  <c r="I56" i="32"/>
  <c r="I59" i="32" s="1"/>
  <c r="J10" i="14"/>
  <c r="K10" i="14" s="1"/>
  <c r="L10" i="14" s="1"/>
  <c r="J46" i="22"/>
  <c r="J50" i="22" s="1"/>
  <c r="K45" i="22"/>
  <c r="F69" i="18"/>
  <c r="J28" i="20"/>
  <c r="K28" i="20" s="1"/>
  <c r="L28" i="20" s="1"/>
  <c r="M28" i="20" s="1"/>
  <c r="I33" i="20"/>
  <c r="I32" i="20"/>
  <c r="K37" i="22"/>
  <c r="L36" i="22"/>
  <c r="G14" i="20"/>
  <c r="G36" i="20" s="1"/>
  <c r="G13" i="20"/>
  <c r="G35" i="20" s="1"/>
  <c r="G15" i="20"/>
  <c r="G37" i="20" s="1"/>
  <c r="L10" i="26"/>
  <c r="M10" i="26" s="1"/>
  <c r="M16" i="28"/>
  <c r="K38" i="26"/>
  <c r="K39" i="26" s="1"/>
  <c r="H23" i="22"/>
  <c r="H24" i="22"/>
  <c r="H22" i="22"/>
  <c r="G52" i="14"/>
  <c r="J20" i="28"/>
  <c r="I22" i="18"/>
  <c r="J12" i="22"/>
  <c r="K4" i="22"/>
  <c r="K124" i="22" s="1"/>
  <c r="J21" i="22"/>
  <c r="J30" i="22"/>
  <c r="J39" i="22"/>
  <c r="J40" i="22" s="1"/>
  <c r="J48" i="22"/>
  <c r="J66" i="22"/>
  <c r="J67" i="22" s="1"/>
  <c r="J75" i="22"/>
  <c r="J76" i="22" s="1"/>
  <c r="J84" i="22"/>
  <c r="J85" i="22" s="1"/>
  <c r="J102" i="22"/>
  <c r="J103" i="22" s="1"/>
  <c r="J111" i="22"/>
  <c r="J112" i="22" s="1"/>
  <c r="J57" i="22"/>
  <c r="J121" i="22"/>
  <c r="J123" i="22"/>
  <c r="J122" i="22"/>
  <c r="J68" i="22"/>
  <c r="J69" i="22"/>
  <c r="J42" i="22"/>
  <c r="J41" i="22"/>
  <c r="J114" i="22"/>
  <c r="J104" i="22"/>
  <c r="J105" i="22"/>
  <c r="J113" i="22"/>
  <c r="J87" i="22"/>
  <c r="J78" i="22"/>
  <c r="J86" i="22"/>
  <c r="J77" i="22"/>
  <c r="J12" i="23"/>
  <c r="J20" i="23" s="1"/>
  <c r="K4" i="23"/>
  <c r="J24" i="23"/>
  <c r="I5" i="28"/>
  <c r="H48" i="14"/>
  <c r="K14" i="28"/>
  <c r="M9" i="18"/>
  <c r="I10" i="28"/>
  <c r="H31" i="23"/>
  <c r="H35" i="23" s="1"/>
  <c r="J18" i="22"/>
  <c r="I19" i="22"/>
  <c r="J40" i="18"/>
  <c r="J39" i="18"/>
  <c r="J21" i="18"/>
  <c r="J25" i="18" s="1"/>
  <c r="K4" i="18"/>
  <c r="J11" i="18"/>
  <c r="J30" i="18" s="1"/>
  <c r="J20" i="18"/>
  <c r="J23" i="18" s="1"/>
  <c r="J58" i="18"/>
  <c r="J61" i="18" s="1"/>
  <c r="J66" i="18" s="1"/>
  <c r="J71" i="18"/>
  <c r="J73" i="18" s="1"/>
  <c r="J59" i="18"/>
  <c r="J63" i="18" s="1"/>
  <c r="I18" i="28"/>
  <c r="H128" i="22"/>
  <c r="H133" i="22" s="1"/>
  <c r="K7" i="28"/>
  <c r="J47" i="26"/>
  <c r="J19" i="28"/>
  <c r="J27" i="22"/>
  <c r="I28" i="22"/>
  <c r="K4" i="15"/>
  <c r="M41" i="26"/>
  <c r="M14" i="26"/>
  <c r="G49" i="18"/>
  <c r="G60" i="18" s="1"/>
  <c r="G65" i="18" s="1"/>
  <c r="K42" i="14"/>
  <c r="K44" i="14" s="1"/>
  <c r="L4" i="14"/>
  <c r="K14" i="14"/>
  <c r="K38" i="14" s="1"/>
  <c r="I58" i="22"/>
  <c r="I59" i="22"/>
  <c r="I60" i="22"/>
  <c r="L4" i="20"/>
  <c r="K40" i="20"/>
  <c r="K21" i="20"/>
  <c r="K22" i="20" s="1"/>
  <c r="K23" i="20"/>
  <c r="K24" i="20"/>
  <c r="H32" i="22"/>
  <c r="H33" i="22"/>
  <c r="H31" i="22"/>
  <c r="H46" i="14"/>
  <c r="H51" i="14" s="1"/>
  <c r="L24" i="26"/>
  <c r="J24" i="14"/>
  <c r="J34" i="14" s="1"/>
  <c r="K54" i="22"/>
  <c r="J55" i="22"/>
  <c r="I21" i="23"/>
  <c r="I22" i="23" s="1"/>
  <c r="G22" i="28"/>
  <c r="I39" i="14"/>
  <c r="I40" i="14" s="1"/>
  <c r="J20" i="37"/>
  <c r="I33" i="37"/>
  <c r="F67" i="28"/>
  <c r="E67" i="28" s="1"/>
  <c r="D24" i="28"/>
  <c r="D29" i="28" s="1"/>
  <c r="D30" i="28" s="1"/>
  <c r="J10" i="32"/>
  <c r="I24" i="32"/>
  <c r="J9" i="32"/>
  <c r="I23" i="32"/>
  <c r="E67" i="45" l="1"/>
  <c r="F82" i="45"/>
  <c r="H34" i="19"/>
  <c r="H37" i="19" s="1"/>
  <c r="F77" i="18"/>
  <c r="F81" i="18" s="1"/>
  <c r="G11" i="28"/>
  <c r="J68" i="18"/>
  <c r="M34" i="26"/>
  <c r="M37" i="26"/>
  <c r="M43" i="26"/>
  <c r="D42" i="26" s="1"/>
  <c r="J47" i="20"/>
  <c r="K42" i="20"/>
  <c r="K47" i="20" s="1"/>
  <c r="I32" i="19"/>
  <c r="J15" i="28" s="1"/>
  <c r="E119" i="22"/>
  <c r="F9" i="28" s="1"/>
  <c r="E9" i="28"/>
  <c r="E12" i="28" s="1"/>
  <c r="D130" i="22"/>
  <c r="D134" i="22" s="1"/>
  <c r="G10" i="22"/>
  <c r="H9" i="22"/>
  <c r="F14" i="22"/>
  <c r="F117" i="22" s="1"/>
  <c r="F15" i="22"/>
  <c r="F118" i="22" s="1"/>
  <c r="F13" i="22"/>
  <c r="F116" i="22" s="1"/>
  <c r="K93" i="22"/>
  <c r="K94" i="22" s="1"/>
  <c r="K96" i="22"/>
  <c r="K95" i="22"/>
  <c r="J20" i="15"/>
  <c r="K14" i="15"/>
  <c r="K12" i="15"/>
  <c r="J52" i="20" s="1"/>
  <c r="K11" i="15"/>
  <c r="J45" i="26" s="1"/>
  <c r="J50" i="26" s="1"/>
  <c r="J51" i="26" s="1"/>
  <c r="K15" i="15"/>
  <c r="J29" i="23" s="1"/>
  <c r="J34" i="23" s="1"/>
  <c r="J75" i="18"/>
  <c r="J80" i="18" s="1"/>
  <c r="J70" i="32"/>
  <c r="K9" i="15"/>
  <c r="K13" i="15"/>
  <c r="K10" i="15"/>
  <c r="H62" i="32"/>
  <c r="H65" i="32" s="1"/>
  <c r="I22" i="32"/>
  <c r="G6" i="28"/>
  <c r="G28" i="19"/>
  <c r="G36" i="19" s="1"/>
  <c r="G38" i="19" s="1"/>
  <c r="F8" i="28"/>
  <c r="F38" i="20"/>
  <c r="G8" i="28" s="1"/>
  <c r="I51" i="26"/>
  <c r="I34" i="19"/>
  <c r="I37" i="19" s="1"/>
  <c r="G73" i="32"/>
  <c r="G77" i="32" s="1"/>
  <c r="H24" i="28"/>
  <c r="J51" i="22"/>
  <c r="J49" i="22"/>
  <c r="I63" i="32"/>
  <c r="M10" i="14"/>
  <c r="H14" i="20"/>
  <c r="H36" i="20" s="1"/>
  <c r="H13" i="20"/>
  <c r="H35" i="20" s="1"/>
  <c r="H15" i="20"/>
  <c r="H37" i="20" s="1"/>
  <c r="L45" i="22"/>
  <c r="K46" i="22"/>
  <c r="K51" i="22" s="1"/>
  <c r="L37" i="22"/>
  <c r="M36" i="22"/>
  <c r="M37" i="22" s="1"/>
  <c r="I71" i="32"/>
  <c r="I76" i="32" s="1"/>
  <c r="H26" i="19"/>
  <c r="H27" i="19"/>
  <c r="J33" i="20"/>
  <c r="J32" i="20"/>
  <c r="J31" i="20"/>
  <c r="J67" i="32"/>
  <c r="J69" i="32" s="1"/>
  <c r="J11" i="32"/>
  <c r="J29" i="32" s="1"/>
  <c r="J56" i="32"/>
  <c r="J59" i="32" s="1"/>
  <c r="J21" i="32"/>
  <c r="J20" i="32"/>
  <c r="J23" i="32" s="1"/>
  <c r="J39" i="32"/>
  <c r="J42" i="32" s="1"/>
  <c r="J57" i="32"/>
  <c r="J60" i="32" s="1"/>
  <c r="K4" i="32"/>
  <c r="J38" i="32"/>
  <c r="J41" i="32" s="1"/>
  <c r="I64" i="32"/>
  <c r="G69" i="18"/>
  <c r="G38" i="20"/>
  <c r="I47" i="32"/>
  <c r="I58" i="32" s="1"/>
  <c r="I40" i="32"/>
  <c r="J14" i="19"/>
  <c r="K4" i="19"/>
  <c r="J30" i="19"/>
  <c r="I25" i="19"/>
  <c r="J10" i="28"/>
  <c r="I31" i="23"/>
  <c r="I35" i="23" s="1"/>
  <c r="E8" i="37"/>
  <c r="G24" i="28"/>
  <c r="G29" i="28" s="1"/>
  <c r="H49" i="18"/>
  <c r="H60" i="18" s="1"/>
  <c r="H65" i="18" s="1"/>
  <c r="K55" i="22"/>
  <c r="L54" i="22"/>
  <c r="K24" i="14"/>
  <c r="K34" i="14" s="1"/>
  <c r="I24" i="22"/>
  <c r="I22" i="22"/>
  <c r="I23" i="22"/>
  <c r="K19" i="28"/>
  <c r="C42" i="26"/>
  <c r="E42" i="26"/>
  <c r="J5" i="28"/>
  <c r="I48" i="14"/>
  <c r="L38" i="26"/>
  <c r="L39" i="26" s="1"/>
  <c r="M4" i="20"/>
  <c r="L40" i="20"/>
  <c r="L21" i="20"/>
  <c r="L22" i="20" s="1"/>
  <c r="L24" i="20"/>
  <c r="L23" i="20"/>
  <c r="M4" i="14"/>
  <c r="L14" i="14"/>
  <c r="L38" i="14" s="1"/>
  <c r="L42" i="14"/>
  <c r="L44" i="14" s="1"/>
  <c r="M24" i="26"/>
  <c r="I46" i="14"/>
  <c r="I51" i="14" s="1"/>
  <c r="J22" i="18"/>
  <c r="K18" i="22"/>
  <c r="J19" i="22"/>
  <c r="L4" i="23"/>
  <c r="K24" i="23"/>
  <c r="K12" i="23"/>
  <c r="K20" i="23" s="1"/>
  <c r="K42" i="26"/>
  <c r="J18" i="28"/>
  <c r="I128" i="22"/>
  <c r="I133" i="22" s="1"/>
  <c r="L7" i="28"/>
  <c r="K47" i="26"/>
  <c r="J42" i="26"/>
  <c r="L14" i="28"/>
  <c r="M42" i="26"/>
  <c r="I33" i="22"/>
  <c r="I31" i="22"/>
  <c r="I32" i="22"/>
  <c r="K20" i="28"/>
  <c r="K21" i="18"/>
  <c r="K25" i="18" s="1"/>
  <c r="L4" i="18"/>
  <c r="K11" i="18"/>
  <c r="K30" i="18" s="1"/>
  <c r="K20" i="18"/>
  <c r="K23" i="18" s="1"/>
  <c r="K39" i="18"/>
  <c r="K40" i="18"/>
  <c r="K58" i="18"/>
  <c r="K61" i="18" s="1"/>
  <c r="K66" i="18" s="1"/>
  <c r="K71" i="18"/>
  <c r="K73" i="18" s="1"/>
  <c r="K59" i="18"/>
  <c r="K63" i="18" s="1"/>
  <c r="H52" i="14"/>
  <c r="J21" i="23"/>
  <c r="J22" i="23" s="1"/>
  <c r="K12" i="22"/>
  <c r="L4" i="22"/>
  <c r="L124" i="22" s="1"/>
  <c r="K48" i="22"/>
  <c r="K57" i="22"/>
  <c r="K39" i="22"/>
  <c r="K40" i="22" s="1"/>
  <c r="K121" i="22"/>
  <c r="K126" i="22" s="1"/>
  <c r="K123" i="22"/>
  <c r="K66" i="22"/>
  <c r="K67" i="22" s="1"/>
  <c r="K75" i="22"/>
  <c r="K76" i="22" s="1"/>
  <c r="K84" i="22"/>
  <c r="K85" i="22" s="1"/>
  <c r="K102" i="22"/>
  <c r="K103" i="22" s="1"/>
  <c r="K21" i="22"/>
  <c r="K114" i="22"/>
  <c r="K122" i="22"/>
  <c r="K30" i="22"/>
  <c r="K113" i="22"/>
  <c r="K111" i="22"/>
  <c r="K112" i="22" s="1"/>
  <c r="K69" i="22"/>
  <c r="K68" i="22"/>
  <c r="K104" i="22"/>
  <c r="K42" i="22"/>
  <c r="K41" i="22"/>
  <c r="K105" i="22"/>
  <c r="K78" i="22"/>
  <c r="K77" i="22"/>
  <c r="K87" i="22"/>
  <c r="K86" i="22"/>
  <c r="G42" i="26"/>
  <c r="F42" i="26"/>
  <c r="J60" i="22"/>
  <c r="J58" i="22"/>
  <c r="J59" i="22"/>
  <c r="J39" i="14"/>
  <c r="J40" i="14" s="1"/>
  <c r="L17" i="28"/>
  <c r="L4" i="15"/>
  <c r="K27" i="22"/>
  <c r="J28" i="22"/>
  <c r="I42" i="26"/>
  <c r="H42" i="26"/>
  <c r="L42" i="26"/>
  <c r="K20" i="37"/>
  <c r="K33" i="37" s="1"/>
  <c r="J33" i="37"/>
  <c r="K9" i="32"/>
  <c r="K10" i="32"/>
  <c r="J24" i="32"/>
  <c r="H29" i="28" l="1"/>
  <c r="G77" i="18"/>
  <c r="G81" i="18" s="1"/>
  <c r="H11" i="28"/>
  <c r="K68" i="18"/>
  <c r="F12" i="28"/>
  <c r="D24" i="37" s="1"/>
  <c r="N16" i="28"/>
  <c r="F62" i="28" s="1"/>
  <c r="E62" i="28" s="1"/>
  <c r="L42" i="20"/>
  <c r="J32" i="19"/>
  <c r="K15" i="28" s="1"/>
  <c r="E130" i="22"/>
  <c r="E134" i="22" s="1"/>
  <c r="C24" i="37"/>
  <c r="E26" i="28"/>
  <c r="E30" i="28" s="1"/>
  <c r="F119" i="22"/>
  <c r="H10" i="22"/>
  <c r="I9" i="22"/>
  <c r="G13" i="22"/>
  <c r="G116" i="22" s="1"/>
  <c r="G15" i="22"/>
  <c r="G118" i="22" s="1"/>
  <c r="G14" i="22"/>
  <c r="G117" i="22" s="1"/>
  <c r="L93" i="22"/>
  <c r="L94" i="22" s="1"/>
  <c r="L95" i="22"/>
  <c r="L96" i="22"/>
  <c r="K20" i="15"/>
  <c r="L11" i="15"/>
  <c r="L12" i="15"/>
  <c r="L9" i="15"/>
  <c r="K75" i="18"/>
  <c r="K80" i="18" s="1"/>
  <c r="K70" i="32"/>
  <c r="L14" i="15"/>
  <c r="L13" i="15"/>
  <c r="L10" i="15"/>
  <c r="L15" i="15"/>
  <c r="H6" i="28"/>
  <c r="F49" i="20"/>
  <c r="F53" i="20" s="1"/>
  <c r="H73" i="32"/>
  <c r="H77" i="32" s="1"/>
  <c r="J64" i="32"/>
  <c r="I62" i="32"/>
  <c r="I65" i="32" s="1"/>
  <c r="H28" i="19"/>
  <c r="H36" i="19" s="1"/>
  <c r="H38" i="19" s="1"/>
  <c r="K50" i="22"/>
  <c r="J63" i="32"/>
  <c r="H38" i="20"/>
  <c r="H49" i="20" s="1"/>
  <c r="H53" i="20" s="1"/>
  <c r="J34" i="19"/>
  <c r="J37" i="19" s="1"/>
  <c r="J22" i="32"/>
  <c r="H69" i="18"/>
  <c r="I11" i="28" s="1"/>
  <c r="J71" i="32"/>
  <c r="J76" i="32" s="1"/>
  <c r="L46" i="22"/>
  <c r="L51" i="22" s="1"/>
  <c r="M45" i="22"/>
  <c r="M46" i="22" s="1"/>
  <c r="K49" i="22"/>
  <c r="I15" i="20"/>
  <c r="I37" i="20" s="1"/>
  <c r="I14" i="20"/>
  <c r="I36" i="20" s="1"/>
  <c r="I13" i="20"/>
  <c r="I35" i="20" s="1"/>
  <c r="K38" i="32"/>
  <c r="K41" i="32" s="1"/>
  <c r="L4" i="32"/>
  <c r="K20" i="32"/>
  <c r="K57" i="32"/>
  <c r="K60" i="32" s="1"/>
  <c r="K56" i="32"/>
  <c r="K59" i="32" s="1"/>
  <c r="K67" i="32"/>
  <c r="K69" i="32" s="1"/>
  <c r="K21" i="32"/>
  <c r="K39" i="32"/>
  <c r="K42" i="32" s="1"/>
  <c r="K11" i="32"/>
  <c r="K29" i="32" s="1"/>
  <c r="I27" i="19"/>
  <c r="I26" i="19"/>
  <c r="H8" i="28"/>
  <c r="G49" i="20"/>
  <c r="G53" i="20" s="1"/>
  <c r="K32" i="20"/>
  <c r="K33" i="20"/>
  <c r="K31" i="20"/>
  <c r="L4" i="19"/>
  <c r="K30" i="19"/>
  <c r="K14" i="19"/>
  <c r="J47" i="32"/>
  <c r="J58" i="32" s="1"/>
  <c r="J40" i="32"/>
  <c r="J25" i="19"/>
  <c r="K5" i="28"/>
  <c r="J48" i="14"/>
  <c r="M7" i="28"/>
  <c r="L47" i="26"/>
  <c r="I22" i="28"/>
  <c r="I49" i="18"/>
  <c r="I60" i="18" s="1"/>
  <c r="I65" i="18"/>
  <c r="L39" i="18"/>
  <c r="L40" i="18"/>
  <c r="M4" i="18"/>
  <c r="L11" i="18"/>
  <c r="L30" i="18" s="1"/>
  <c r="L20" i="18"/>
  <c r="L23" i="18" s="1"/>
  <c r="L21" i="18"/>
  <c r="L25" i="18" s="1"/>
  <c r="L59" i="18"/>
  <c r="L63" i="18" s="1"/>
  <c r="L58" i="18"/>
  <c r="L61" i="18" s="1"/>
  <c r="L66" i="18" s="1"/>
  <c r="L71" i="18"/>
  <c r="L73" i="18" s="1"/>
  <c r="L12" i="23"/>
  <c r="L20" i="23" s="1"/>
  <c r="L24" i="23"/>
  <c r="M4" i="23"/>
  <c r="J23" i="22"/>
  <c r="J22" i="22"/>
  <c r="J24" i="22"/>
  <c r="M38" i="26"/>
  <c r="M39" i="26" s="1"/>
  <c r="M42" i="14"/>
  <c r="M14" i="14"/>
  <c r="M38" i="14" s="1"/>
  <c r="I52" i="14"/>
  <c r="K58" i="22"/>
  <c r="K60" i="22"/>
  <c r="K59" i="22"/>
  <c r="E10" i="37"/>
  <c r="J32" i="22"/>
  <c r="J31" i="22"/>
  <c r="J33" i="22"/>
  <c r="J46" i="14"/>
  <c r="J51" i="14" s="1"/>
  <c r="L12" i="22"/>
  <c r="L39" i="22"/>
  <c r="L40" i="22" s="1"/>
  <c r="L21" i="22"/>
  <c r="L30" i="22"/>
  <c r="M4" i="22"/>
  <c r="M124" i="22" s="1"/>
  <c r="L57" i="22"/>
  <c r="L66" i="22"/>
  <c r="L67" i="22" s="1"/>
  <c r="L75" i="22"/>
  <c r="L76" i="22" s="1"/>
  <c r="L84" i="22"/>
  <c r="L85" i="22" s="1"/>
  <c r="L102" i="22"/>
  <c r="L103" i="22" s="1"/>
  <c r="L111" i="22"/>
  <c r="L112" i="22" s="1"/>
  <c r="L48" i="22"/>
  <c r="L122" i="22"/>
  <c r="L121" i="22"/>
  <c r="L126" i="22" s="1"/>
  <c r="L123" i="22"/>
  <c r="L68" i="22"/>
  <c r="L41" i="22"/>
  <c r="L69" i="22"/>
  <c r="L42" i="22"/>
  <c r="L104" i="22"/>
  <c r="L105" i="22"/>
  <c r="L113" i="22"/>
  <c r="L114" i="22"/>
  <c r="L86" i="22"/>
  <c r="L78" i="22"/>
  <c r="L87" i="22"/>
  <c r="L77" i="22"/>
  <c r="L20" i="28"/>
  <c r="K19" i="22"/>
  <c r="L18" i="22"/>
  <c r="M21" i="20"/>
  <c r="M22" i="20" s="1"/>
  <c r="M40" i="20"/>
  <c r="M42" i="20" s="1"/>
  <c r="M23" i="20"/>
  <c r="M24" i="20"/>
  <c r="K39" i="14"/>
  <c r="K40" i="14" s="1"/>
  <c r="K28" i="22"/>
  <c r="L27" i="22"/>
  <c r="K21" i="23"/>
  <c r="K22" i="23" s="1"/>
  <c r="M14" i="28"/>
  <c r="M4" i="15"/>
  <c r="K52" i="20"/>
  <c r="K10" i="28"/>
  <c r="J31" i="23"/>
  <c r="J35" i="23" s="1"/>
  <c r="K22" i="18"/>
  <c r="K29" i="23"/>
  <c r="K34" i="23" s="1"/>
  <c r="L19" i="28"/>
  <c r="J22" i="28"/>
  <c r="J24" i="28" s="1"/>
  <c r="J29" i="28" s="1"/>
  <c r="L24" i="14"/>
  <c r="L34" i="14" s="1"/>
  <c r="K45" i="26"/>
  <c r="K50" i="26" s="1"/>
  <c r="K51" i="26" s="1"/>
  <c r="K18" i="28"/>
  <c r="J128" i="22"/>
  <c r="J133" i="22" s="1"/>
  <c r="M54" i="22"/>
  <c r="M55" i="22" s="1"/>
  <c r="L55" i="22"/>
  <c r="L10" i="32"/>
  <c r="K24" i="32"/>
  <c r="L9" i="32"/>
  <c r="K23" i="32"/>
  <c r="L68" i="18" l="1"/>
  <c r="F26" i="28"/>
  <c r="F30" i="28" s="1"/>
  <c r="E44" i="20"/>
  <c r="D44" i="20"/>
  <c r="K44" i="20"/>
  <c r="G44" i="20"/>
  <c r="F44" i="20"/>
  <c r="I44" i="20"/>
  <c r="K32" i="19"/>
  <c r="L15" i="28" s="1"/>
  <c r="C44" i="20"/>
  <c r="L44" i="20"/>
  <c r="M44" i="20"/>
  <c r="J44" i="20"/>
  <c r="M17" i="28"/>
  <c r="M44" i="14"/>
  <c r="L43" i="14" s="1"/>
  <c r="H44" i="20"/>
  <c r="L47" i="20"/>
  <c r="G119" i="22"/>
  <c r="J9" i="22"/>
  <c r="I10" i="22"/>
  <c r="H15" i="22"/>
  <c r="H118" i="22" s="1"/>
  <c r="H14" i="22"/>
  <c r="H117" i="22" s="1"/>
  <c r="H13" i="22"/>
  <c r="H116" i="22" s="1"/>
  <c r="F130" i="22"/>
  <c r="F134" i="22" s="1"/>
  <c r="G9" i="28"/>
  <c r="G12" i="28" s="1"/>
  <c r="E24" i="37" s="1"/>
  <c r="M93" i="22"/>
  <c r="M94" i="22" s="1"/>
  <c r="M95" i="22"/>
  <c r="M96" i="22"/>
  <c r="L41" i="20"/>
  <c r="M47" i="20"/>
  <c r="L20" i="15"/>
  <c r="L75" i="18"/>
  <c r="L80" i="18" s="1"/>
  <c r="M13" i="15"/>
  <c r="L70" i="32"/>
  <c r="M14" i="15"/>
  <c r="M11" i="15"/>
  <c r="L45" i="26" s="1"/>
  <c r="L50" i="26" s="1"/>
  <c r="L51" i="26" s="1"/>
  <c r="M10" i="15"/>
  <c r="M15" i="15"/>
  <c r="M9" i="15"/>
  <c r="M12" i="15"/>
  <c r="L50" i="22"/>
  <c r="I73" i="32"/>
  <c r="I77" i="32" s="1"/>
  <c r="L49" i="22"/>
  <c r="G41" i="20"/>
  <c r="I6" i="28"/>
  <c r="I38" i="20"/>
  <c r="I49" i="20" s="1"/>
  <c r="I53" i="20" s="1"/>
  <c r="J62" i="32"/>
  <c r="J65" i="32" s="1"/>
  <c r="K71" i="32"/>
  <c r="K76" i="32" s="1"/>
  <c r="K22" i="28"/>
  <c r="I8" i="37" s="1"/>
  <c r="I10" i="37" s="1"/>
  <c r="I8" i="28"/>
  <c r="I69" i="18"/>
  <c r="I41" i="20"/>
  <c r="H77" i="18"/>
  <c r="H81" i="18" s="1"/>
  <c r="I28" i="19"/>
  <c r="J6" i="28" s="1"/>
  <c r="K63" i="32"/>
  <c r="J41" i="20"/>
  <c r="K64" i="32"/>
  <c r="J13" i="20"/>
  <c r="J35" i="20" s="1"/>
  <c r="J14" i="20"/>
  <c r="J36" i="20" s="1"/>
  <c r="J15" i="20"/>
  <c r="J37" i="20" s="1"/>
  <c r="K47" i="32"/>
  <c r="K58" i="32" s="1"/>
  <c r="K40" i="32"/>
  <c r="J26" i="19"/>
  <c r="J27" i="19"/>
  <c r="L32" i="20"/>
  <c r="L33" i="20"/>
  <c r="K22" i="32"/>
  <c r="E43" i="14"/>
  <c r="K25" i="19"/>
  <c r="L31" i="20"/>
  <c r="L14" i="19"/>
  <c r="M4" i="19"/>
  <c r="L30" i="19"/>
  <c r="L21" i="32"/>
  <c r="L57" i="32"/>
  <c r="L60" i="32" s="1"/>
  <c r="L38" i="32"/>
  <c r="L41" i="32" s="1"/>
  <c r="M4" i="32"/>
  <c r="L56" i="32"/>
  <c r="L59" i="32" s="1"/>
  <c r="L20" i="32"/>
  <c r="L23" i="32" s="1"/>
  <c r="L39" i="32"/>
  <c r="L42" i="32" s="1"/>
  <c r="L11" i="32"/>
  <c r="L29" i="32" s="1"/>
  <c r="L67" i="32"/>
  <c r="L69" i="32" s="1"/>
  <c r="N7" i="28"/>
  <c r="M47" i="26"/>
  <c r="J49" i="18"/>
  <c r="J60" i="18" s="1"/>
  <c r="J65" i="18" s="1"/>
  <c r="K31" i="22"/>
  <c r="K33" i="22"/>
  <c r="K32" i="22"/>
  <c r="M43" i="14"/>
  <c r="F43" i="14"/>
  <c r="D43" i="14"/>
  <c r="L21" i="23"/>
  <c r="L22" i="23" s="1"/>
  <c r="L59" i="22"/>
  <c r="L58" i="22"/>
  <c r="L60" i="22"/>
  <c r="L10" i="28"/>
  <c r="K31" i="23"/>
  <c r="K35" i="23" s="1"/>
  <c r="M18" i="22"/>
  <c r="M19" i="22" s="1"/>
  <c r="L19" i="22"/>
  <c r="M66" i="22"/>
  <c r="M67" i="22" s="1"/>
  <c r="M48" i="22"/>
  <c r="M49" i="22" s="1"/>
  <c r="M21" i="22"/>
  <c r="M30" i="22"/>
  <c r="M122" i="22"/>
  <c r="M39" i="22"/>
  <c r="M40" i="22" s="1"/>
  <c r="M121" i="22"/>
  <c r="M123" i="22"/>
  <c r="M12" i="22"/>
  <c r="M57" i="22"/>
  <c r="M58" i="22" s="1"/>
  <c r="M75" i="22"/>
  <c r="M76" i="22" s="1"/>
  <c r="M84" i="22"/>
  <c r="M85" i="22" s="1"/>
  <c r="M102" i="22"/>
  <c r="M103" i="22" s="1"/>
  <c r="M111" i="22"/>
  <c r="M112" i="22" s="1"/>
  <c r="M50" i="22"/>
  <c r="M41" i="22"/>
  <c r="M42" i="22"/>
  <c r="M69" i="22"/>
  <c r="M51" i="22"/>
  <c r="M68" i="22"/>
  <c r="M105" i="22"/>
  <c r="M114" i="22"/>
  <c r="M104" i="22"/>
  <c r="M113" i="22"/>
  <c r="M77" i="22"/>
  <c r="M87" i="22"/>
  <c r="M78" i="22"/>
  <c r="M86" i="22"/>
  <c r="M20" i="28"/>
  <c r="J52" i="14"/>
  <c r="M60" i="22"/>
  <c r="M59" i="22"/>
  <c r="K46" i="14"/>
  <c r="K51" i="14" s="1"/>
  <c r="N4" i="15"/>
  <c r="L5" i="28"/>
  <c r="K48" i="14"/>
  <c r="N17" i="28"/>
  <c r="M41" i="20"/>
  <c r="F41" i="20"/>
  <c r="C41" i="20"/>
  <c r="K41" i="20"/>
  <c r="E41" i="20"/>
  <c r="D41" i="20"/>
  <c r="H41" i="20"/>
  <c r="K22" i="22"/>
  <c r="K24" i="22"/>
  <c r="K23" i="22"/>
  <c r="L18" i="28"/>
  <c r="K128" i="22"/>
  <c r="K133" i="22" s="1"/>
  <c r="M24" i="23"/>
  <c r="M12" i="23"/>
  <c r="M20" i="23" s="1"/>
  <c r="H8" i="37"/>
  <c r="H10" i="37" s="1"/>
  <c r="L22" i="18"/>
  <c r="L39" i="14"/>
  <c r="L40" i="14" s="1"/>
  <c r="L29" i="23"/>
  <c r="L34" i="23" s="1"/>
  <c r="L28" i="22"/>
  <c r="M27" i="22"/>
  <c r="M28" i="22" s="1"/>
  <c r="M24" i="14"/>
  <c r="M34" i="14" s="1"/>
  <c r="M19" i="28"/>
  <c r="M11" i="18"/>
  <c r="M30" i="18" s="1"/>
  <c r="M20" i="18"/>
  <c r="M23" i="18" s="1"/>
  <c r="M21" i="18"/>
  <c r="M25" i="18" s="1"/>
  <c r="M68" i="18" s="1"/>
  <c r="M40" i="18"/>
  <c r="M59" i="18"/>
  <c r="M63" i="18" s="1"/>
  <c r="M58" i="18"/>
  <c r="M61" i="18" s="1"/>
  <c r="M66" i="18" s="1"/>
  <c r="M71" i="18"/>
  <c r="M73" i="18" s="1"/>
  <c r="M39" i="18"/>
  <c r="G8" i="37"/>
  <c r="I24" i="28"/>
  <c r="C43" i="14"/>
  <c r="M9" i="32"/>
  <c r="L22" i="32"/>
  <c r="M10" i="32"/>
  <c r="L24" i="32"/>
  <c r="I29" i="28" l="1"/>
  <c r="N14" i="28"/>
  <c r="F60" i="28" s="1"/>
  <c r="E60" i="28" s="1"/>
  <c r="I77" i="18"/>
  <c r="I81" i="18" s="1"/>
  <c r="J11" i="28"/>
  <c r="H43" i="14"/>
  <c r="I43" i="14"/>
  <c r="G43" i="14"/>
  <c r="J43" i="14"/>
  <c r="K34" i="19"/>
  <c r="K37" i="19" s="1"/>
  <c r="K43" i="14"/>
  <c r="L52" i="20"/>
  <c r="F63" i="28"/>
  <c r="E63" i="28" s="1"/>
  <c r="L32" i="19"/>
  <c r="M15" i="28" s="1"/>
  <c r="H119" i="22"/>
  <c r="I15" i="22"/>
  <c r="I118" i="22" s="1"/>
  <c r="I14" i="22"/>
  <c r="I117" i="22" s="1"/>
  <c r="I13" i="22"/>
  <c r="I116" i="22" s="1"/>
  <c r="G26" i="28"/>
  <c r="G30" i="28" s="1"/>
  <c r="K9" i="22"/>
  <c r="J10" i="22"/>
  <c r="H9" i="28"/>
  <c r="H12" i="28" s="1"/>
  <c r="F24" i="37" s="1"/>
  <c r="G130" i="22"/>
  <c r="G134" i="22" s="1"/>
  <c r="M20" i="15"/>
  <c r="N13" i="15"/>
  <c r="F74" i="28" s="1"/>
  <c r="M75" i="18"/>
  <c r="M80" i="18" s="1"/>
  <c r="N10" i="15"/>
  <c r="F71" i="28" s="1"/>
  <c r="E71" i="28" s="1"/>
  <c r="N11" i="15"/>
  <c r="N15" i="15"/>
  <c r="N12" i="15"/>
  <c r="F73" i="28" s="1"/>
  <c r="E73" i="28" s="1"/>
  <c r="M70" i="32"/>
  <c r="N9" i="15"/>
  <c r="F70" i="28" s="1"/>
  <c r="N14" i="15"/>
  <c r="F75" i="28" s="1"/>
  <c r="I36" i="19"/>
  <c r="I38" i="19" s="1"/>
  <c r="K24" i="28"/>
  <c r="K62" i="32"/>
  <c r="K65" i="32" s="1"/>
  <c r="J73" i="32"/>
  <c r="J77" i="32" s="1"/>
  <c r="J8" i="28"/>
  <c r="J28" i="19"/>
  <c r="K6" i="28" s="1"/>
  <c r="L34" i="19"/>
  <c r="L37" i="19" s="1"/>
  <c r="J69" i="18"/>
  <c r="K11" i="28" s="1"/>
  <c r="L63" i="32"/>
  <c r="K27" i="19"/>
  <c r="K26" i="19"/>
  <c r="L71" i="32"/>
  <c r="L76" i="32" s="1"/>
  <c r="L47" i="32"/>
  <c r="L58" i="32" s="1"/>
  <c r="L40" i="32"/>
  <c r="L64" i="32"/>
  <c r="M30" i="19"/>
  <c r="M14" i="19"/>
  <c r="L25" i="19"/>
  <c r="M33" i="20"/>
  <c r="M32" i="20"/>
  <c r="J38" i="20"/>
  <c r="M38" i="32"/>
  <c r="M41" i="32" s="1"/>
  <c r="M39" i="32"/>
  <c r="M42" i="32" s="1"/>
  <c r="M21" i="32"/>
  <c r="M24" i="32" s="1"/>
  <c r="M56" i="32"/>
  <c r="M59" i="32" s="1"/>
  <c r="M20" i="32"/>
  <c r="M57" i="32"/>
  <c r="M60" i="32" s="1"/>
  <c r="M67" i="32"/>
  <c r="M69" i="32" s="1"/>
  <c r="M71" i="32" s="1"/>
  <c r="M76" i="32" s="1"/>
  <c r="M11" i="32"/>
  <c r="M29" i="32" s="1"/>
  <c r="K13" i="20"/>
  <c r="K35" i="20" s="1"/>
  <c r="K15" i="20"/>
  <c r="K37" i="20" s="1"/>
  <c r="K14" i="20"/>
  <c r="K36" i="20" s="1"/>
  <c r="K52" i="14"/>
  <c r="M31" i="20"/>
  <c r="M21" i="23"/>
  <c r="M22" i="23" s="1"/>
  <c r="L46" i="14"/>
  <c r="L51" i="14" s="1"/>
  <c r="M18" i="28"/>
  <c r="L128" i="22"/>
  <c r="L133" i="22" s="1"/>
  <c r="K49" i="18"/>
  <c r="K60" i="18" s="1"/>
  <c r="K65" i="18" s="1"/>
  <c r="L32" i="22"/>
  <c r="L33" i="22"/>
  <c r="L31" i="22"/>
  <c r="M5" i="28"/>
  <c r="L48" i="14"/>
  <c r="N19" i="28"/>
  <c r="F65" i="28" s="1"/>
  <c r="G10" i="37"/>
  <c r="N20" i="28"/>
  <c r="F66" i="28" s="1"/>
  <c r="E66" i="28" s="1"/>
  <c r="M72" i="18"/>
  <c r="F72" i="18"/>
  <c r="E72" i="18"/>
  <c r="C72" i="18"/>
  <c r="I72" i="18"/>
  <c r="J72" i="18"/>
  <c r="K72" i="18"/>
  <c r="D72" i="18"/>
  <c r="G72" i="18"/>
  <c r="H72" i="18"/>
  <c r="M22" i="18"/>
  <c r="M52" i="20"/>
  <c r="L22" i="28"/>
  <c r="L24" i="28" s="1"/>
  <c r="L29" i="28" s="1"/>
  <c r="L72" i="18"/>
  <c r="L23" i="22"/>
  <c r="L24" i="22"/>
  <c r="L22" i="22"/>
  <c r="M10" i="28"/>
  <c r="L31" i="23"/>
  <c r="L35" i="23" s="1"/>
  <c r="M48" i="26"/>
  <c r="M49" i="26" s="1"/>
  <c r="M39" i="14"/>
  <c r="M40" i="14" s="1"/>
  <c r="M33" i="22"/>
  <c r="M31" i="22"/>
  <c r="M32" i="22"/>
  <c r="M24" i="22"/>
  <c r="M22" i="22"/>
  <c r="M23" i="22"/>
  <c r="M23" i="32"/>
  <c r="K29" i="28" l="1"/>
  <c r="M29" i="23"/>
  <c r="M34" i="23" s="1"/>
  <c r="F76" i="28"/>
  <c r="E76" i="28" s="1"/>
  <c r="M45" i="26"/>
  <c r="M50" i="26" s="1"/>
  <c r="F72" i="28"/>
  <c r="E72" i="28" s="1"/>
  <c r="C13" i="38"/>
  <c r="M66" i="28" s="1"/>
  <c r="E70" i="28"/>
  <c r="M32" i="19"/>
  <c r="G31" i="19" s="1"/>
  <c r="I119" i="22"/>
  <c r="J9" i="28" s="1"/>
  <c r="J12" i="28" s="1"/>
  <c r="H24" i="37" s="1"/>
  <c r="H130" i="22"/>
  <c r="H134" i="22" s="1"/>
  <c r="I9" i="28"/>
  <c r="I12" i="28" s="1"/>
  <c r="I26" i="28" s="1"/>
  <c r="I30" i="28" s="1"/>
  <c r="H26" i="28"/>
  <c r="H30" i="28" s="1"/>
  <c r="K10" i="22"/>
  <c r="L9" i="22"/>
  <c r="J15" i="22"/>
  <c r="J118" i="22" s="1"/>
  <c r="J14" i="22"/>
  <c r="J117" i="22" s="1"/>
  <c r="J13" i="22"/>
  <c r="J116" i="22" s="1"/>
  <c r="N20" i="15"/>
  <c r="M22" i="32"/>
  <c r="K73" i="32"/>
  <c r="K77" i="32" s="1"/>
  <c r="J36" i="19"/>
  <c r="J38" i="19" s="1"/>
  <c r="M51" i="26"/>
  <c r="C53" i="26" s="1"/>
  <c r="J77" i="18"/>
  <c r="J81" i="18" s="1"/>
  <c r="L52" i="14"/>
  <c r="L62" i="32"/>
  <c r="L65" i="32" s="1"/>
  <c r="M64" i="32"/>
  <c r="K69" i="18"/>
  <c r="L11" i="28" s="1"/>
  <c r="K68" i="32"/>
  <c r="K28" i="19"/>
  <c r="L6" i="28" s="1"/>
  <c r="F68" i="32"/>
  <c r="H68" i="32"/>
  <c r="C68" i="32"/>
  <c r="M25" i="19"/>
  <c r="J68" i="32"/>
  <c r="L68" i="32"/>
  <c r="I68" i="32"/>
  <c r="M47" i="32"/>
  <c r="M58" i="32" s="1"/>
  <c r="M40" i="32"/>
  <c r="D68" i="32"/>
  <c r="K38" i="20"/>
  <c r="L27" i="19"/>
  <c r="L26" i="19"/>
  <c r="J49" i="20"/>
  <c r="J53" i="20" s="1"/>
  <c r="K8" i="28"/>
  <c r="M68" i="32"/>
  <c r="G68" i="32"/>
  <c r="M63" i="32"/>
  <c r="L15" i="20"/>
  <c r="L37" i="20" s="1"/>
  <c r="L14" i="20"/>
  <c r="L36" i="20" s="1"/>
  <c r="L13" i="20"/>
  <c r="L35" i="20" s="1"/>
  <c r="E68" i="32"/>
  <c r="N15" i="28"/>
  <c r="F61" i="28" s="1"/>
  <c r="E61" i="28" s="1"/>
  <c r="D31" i="19"/>
  <c r="L49" i="18"/>
  <c r="L60" i="18" s="1"/>
  <c r="L65" i="18"/>
  <c r="M22" i="28"/>
  <c r="K8" i="37" s="1"/>
  <c r="K10" i="37" s="1"/>
  <c r="N10" i="28"/>
  <c r="M31" i="23"/>
  <c r="N18" i="28"/>
  <c r="M128" i="22"/>
  <c r="M133" i="22" s="1"/>
  <c r="N5" i="28"/>
  <c r="M48" i="14"/>
  <c r="M46" i="14"/>
  <c r="M51" i="14" s="1"/>
  <c r="J8" i="37"/>
  <c r="H31" i="19" l="1"/>
  <c r="L31" i="19"/>
  <c r="K31" i="19"/>
  <c r="I31" i="19"/>
  <c r="M34" i="19"/>
  <c r="M37" i="19" s="1"/>
  <c r="E31" i="19"/>
  <c r="F31" i="19"/>
  <c r="C31" i="19"/>
  <c r="M31" i="19"/>
  <c r="J31" i="19"/>
  <c r="F81" i="28"/>
  <c r="E81" i="28"/>
  <c r="C14" i="38"/>
  <c r="M70" i="28" s="1"/>
  <c r="G24" i="37"/>
  <c r="I130" i="22"/>
  <c r="I134" i="22" s="1"/>
  <c r="J119" i="22"/>
  <c r="K9" i="28" s="1"/>
  <c r="K12" i="28" s="1"/>
  <c r="I24" i="37" s="1"/>
  <c r="M9" i="22"/>
  <c r="M10" i="22" s="1"/>
  <c r="L10" i="22"/>
  <c r="K15" i="22"/>
  <c r="K118" i="22" s="1"/>
  <c r="K14" i="22"/>
  <c r="K117" i="22" s="1"/>
  <c r="K13" i="22"/>
  <c r="K116" i="22" s="1"/>
  <c r="J26" i="28"/>
  <c r="J30" i="28" s="1"/>
  <c r="K36" i="19"/>
  <c r="K38" i="19" s="1"/>
  <c r="C52" i="26"/>
  <c r="K77" i="18"/>
  <c r="K81" i="18" s="1"/>
  <c r="M62" i="32"/>
  <c r="M65" i="32" s="1"/>
  <c r="L73" i="32"/>
  <c r="L77" i="32" s="1"/>
  <c r="L28" i="19"/>
  <c r="L36" i="19" s="1"/>
  <c r="L38" i="19" s="1"/>
  <c r="M24" i="28"/>
  <c r="L38" i="20"/>
  <c r="M13" i="20"/>
  <c r="M35" i="20" s="1"/>
  <c r="M15" i="20"/>
  <c r="M37" i="20" s="1"/>
  <c r="M14" i="20"/>
  <c r="M36" i="20" s="1"/>
  <c r="M26" i="19"/>
  <c r="M27" i="19"/>
  <c r="K49" i="20"/>
  <c r="K53" i="20" s="1"/>
  <c r="L8" i="28"/>
  <c r="L69" i="18"/>
  <c r="J10" i="37"/>
  <c r="M32" i="23"/>
  <c r="M33" i="23" s="1"/>
  <c r="M35" i="23" s="1"/>
  <c r="F64" i="28"/>
  <c r="M49" i="14"/>
  <c r="M50" i="14" s="1"/>
  <c r="M49" i="18"/>
  <c r="M60" i="18" s="1"/>
  <c r="M65" i="18"/>
  <c r="M29" i="28" l="1"/>
  <c r="L77" i="18"/>
  <c r="L81" i="18" s="1"/>
  <c r="M11" i="28"/>
  <c r="J130" i="22"/>
  <c r="J134" i="22" s="1"/>
  <c r="K119" i="22"/>
  <c r="L9" i="28" s="1"/>
  <c r="L12" i="28" s="1"/>
  <c r="L15" i="22"/>
  <c r="L118" i="22" s="1"/>
  <c r="L14" i="22"/>
  <c r="L117" i="22" s="1"/>
  <c r="L13" i="22"/>
  <c r="L116" i="22" s="1"/>
  <c r="M14" i="22"/>
  <c r="M117" i="22" s="1"/>
  <c r="M15" i="22"/>
  <c r="M118" i="22" s="1"/>
  <c r="M13" i="22"/>
  <c r="M116" i="22" s="1"/>
  <c r="M6" i="28"/>
  <c r="M69" i="18"/>
  <c r="M73" i="32"/>
  <c r="M74" i="32" s="1"/>
  <c r="K26" i="28"/>
  <c r="K30" i="28" s="1"/>
  <c r="M28" i="19"/>
  <c r="M36" i="19" s="1"/>
  <c r="M38" i="19" s="1"/>
  <c r="M38" i="20"/>
  <c r="M8" i="28"/>
  <c r="L49" i="20"/>
  <c r="L53" i="20" s="1"/>
  <c r="M52" i="14"/>
  <c r="C54" i="14" s="1"/>
  <c r="C36" i="23"/>
  <c r="C37" i="23"/>
  <c r="N22" i="28"/>
  <c r="D21" i="15"/>
  <c r="E64" i="28"/>
  <c r="C6" i="38"/>
  <c r="F82" i="28"/>
  <c r="M77" i="18" l="1"/>
  <c r="N11" i="28"/>
  <c r="C7" i="38"/>
  <c r="C11" i="38" s="1"/>
  <c r="L119" i="22"/>
  <c r="M9" i="28" s="1"/>
  <c r="M12" i="28" s="1"/>
  <c r="K24" i="37" s="1"/>
  <c r="J24" i="37"/>
  <c r="L26" i="28"/>
  <c r="L30" i="28" s="1"/>
  <c r="K130" i="22"/>
  <c r="K134" i="22" s="1"/>
  <c r="M119" i="22"/>
  <c r="N6" i="28"/>
  <c r="C53" i="14"/>
  <c r="C40" i="19"/>
  <c r="C39" i="19"/>
  <c r="N8" i="28"/>
  <c r="M49" i="20"/>
  <c r="L8" i="37"/>
  <c r="N24" i="28"/>
  <c r="M78" i="18"/>
  <c r="N27" i="45" s="1"/>
  <c r="M75" i="32"/>
  <c r="M77" i="32" s="1"/>
  <c r="C78" i="32" s="1"/>
  <c r="M64" i="28" l="1"/>
  <c r="M64" i="45"/>
  <c r="C34" i="45" s="1"/>
  <c r="N28" i="45"/>
  <c r="J36" i="45"/>
  <c r="C27" i="45"/>
  <c r="N30" i="45"/>
  <c r="N29" i="28"/>
  <c r="M79" i="18"/>
  <c r="M81" i="18" s="1"/>
  <c r="C83" i="18" s="1"/>
  <c r="L130" i="22"/>
  <c r="L134" i="22" s="1"/>
  <c r="M130" i="22"/>
  <c r="N9" i="28"/>
  <c r="N12" i="28" s="1"/>
  <c r="M26" i="28"/>
  <c r="M30" i="28" s="1"/>
  <c r="M50" i="20"/>
  <c r="L10" i="37"/>
  <c r="M8" i="37"/>
  <c r="C79" i="32"/>
  <c r="C35" i="45" l="1"/>
  <c r="C33" i="45"/>
  <c r="C82" i="18"/>
  <c r="L24" i="37"/>
  <c r="M24" i="37" s="1"/>
  <c r="N26" i="28"/>
  <c r="M131" i="22"/>
  <c r="M51" i="20"/>
  <c r="M53" i="20" s="1"/>
  <c r="C55" i="20" s="1"/>
  <c r="M6" i="37"/>
  <c r="M132" i="22" l="1"/>
  <c r="M134" i="22" s="1"/>
  <c r="C135" i="22" s="1"/>
  <c r="N27" i="28"/>
  <c r="C54" i="20"/>
  <c r="N28" i="28" l="1"/>
  <c r="L32" i="37" s="1"/>
  <c r="M32" i="37" s="1"/>
  <c r="J36" i="28"/>
  <c r="L31" i="37"/>
  <c r="M31" i="37" s="1"/>
  <c r="C27" i="28"/>
  <c r="C136" i="22"/>
  <c r="N30" i="28" l="1"/>
  <c r="C33" i="28" s="1"/>
  <c r="C35" i="28" l="1"/>
  <c r="F96" i="28"/>
  <c r="B9" i="37" l="1"/>
  <c r="M9" i="37" s="1"/>
  <c r="M10" i="37" s="1"/>
  <c r="C8" i="38"/>
  <c r="B10" i="37" l="1"/>
  <c r="B13" i="37" s="1"/>
  <c r="B15" i="37" s="1"/>
  <c r="C16" i="38"/>
  <c r="M61" i="28" l="1"/>
  <c r="M61" i="45"/>
  <c r="C13" i="37"/>
  <c r="D13" i="37" s="1"/>
  <c r="B16" i="37"/>
  <c r="B19" i="37" s="1"/>
  <c r="D31" i="45" s="1"/>
  <c r="B29" i="37"/>
  <c r="C17" i="38"/>
  <c r="M72" i="45" l="1"/>
  <c r="N61" i="45" s="1"/>
  <c r="E13" i="37"/>
  <c r="F13" i="37" s="1"/>
  <c r="F15" i="37" s="1"/>
  <c r="C15" i="37"/>
  <c r="C29" i="37"/>
  <c r="D31" i="28"/>
  <c r="B25" i="37"/>
  <c r="B21" i="37"/>
  <c r="C34" i="28"/>
  <c r="D15" i="37"/>
  <c r="D29" i="37"/>
  <c r="M72" i="28"/>
  <c r="N66" i="45" l="1"/>
  <c r="N67" i="45"/>
  <c r="N65" i="45"/>
  <c r="N70" i="45"/>
  <c r="N64" i="45"/>
  <c r="N72" i="45" s="1"/>
  <c r="N70" i="28"/>
  <c r="N67" i="28"/>
  <c r="N66" i="28"/>
  <c r="N65" i="28"/>
  <c r="E29" i="37"/>
  <c r="E15" i="37"/>
  <c r="F16" i="37" s="1"/>
  <c r="F19" i="37" s="1"/>
  <c r="H31" i="45" s="1"/>
  <c r="G13" i="37"/>
  <c r="G15" i="37" s="1"/>
  <c r="G16" i="37" s="1"/>
  <c r="G19" i="37" s="1"/>
  <c r="I31" i="45" s="1"/>
  <c r="F29" i="37"/>
  <c r="N64" i="28"/>
  <c r="D16" i="37"/>
  <c r="D19" i="37" s="1"/>
  <c r="F31" i="45" s="1"/>
  <c r="C16" i="37"/>
  <c r="C19" i="37" s="1"/>
  <c r="E31" i="45" s="1"/>
  <c r="B26" i="37"/>
  <c r="B30" i="37" s="1"/>
  <c r="N61" i="28"/>
  <c r="E16" i="37" l="1"/>
  <c r="E19" i="37" s="1"/>
  <c r="H13" i="37"/>
  <c r="I13" i="37" s="1"/>
  <c r="G29" i="37"/>
  <c r="N72" i="28"/>
  <c r="B34" i="37"/>
  <c r="D25" i="37"/>
  <c r="D26" i="37" s="1"/>
  <c r="D30" i="37" s="1"/>
  <c r="D34" i="37" s="1"/>
  <c r="D21" i="37"/>
  <c r="F31" i="28"/>
  <c r="H31" i="28"/>
  <c r="F25" i="37"/>
  <c r="F26" i="37" s="1"/>
  <c r="F30" i="37" s="1"/>
  <c r="F34" i="37" s="1"/>
  <c r="F21" i="37"/>
  <c r="I31" i="28"/>
  <c r="G25" i="37"/>
  <c r="G26" i="37" s="1"/>
  <c r="G30" i="37" s="1"/>
  <c r="G21" i="37"/>
  <c r="E31" i="28"/>
  <c r="C21" i="37"/>
  <c r="C25" i="37"/>
  <c r="E25" i="37" l="1"/>
  <c r="E26" i="37" s="1"/>
  <c r="E30" i="37" s="1"/>
  <c r="E34" i="37" s="1"/>
  <c r="G31" i="45"/>
  <c r="G31" i="28"/>
  <c r="E21" i="37"/>
  <c r="G34" i="37"/>
  <c r="H15" i="37"/>
  <c r="H16" i="37" s="1"/>
  <c r="H19" i="37" s="1"/>
  <c r="J31" i="45" s="1"/>
  <c r="H29" i="37"/>
  <c r="C26" i="37"/>
  <c r="C30" i="37" s="1"/>
  <c r="I29" i="37"/>
  <c r="I15" i="37"/>
  <c r="J13" i="37"/>
  <c r="I16" i="37" l="1"/>
  <c r="I19" i="37" s="1"/>
  <c r="J29" i="37"/>
  <c r="J15" i="37"/>
  <c r="K13" i="37"/>
  <c r="H21" i="37"/>
  <c r="H25" i="37"/>
  <c r="J31" i="28"/>
  <c r="C34" i="37"/>
  <c r="I21" i="37" l="1"/>
  <c r="K31" i="45"/>
  <c r="K31" i="28"/>
  <c r="I25" i="37"/>
  <c r="I26" i="37" s="1"/>
  <c r="I30" i="37" s="1"/>
  <c r="I34" i="37" s="1"/>
  <c r="K29" i="37"/>
  <c r="K15" i="37"/>
  <c r="L13" i="37"/>
  <c r="K16" i="37"/>
  <c r="K19" i="37" s="1"/>
  <c r="M31" i="45" s="1"/>
  <c r="H26" i="37"/>
  <c r="H30" i="37" s="1"/>
  <c r="J16" i="37"/>
  <c r="J19" i="37" s="1"/>
  <c r="L31" i="45" s="1"/>
  <c r="L31" i="28" l="1"/>
  <c r="J21" i="37"/>
  <c r="J25" i="37"/>
  <c r="M31" i="28"/>
  <c r="K25" i="37"/>
  <c r="K26" i="37" s="1"/>
  <c r="K30" i="37" s="1"/>
  <c r="K34" i="37" s="1"/>
  <c r="K21" i="37"/>
  <c r="L29" i="37"/>
  <c r="L15" i="37"/>
  <c r="M13" i="37"/>
  <c r="H34" i="37"/>
  <c r="M29" i="37" l="1"/>
  <c r="J26" i="37"/>
  <c r="J30" i="37" s="1"/>
  <c r="L16" i="37"/>
  <c r="M15" i="37"/>
  <c r="L19" i="37" l="1"/>
  <c r="N31" i="45" s="1"/>
  <c r="L20" i="37"/>
  <c r="J34" i="37"/>
  <c r="M20" i="37" l="1"/>
  <c r="L33" i="37"/>
  <c r="M33" i="37" s="1"/>
  <c r="N31" i="28"/>
  <c r="L21" i="37"/>
  <c r="L25" i="37"/>
  <c r="M19" i="37"/>
  <c r="M21" i="37" l="1"/>
  <c r="L26" i="37"/>
  <c r="L30" i="37" s="1"/>
  <c r="M25" i="37"/>
  <c r="M26" i="37" s="1"/>
  <c r="L34" i="37" l="1"/>
  <c r="M30" i="37"/>
  <c r="M34" i="37" s="1"/>
  <c r="B36" i="37" l="1"/>
  <c r="B35" i="37"/>
  <c r="C36" i="28" l="1"/>
  <c r="C36" i="45"/>
</calcChain>
</file>

<file path=xl/sharedStrings.xml><?xml version="1.0" encoding="utf-8"?>
<sst xmlns="http://schemas.openxmlformats.org/spreadsheetml/2006/main" count="2331" uniqueCount="597">
  <si>
    <t xml:space="preserve">Net Operating Income </t>
  </si>
  <si>
    <t>Total Net Operating Income</t>
  </si>
  <si>
    <t>Development Costs</t>
  </si>
  <si>
    <t>Total Development Costs</t>
  </si>
  <si>
    <t>Annual Cash Flow</t>
  </si>
  <si>
    <t>Net Operating Income</t>
  </si>
  <si>
    <t>Net Cash Flow</t>
  </si>
  <si>
    <t xml:space="preserve">Total Infrastructure Costs </t>
  </si>
  <si>
    <t>Revenue Assumptions</t>
  </si>
  <si>
    <t>Inflation Factor</t>
  </si>
  <si>
    <t>Gross Lease Revenues</t>
  </si>
  <si>
    <t>Percent Built by Year</t>
  </si>
  <si>
    <t>Infrastructure Costs</t>
  </si>
  <si>
    <t>Assumptions</t>
  </si>
  <si>
    <t>Sale Revenues</t>
  </si>
  <si>
    <t>Leasing Revenues</t>
  </si>
  <si>
    <t>Room Revenues</t>
  </si>
  <si>
    <t>Monthly Parking Fee</t>
  </si>
  <si>
    <t>Allocation to Monthly Use</t>
  </si>
  <si>
    <t>Percent Occupancy by Monthly Contracts</t>
  </si>
  <si>
    <t>Nonwork Days</t>
  </si>
  <si>
    <t>Daily Parking Hours</t>
  </si>
  <si>
    <t>Percent Utilization</t>
  </si>
  <si>
    <t>Work Days</t>
  </si>
  <si>
    <t>Hourly Parking Rate</t>
  </si>
  <si>
    <t>Net Present Value</t>
  </si>
  <si>
    <t>Structured Parking Spaces</t>
  </si>
  <si>
    <t>Total Costs of Sale</t>
  </si>
  <si>
    <t>Total Buildout</t>
  </si>
  <si>
    <t>Project Buildout by Area</t>
  </si>
  <si>
    <t>Total</t>
  </si>
  <si>
    <t>Total Infrastructure Costs</t>
  </si>
  <si>
    <t>Total Costs</t>
  </si>
  <si>
    <t>Net Present Value of Costs</t>
  </si>
  <si>
    <t>Phase I</t>
  </si>
  <si>
    <t>Projected Unit Absorption</t>
  </si>
  <si>
    <t>Average Unit Size</t>
  </si>
  <si>
    <t>Net Rentable Area</t>
  </si>
  <si>
    <t>Occupancy Factor</t>
  </si>
  <si>
    <t>Net Usable Area</t>
  </si>
  <si>
    <t>Builder Profit</t>
  </si>
  <si>
    <t>Cost of Sales</t>
  </si>
  <si>
    <t>Vacancy Factor</t>
  </si>
  <si>
    <t>Rooms Completed</t>
  </si>
  <si>
    <t>Average Daily Room Rate</t>
  </si>
  <si>
    <t>Retail</t>
  </si>
  <si>
    <t>Hotel</t>
  </si>
  <si>
    <t>Structured Parking</t>
  </si>
  <si>
    <t>Amount</t>
  </si>
  <si>
    <t>Unit Cost</t>
  </si>
  <si>
    <t>Public</t>
  </si>
  <si>
    <t>Private</t>
  </si>
  <si>
    <t>Roads</t>
  </si>
  <si>
    <t>Year 0</t>
  </si>
  <si>
    <t xml:space="preserve">Total Asset Value </t>
  </si>
  <si>
    <t>Asset Value</t>
  </si>
  <si>
    <t>Costs of Sale</t>
  </si>
  <si>
    <t>Unleveraged IRR Before Taxes</t>
  </si>
  <si>
    <t>2013-2014</t>
  </si>
  <si>
    <t>1. Summary Proforma</t>
  </si>
  <si>
    <t>Market-Rate Rental Housing</t>
  </si>
  <si>
    <t>Market-Rate For-Sale Housing</t>
  </si>
  <si>
    <t>Affordable Rental Housing</t>
  </si>
  <si>
    <t>Office</t>
  </si>
  <si>
    <t>Market-Rate Retail</t>
  </si>
  <si>
    <t>Land Acquisition Costs</t>
  </si>
  <si>
    <t>Loan to Value (LTV)</t>
  </si>
  <si>
    <t>Unleveraged IRR (Before Taxes)</t>
  </si>
  <si>
    <t>Current Site Value (Start of Year 0)</t>
  </si>
  <si>
    <t>Projected Site Value (End of Year 10)</t>
  </si>
  <si>
    <t>2. Multi-Year Development Program</t>
  </si>
  <si>
    <t>Project Buildout by Development Units (Excludes Public Assets)</t>
  </si>
  <si>
    <t>% of Total</t>
  </si>
  <si>
    <t>Equity Sources (Total)</t>
  </si>
  <si>
    <t>Financing Sources (Total)</t>
  </si>
  <si>
    <t>Public Subsidies (Total, If Any)</t>
  </si>
  <si>
    <t>Phase II</t>
  </si>
  <si>
    <t>Phase III</t>
  </si>
  <si>
    <t>Development Schedule</t>
  </si>
  <si>
    <t>ULI Urban Design Competition</t>
  </si>
  <si>
    <t>Total SF</t>
  </si>
  <si>
    <t>Product Type</t>
  </si>
  <si>
    <t>Infrastructure</t>
  </si>
  <si>
    <t>Grocery Store</t>
  </si>
  <si>
    <t>Inflation Factor:</t>
  </si>
  <si>
    <t>Discount Rate</t>
  </si>
  <si>
    <t>Team:</t>
  </si>
  <si>
    <t>Units</t>
  </si>
  <si>
    <t>SF</t>
  </si>
  <si>
    <t>Development Assumptions</t>
  </si>
  <si>
    <t>Units Completed</t>
  </si>
  <si>
    <t>Cumulative Units Leased</t>
  </si>
  <si>
    <t>Phase II Project #1</t>
  </si>
  <si>
    <t>Monthly Rent PSF</t>
  </si>
  <si>
    <t>Annual Operating Expenses PSF</t>
  </si>
  <si>
    <t>Development Costs PSF</t>
  </si>
  <si>
    <t>(Less) Development Costs</t>
  </si>
  <si>
    <t>Other Assumptions</t>
  </si>
  <si>
    <t>Exit Cap Rate</t>
  </si>
  <si>
    <t>Cost of Sale</t>
  </si>
  <si>
    <t>Totals</t>
  </si>
  <si>
    <t>Projected Units Sold</t>
  </si>
  <si>
    <t>Cumulative Units Sold</t>
  </si>
  <si>
    <t>Phase II Project #2</t>
  </si>
  <si>
    <t>Sale Price PSF</t>
  </si>
  <si>
    <t>GLA Absorbed (SF)</t>
  </si>
  <si>
    <t>Net Lease Revenue PSF</t>
  </si>
  <si>
    <t>Gross SF</t>
  </si>
  <si>
    <t>Operating Expenses PSF</t>
  </si>
  <si>
    <t>Expenses Reimbursements</t>
  </si>
  <si>
    <t>(Less) Operating Expenses</t>
  </si>
  <si>
    <t>Office (Gross-One Existing)</t>
  </si>
  <si>
    <t>Phase III Retail</t>
  </si>
  <si>
    <t>Development Costs PSF (Retail)</t>
  </si>
  <si>
    <t>Development Costs PSF (Restaurant)</t>
  </si>
  <si>
    <t>Development Costs PSF (Grocery Store)</t>
  </si>
  <si>
    <t>Market-Rate Retail (Gross)</t>
  </si>
  <si>
    <t>Office (Excludes Existing Office Building)</t>
  </si>
  <si>
    <t>Infrastructure Costs (All to Be Performed By Developer)</t>
  </si>
  <si>
    <t>3. Unit Development &amp; Infrastructure Costs</t>
  </si>
  <si>
    <t>Projected Construction Costs</t>
  </si>
  <si>
    <t>Hard</t>
  </si>
  <si>
    <t>Soft</t>
  </si>
  <si>
    <t>Hard Cost</t>
  </si>
  <si>
    <t>Property Type</t>
  </si>
  <si>
    <r>
      <t xml:space="preserve">Costs PSF </t>
    </r>
    <r>
      <rPr>
        <b/>
        <vertAlign val="superscript"/>
        <sz val="10"/>
        <rFont val="Arial"/>
        <family val="2"/>
      </rPr>
      <t>(1)</t>
    </r>
  </si>
  <si>
    <t>Costs PSF</t>
  </si>
  <si>
    <t>Contingency</t>
  </si>
  <si>
    <t>Apartments (1-3 Stories)</t>
  </si>
  <si>
    <t>Apartments (4-7 Stories)</t>
  </si>
  <si>
    <t>Apartments (8-24 Stories)</t>
  </si>
  <si>
    <t>Assisted Senior Living</t>
  </si>
  <si>
    <t>Bus Terminal (Train Station)</t>
  </si>
  <si>
    <t>Community Center</t>
  </si>
  <si>
    <t>Day Care Center</t>
  </si>
  <si>
    <t>Department Store (1 Story)</t>
  </si>
  <si>
    <t>Hotel (4-7 Stories)</t>
  </si>
  <si>
    <t>Hotel (8-24 Stories)</t>
  </si>
  <si>
    <t>Library</t>
  </si>
  <si>
    <t>Movie Theater</t>
  </si>
  <si>
    <t>Office (2-4 Stories)</t>
  </si>
  <si>
    <t>Office (5-10 Stories)</t>
  </si>
  <si>
    <t>Office (11-20 Stories)</t>
  </si>
  <si>
    <t>Restaurant</t>
  </si>
  <si>
    <t>Restaurant (Fast Food)</t>
  </si>
  <si>
    <t>Supermarket</t>
  </si>
  <si>
    <t>Warehouse</t>
  </si>
  <si>
    <t>Soft Costs (As a % of Hard Costs)</t>
  </si>
  <si>
    <t>Hard Cost Contingency</t>
  </si>
  <si>
    <t>Other Infrastructure Costs</t>
  </si>
  <si>
    <t>Item</t>
  </si>
  <si>
    <t>Hard Costs PSF</t>
  </si>
  <si>
    <t>Plaza/Landscaping/Parks</t>
  </si>
  <si>
    <t>Streetscape</t>
  </si>
  <si>
    <t>Pavillion</t>
  </si>
  <si>
    <t>Bank</t>
  </si>
  <si>
    <t>Department Store (3 Stories)</t>
  </si>
  <si>
    <t>Expense Reimbursements</t>
  </si>
  <si>
    <t>Operating Expenses</t>
  </si>
  <si>
    <t>Spaces</t>
  </si>
  <si>
    <t>SF Per Parking Space</t>
  </si>
  <si>
    <t>Operating Exenses PSF</t>
  </si>
  <si>
    <t>Parking Revenue (Monthly)</t>
  </si>
  <si>
    <t>Parking Revenue (Hourly)</t>
  </si>
  <si>
    <t>(Less) City Reimbursement</t>
  </si>
  <si>
    <t>City Reimbursement</t>
  </si>
  <si>
    <t>Apartment Garage</t>
  </si>
  <si>
    <t>Structured Parking (Excludes City-Built Garage)</t>
  </si>
  <si>
    <t>Phase IA Surface Parking</t>
  </si>
  <si>
    <t>Condo Surface Parking 1</t>
  </si>
  <si>
    <t>Condo Surface Parking 2</t>
  </si>
  <si>
    <t>Land Costs</t>
  </si>
  <si>
    <t>Current Land</t>
  </si>
  <si>
    <t>Parking</t>
  </si>
  <si>
    <t>Capped</t>
  </si>
  <si>
    <t>Billboard</t>
  </si>
  <si>
    <t>Additional</t>
  </si>
  <si>
    <t>Value</t>
  </si>
  <si>
    <t>Parcel</t>
  </si>
  <si>
    <t>Use</t>
  </si>
  <si>
    <t>Income</t>
  </si>
  <si>
    <r>
      <t xml:space="preserve">at 11.0% </t>
    </r>
    <r>
      <rPr>
        <b/>
        <vertAlign val="superscript"/>
        <sz val="10"/>
        <rFont val="Arial"/>
        <family val="2"/>
      </rPr>
      <t>(1)</t>
    </r>
  </si>
  <si>
    <r>
      <t xml:space="preserve">Value </t>
    </r>
    <r>
      <rPr>
        <b/>
        <vertAlign val="superscript"/>
        <sz val="10"/>
        <rFont val="Arial"/>
        <family val="2"/>
      </rPr>
      <t>(2)</t>
    </r>
  </si>
  <si>
    <t>PSF</t>
  </si>
  <si>
    <t>Block A</t>
  </si>
  <si>
    <t>Total (Block A)</t>
  </si>
  <si>
    <t>Block B</t>
  </si>
  <si>
    <t>Total (Block B)</t>
  </si>
  <si>
    <t>Block C</t>
  </si>
  <si>
    <t>Total (Block C)</t>
  </si>
  <si>
    <t>Vacant</t>
  </si>
  <si>
    <t>Total (All Parcels)</t>
  </si>
  <si>
    <t>Daily Parking Income Per Space</t>
  </si>
  <si>
    <t>Daily Parking Occupancy</t>
  </si>
  <si>
    <t>Existing Building Market Values</t>
  </si>
  <si>
    <t>Property</t>
  </si>
  <si>
    <t>Estimated</t>
  </si>
  <si>
    <t>Operating</t>
  </si>
  <si>
    <t>Building</t>
  </si>
  <si>
    <t>Type</t>
  </si>
  <si>
    <t>Building SF</t>
  </si>
  <si>
    <t>Market Value</t>
  </si>
  <si>
    <t>Industrial</t>
  </si>
  <si>
    <t>Office Rent PSF (Net)</t>
  </si>
  <si>
    <t>Office Vacancy</t>
  </si>
  <si>
    <t>Office Cap Rate</t>
  </si>
  <si>
    <t>Retail Rent PSF (Net)</t>
  </si>
  <si>
    <t>Retail Vacancy</t>
  </si>
  <si>
    <t>Retail Cap Rate</t>
  </si>
  <si>
    <t>Industrial Rent PSF (Net)</t>
  </si>
  <si>
    <t>Industrial Vacancy</t>
  </si>
  <si>
    <t>Industrial Cap Rate</t>
  </si>
  <si>
    <t>(1) Cap Rate was derived per discussions with CBRE.</t>
  </si>
  <si>
    <t>Block</t>
  </si>
  <si>
    <t>Parcels</t>
  </si>
  <si>
    <t>Purchased</t>
  </si>
  <si>
    <t xml:space="preserve">Assessed </t>
  </si>
  <si>
    <t xml:space="preserve">Total </t>
  </si>
  <si>
    <t>A</t>
  </si>
  <si>
    <t>B</t>
  </si>
  <si>
    <t>C</t>
  </si>
  <si>
    <t>(2) For parcels with an existing billboard, an additional $500,000 was added to each parcel's Total Value.</t>
  </si>
  <si>
    <t>* $1.75 PSF in Demolition Costs</t>
  </si>
  <si>
    <t>Total Demolition Costs</t>
  </si>
  <si>
    <t>(Less) Existing Office Building SF (Parcel M - To Remain)</t>
  </si>
  <si>
    <t>Total SF Requiring Demolition</t>
  </si>
  <si>
    <t>*</t>
  </si>
  <si>
    <r>
      <t xml:space="preserve">Total Demolition Costs </t>
    </r>
    <r>
      <rPr>
        <b/>
        <vertAlign val="superscript"/>
        <sz val="10"/>
        <rFont val="Arial"/>
        <family val="2"/>
      </rPr>
      <t>(1)</t>
    </r>
  </si>
  <si>
    <t>(1) All demolition costs are to occur in Year 0 (2013-2014).</t>
  </si>
  <si>
    <t>Summary of Land Acquisition</t>
  </si>
  <si>
    <t>Demolition Costs</t>
  </si>
  <si>
    <t>(Less) Total Development Costs</t>
  </si>
  <si>
    <t>Net Present Value (9.00% Rate)</t>
  </si>
  <si>
    <t>Land Acquisition</t>
  </si>
  <si>
    <t>Equity Funding</t>
  </si>
  <si>
    <t>Debt Funding</t>
  </si>
  <si>
    <t>Cumulative Debt Funding</t>
  </si>
  <si>
    <t>Construction Costs</t>
  </si>
  <si>
    <t>Development Budget</t>
  </si>
  <si>
    <t>Equity Contribution</t>
  </si>
  <si>
    <t>Total Financing</t>
  </si>
  <si>
    <t>Loan Fee (1.00%)</t>
  </si>
  <si>
    <t>Financing</t>
  </si>
  <si>
    <t>4. Equity &amp; Financing Sources</t>
  </si>
  <si>
    <t>Financing Analysis</t>
  </si>
  <si>
    <t>Interest Expense (6.00% All-In Rate)</t>
  </si>
  <si>
    <t>Loan Repayment</t>
  </si>
  <si>
    <t>Debt &amp; Equity Funding</t>
  </si>
  <si>
    <t>Debt Service Calculation</t>
  </si>
  <si>
    <t>Total Debt Service</t>
  </si>
  <si>
    <t>Interest Rate</t>
  </si>
  <si>
    <t>Financing Assumptions</t>
  </si>
  <si>
    <t>Leveraged IRR Calculation</t>
  </si>
  <si>
    <t>Equity Outlays</t>
  </si>
  <si>
    <t>CFADS</t>
  </si>
  <si>
    <t>Cash Flow After Debt Service</t>
  </si>
  <si>
    <t>Total CFADS</t>
  </si>
  <si>
    <t>(Less) Interest Expense</t>
  </si>
  <si>
    <t>Asset Sale</t>
  </si>
  <si>
    <t>(Less) Cost of Sale</t>
  </si>
  <si>
    <t>(Less) Debt Repayment</t>
  </si>
  <si>
    <t>Leveraged Cash Flows</t>
  </si>
  <si>
    <t>Leveraged IRR Before Taxes</t>
  </si>
  <si>
    <t>* Assumes all equity is contributed before the loan funds</t>
  </si>
  <si>
    <t>Leveraged IRR (Before Taxes) *</t>
  </si>
  <si>
    <t>Blended Cap Rate:</t>
  </si>
  <si>
    <t>Minneapolis Condo Comparables</t>
  </si>
  <si>
    <t>Sales Summary</t>
  </si>
  <si>
    <t># of</t>
  </si>
  <si>
    <t>Unit</t>
  </si>
  <si>
    <t>Sales</t>
  </si>
  <si>
    <t>Condo Project</t>
  </si>
  <si>
    <t>Price</t>
  </si>
  <si>
    <t>Price PSF</t>
  </si>
  <si>
    <t>1 BR / 1 Bath Units</t>
  </si>
  <si>
    <t>607 Washington Lofts</t>
  </si>
  <si>
    <t>730 Lofts</t>
  </si>
  <si>
    <t>Grant Park</t>
  </si>
  <si>
    <t>Herschel Lofts</t>
  </si>
  <si>
    <t>Ivy Residences</t>
  </si>
  <si>
    <t>Skyscape</t>
  </si>
  <si>
    <t>The Carlyle</t>
  </si>
  <si>
    <t>Average 1 BR / 1 Bath</t>
  </si>
  <si>
    <t>2 BR / 2 Bath Units</t>
  </si>
  <si>
    <t>212 Lofts</t>
  </si>
  <si>
    <t>301 Oak Grove</t>
  </si>
  <si>
    <t>5th Avenue Lofts</t>
  </si>
  <si>
    <t>720 Lofts</t>
  </si>
  <si>
    <t>Bridgewater</t>
  </si>
  <si>
    <t>Humboldt Lofts</t>
  </si>
  <si>
    <t>Rock Island Lofts</t>
  </si>
  <si>
    <t>The Carlye</t>
  </si>
  <si>
    <t>The Lofts At International Market Square</t>
  </si>
  <si>
    <t>Zenith</t>
  </si>
  <si>
    <t>Average 2 BR / 2 Bath</t>
  </si>
  <si>
    <t>3 BR / 3 Bath Units</t>
  </si>
  <si>
    <t>Whitney Landmark Residences</t>
  </si>
  <si>
    <t>Average 3 BR / 3 Bath</t>
  </si>
  <si>
    <t>Year</t>
  </si>
  <si>
    <t>Unit Type</t>
  </si>
  <si>
    <t>Built</t>
  </si>
  <si>
    <t>2 BR / 2 Bath</t>
  </si>
  <si>
    <t>1 BR / 1 Bath</t>
  </si>
  <si>
    <t>Minneapolis Apartment Comparables</t>
  </si>
  <si>
    <t>3 BR / 3 Bath</t>
  </si>
  <si>
    <t>Top Floor</t>
  </si>
  <si>
    <t>Rent Summary</t>
  </si>
  <si>
    <t xml:space="preserve">Monthly </t>
  </si>
  <si>
    <t>Rent</t>
  </si>
  <si>
    <t>Apartment Project</t>
  </si>
  <si>
    <t>Studio Units</t>
  </si>
  <si>
    <t>Flux Apartments</t>
  </si>
  <si>
    <t>Soltva Apartments</t>
  </si>
  <si>
    <t>Mill District City Apartments</t>
  </si>
  <si>
    <t>Average Studio</t>
  </si>
  <si>
    <t>Heritage Landing Apartments</t>
  </si>
  <si>
    <t>3 BR / 2 Bath Units</t>
  </si>
  <si>
    <t>Average 3 BR / 2 Bath</t>
  </si>
  <si>
    <t>Studio</t>
  </si>
  <si>
    <t>3 BR / 2 Bath</t>
  </si>
  <si>
    <t>Year 1 Construction Cost Assumptions</t>
  </si>
  <si>
    <r>
      <t xml:space="preserve">Costs PSF </t>
    </r>
    <r>
      <rPr>
        <b/>
        <vertAlign val="superscript"/>
        <sz val="12"/>
        <rFont val="Arial"/>
        <family val="2"/>
      </rPr>
      <t>(1)</t>
    </r>
  </si>
  <si>
    <r>
      <t xml:space="preserve">Costs PSF </t>
    </r>
    <r>
      <rPr>
        <b/>
        <vertAlign val="superscript"/>
        <sz val="12"/>
        <rFont val="Arial"/>
        <family val="2"/>
      </rPr>
      <t>(2)</t>
    </r>
  </si>
  <si>
    <r>
      <t xml:space="preserve">Contingency </t>
    </r>
    <r>
      <rPr>
        <b/>
        <vertAlign val="superscript"/>
        <sz val="12"/>
        <rFont val="Arial"/>
        <family val="2"/>
      </rPr>
      <t>(3)</t>
    </r>
  </si>
  <si>
    <t>Rental &amp; For-Sale Housing</t>
  </si>
  <si>
    <t>Retail Space</t>
  </si>
  <si>
    <r>
      <t xml:space="preserve">Costs PSF </t>
    </r>
    <r>
      <rPr>
        <b/>
        <vertAlign val="superscript"/>
        <sz val="12"/>
        <rFont val="Arial"/>
        <family val="2"/>
      </rPr>
      <t>(4)</t>
    </r>
  </si>
  <si>
    <t>(2) Soft Costs have been estimated as 20.00% of Hard Costs.</t>
  </si>
  <si>
    <t>(3) Hard Cost Contingency has been estimated as 4.00% of Hard Costs.</t>
  </si>
  <si>
    <t>Market Assumptions</t>
  </si>
  <si>
    <t>Input</t>
  </si>
  <si>
    <t>Assumption</t>
  </si>
  <si>
    <r>
      <t xml:space="preserve">Used </t>
    </r>
    <r>
      <rPr>
        <b/>
        <vertAlign val="superscript"/>
        <sz val="12"/>
        <rFont val="Arial"/>
        <family val="2"/>
      </rPr>
      <t>(1)</t>
    </r>
  </si>
  <si>
    <t>Source</t>
  </si>
  <si>
    <t>Apartment Rents PSF</t>
  </si>
  <si>
    <t>Apartment Vacancy</t>
  </si>
  <si>
    <t>Condo Sales Prices PSF</t>
  </si>
  <si>
    <t>Retail Rents PSF</t>
  </si>
  <si>
    <t>Restaurant Rents PSF</t>
  </si>
  <si>
    <t>Grocery Store Rents PSF</t>
  </si>
  <si>
    <t>Hotel ADR</t>
  </si>
  <si>
    <t>Hotel Occupancy</t>
  </si>
  <si>
    <t>Hotel EBITDA Margin</t>
  </si>
  <si>
    <t>Apartment Cap Rates</t>
  </si>
  <si>
    <t>Office Cap Rates</t>
  </si>
  <si>
    <t>Retail Cap Rates</t>
  </si>
  <si>
    <t>Hotel Cap Rates</t>
  </si>
  <si>
    <t>Parking Cap Rates</t>
  </si>
  <si>
    <t>inflation of 3.00% was assumed.</t>
  </si>
  <si>
    <t xml:space="preserve">(4) Please note that these figures are current cost estimates, and that for purposes of estimating Development Costs, annual </t>
  </si>
  <si>
    <r>
      <t xml:space="preserve">Total Demolition Costs </t>
    </r>
    <r>
      <rPr>
        <b/>
        <vertAlign val="superscript"/>
        <sz val="12"/>
        <rFont val="Arial"/>
        <family val="2"/>
      </rPr>
      <t>(1)</t>
    </r>
  </si>
  <si>
    <t>Green Infrastructure (Roofs)</t>
  </si>
  <si>
    <t>Debt Service (Interest Expense)</t>
  </si>
  <si>
    <t>(1) Please note that these rent/sales price figures are current estimates, and that for purposes of calculating Net Operating Income, annual inflation of 3.00% was assumed.</t>
  </si>
  <si>
    <t>Lot Size</t>
  </si>
  <si>
    <t>Land</t>
  </si>
  <si>
    <t>Own /</t>
  </si>
  <si>
    <t>Acquire</t>
  </si>
  <si>
    <t>Own</t>
  </si>
  <si>
    <t>Residential</t>
  </si>
  <si>
    <t>Parking Lot</t>
  </si>
  <si>
    <t>Multifamily</t>
  </si>
  <si>
    <t>Parking lot</t>
  </si>
  <si>
    <t>Block D</t>
  </si>
  <si>
    <t>Total (Blocks D)</t>
  </si>
  <si>
    <t>Total (Block E)</t>
  </si>
  <si>
    <t>Block E</t>
  </si>
  <si>
    <t>Soccer Field</t>
  </si>
  <si>
    <t>Extra</t>
  </si>
  <si>
    <t>Features</t>
  </si>
  <si>
    <t>Total (Acquired Parcels)</t>
  </si>
  <si>
    <t>A-12</t>
  </si>
  <si>
    <t>A-15</t>
  </si>
  <si>
    <t>A-16</t>
  </si>
  <si>
    <t>Existing Business</t>
  </si>
  <si>
    <t>B-26</t>
  </si>
  <si>
    <t>B-29</t>
  </si>
  <si>
    <t>B-38</t>
  </si>
  <si>
    <t>C-43</t>
  </si>
  <si>
    <t>C-49</t>
  </si>
  <si>
    <t>C-50</t>
  </si>
  <si>
    <t>D-9</t>
  </si>
  <si>
    <t>E-21</t>
  </si>
  <si>
    <t>E-22</t>
  </si>
  <si>
    <t>E-31</t>
  </si>
  <si>
    <t>E-32</t>
  </si>
  <si>
    <t>Residential Rent PSF (Net)</t>
  </si>
  <si>
    <t>Residential Vacancy</t>
  </si>
  <si>
    <t>Residential Cap Rate</t>
  </si>
  <si>
    <t>Multifamily Rent PSF (Net)</t>
  </si>
  <si>
    <t>Multifamily Vacancy</t>
  </si>
  <si>
    <t>Multifamily Cap Rate</t>
  </si>
  <si>
    <t>D</t>
  </si>
  <si>
    <t>E</t>
  </si>
  <si>
    <t>Lot</t>
  </si>
  <si>
    <t>Total Acquisition Costs</t>
  </si>
  <si>
    <t>Cap Rate (Parking Lots) (1)</t>
  </si>
  <si>
    <t>2020-2021</t>
  </si>
  <si>
    <t>Gymnasium</t>
  </si>
  <si>
    <t>Medical Office (1 Story)</t>
  </si>
  <si>
    <t>Medical Office (2 Story)</t>
  </si>
  <si>
    <t>Store, Retail</t>
  </si>
  <si>
    <t>Store, Convenience</t>
  </si>
  <si>
    <t>(1) Source: RS Means Online Data (2020)</t>
  </si>
  <si>
    <t>Garage Parking</t>
  </si>
  <si>
    <t>Pedestrian bridges</t>
  </si>
  <si>
    <t>Construction To Mini-Perm Debt Financing (50% Leverage)</t>
  </si>
  <si>
    <t>https://ced.sog.unc.edu/pedestrian-bridges-connecting-people-with-communities/</t>
  </si>
  <si>
    <t>Demolition</t>
  </si>
  <si>
    <t>Cost</t>
  </si>
  <si>
    <t>Telefonica Data Center</t>
  </si>
  <si>
    <t>Emergency Care Center</t>
  </si>
  <si>
    <t>Green Infrastructure (Roofs + Amphitheater)</t>
  </si>
  <si>
    <t>28th street streetscape</t>
  </si>
  <si>
    <t>Landscaping along 27th E St.</t>
  </si>
  <si>
    <t>Pool &amp; playground</t>
  </si>
  <si>
    <t>28th Street Class B Office</t>
  </si>
  <si>
    <t>7-11</t>
  </si>
  <si>
    <t>STEAM School &amp; Library</t>
  </si>
  <si>
    <t>Class A Office 2</t>
  </si>
  <si>
    <t>Class A Office 2 - Parking Garage</t>
  </si>
  <si>
    <t>Apartment 1 - livable area</t>
  </si>
  <si>
    <t>Apartment 1 - Parking</t>
  </si>
  <si>
    <t>Apartment 1 - Retail</t>
  </si>
  <si>
    <t>Walkway platform</t>
  </si>
  <si>
    <t>Midedgewyn Square</t>
  </si>
  <si>
    <t>Telefonica Parking Garage</t>
  </si>
  <si>
    <t>Data Center</t>
  </si>
  <si>
    <t>Building 8 - Parking Garage</t>
  </si>
  <si>
    <t>Building 8 - 1st Floor Retail &amp; Rooftop bar</t>
  </si>
  <si>
    <t>Building 8 - Hostel</t>
  </si>
  <si>
    <t>Building 8 - Telefonica Coworking Space (Class A)</t>
  </si>
  <si>
    <t>Corridor Landscaping</t>
  </si>
  <si>
    <t>Apartment 6 - Movie Theater</t>
  </si>
  <si>
    <t>Apartment 6 - Livable Area</t>
  </si>
  <si>
    <t>Amenities</t>
  </si>
  <si>
    <t>Platform over train station (Pedestrian bridge)</t>
  </si>
  <si>
    <t>Draft Train station</t>
  </si>
  <si>
    <t>Green walls along train tracks</t>
  </si>
  <si>
    <t>City fund part of the station</t>
  </si>
  <si>
    <t>Grocery store - Publix</t>
  </si>
  <si>
    <t>Tax Credits - new market credits</t>
  </si>
  <si>
    <t>Opportunity zone</t>
  </si>
  <si>
    <t>Telefonica</t>
  </si>
  <si>
    <t>Building C1 - Retail</t>
  </si>
  <si>
    <t>Building C1 - Office (Class B)</t>
  </si>
  <si>
    <t>Building C2 - Retail</t>
  </si>
  <si>
    <t>Building C2 - Office (Class A)</t>
  </si>
  <si>
    <t>Building C2 - Office (Class B)</t>
  </si>
  <si>
    <t>Building C4 - Office (Class B)</t>
  </si>
  <si>
    <t>Building C4 - Retail</t>
  </si>
  <si>
    <t>Building C5 - Retail</t>
  </si>
  <si>
    <t>Building C5 - Office (Class B)</t>
  </si>
  <si>
    <t>Building C5 - Office (Class A)</t>
  </si>
  <si>
    <t>Emergency Care Center - E3</t>
  </si>
  <si>
    <t>Art Square</t>
  </si>
  <si>
    <t>Landscaping along W 27th Street</t>
  </si>
  <si>
    <t>Building A2 - Residential</t>
  </si>
  <si>
    <t>Building A2 - Garage</t>
  </si>
  <si>
    <t>Building A2 - Day Care</t>
  </si>
  <si>
    <t>Building A3 - Residential</t>
  </si>
  <si>
    <t>Building A3 - Garage</t>
  </si>
  <si>
    <t>Garage</t>
  </si>
  <si>
    <t>Apartment E5 - livable area</t>
  </si>
  <si>
    <t>Apartment E5 - Parking Garage</t>
  </si>
  <si>
    <t>Apartment E5 - Retail</t>
  </si>
  <si>
    <t>Apartment E6 - livable area</t>
  </si>
  <si>
    <t>Apartment E6 - Parking Garage</t>
  </si>
  <si>
    <t>Apartment E6 - Retail</t>
  </si>
  <si>
    <t>Apartment E1 - livable area</t>
  </si>
  <si>
    <t>Apartment E1 - Parking Garage</t>
  </si>
  <si>
    <t>Apartment E1 - Restaurants &amp; Retail</t>
  </si>
  <si>
    <t>Apartment E2 - livable area</t>
  </si>
  <si>
    <t>Apartment E2 - Garage</t>
  </si>
  <si>
    <t>Apartment E2 - retail</t>
  </si>
  <si>
    <t>Publix Neighborhood Market (D3)</t>
  </si>
  <si>
    <t>Ground Central Market (D1)</t>
  </si>
  <si>
    <t>Market Parking Garage (D3)</t>
  </si>
  <si>
    <t>28th Street Retail (A4,5 / B1,2,3)</t>
  </si>
  <si>
    <t>Landmark Building B4 - Train Station Retail</t>
  </si>
  <si>
    <t>Landmark Building B4 - Hotel (9 floors)</t>
  </si>
  <si>
    <t>Landmark Building B4 - Luxury Condo</t>
  </si>
  <si>
    <t>Landmark Building B4 - Rooftop Retail</t>
  </si>
  <si>
    <t>Luxury Condos</t>
  </si>
  <si>
    <t>Affordable Rental</t>
  </si>
  <si>
    <t>Market-rate Rental</t>
  </si>
  <si>
    <t>Class A Office</t>
  </si>
  <si>
    <t>Class B Office - Arts Studios</t>
  </si>
  <si>
    <t>Infrastructure - Streetscaping</t>
  </si>
  <si>
    <t>Infrastructure - Pedestrian Bridge</t>
  </si>
  <si>
    <t>Infrastructure - Green Roofs</t>
  </si>
  <si>
    <t>Hospitality</t>
  </si>
  <si>
    <t>School &amp; Library</t>
  </si>
  <si>
    <t>Category</t>
  </si>
  <si>
    <t>Bars &amp; Restaurants</t>
  </si>
  <si>
    <t>Development Cost</t>
  </si>
  <si>
    <t>Train Station</t>
  </si>
  <si>
    <t>Emergency Care</t>
  </si>
  <si>
    <t>Hostel</t>
  </si>
  <si>
    <t>Infrastructure - Green walkway &amp; squares</t>
  </si>
  <si>
    <t>Infrastructure - Pavillion</t>
  </si>
  <si>
    <t>Demolish</t>
  </si>
  <si>
    <t xml:space="preserve">All Infrastructure </t>
  </si>
  <si>
    <t>Apartment 6 - retail (A1)</t>
  </si>
  <si>
    <t>Naader Museum 2.0 (C3)</t>
  </si>
  <si>
    <t>Infrastructure - Solar Panels</t>
  </si>
  <si>
    <t>Assumptions - Development Cost PSF</t>
  </si>
  <si>
    <t xml:space="preserve">Infrastructure Costs </t>
  </si>
  <si>
    <t>Naader Museum (Existing)</t>
  </si>
  <si>
    <t>Class B Office - Arts Studio</t>
  </si>
  <si>
    <t>Development Costs PSF - Class A</t>
  </si>
  <si>
    <t>Development Costs PSF - Class B</t>
  </si>
  <si>
    <t>Class B Office</t>
  </si>
  <si>
    <t>Phase IA Publix Market</t>
  </si>
  <si>
    <t>Phase IA Bars &amp; Restaurants</t>
  </si>
  <si>
    <t>Phase IA Retail</t>
  </si>
  <si>
    <t>Phase IB Bars &amp; Restaurants</t>
  </si>
  <si>
    <t>Phase IC Retail</t>
  </si>
  <si>
    <t>Phase IIA Bars &amp; Restaurants</t>
  </si>
  <si>
    <t>Phase IIA Retail</t>
  </si>
  <si>
    <t>Phase IIB Retail</t>
  </si>
  <si>
    <t>Phase IIB Movie Theater</t>
  </si>
  <si>
    <t>Phase IIC Bars &amp; Restaurants</t>
  </si>
  <si>
    <t>Phase IIIA Retail</t>
  </si>
  <si>
    <t>Phase IIIB Retail</t>
  </si>
  <si>
    <t>Development Costs PSF (Movie Theater)</t>
  </si>
  <si>
    <t>Luxury Hotel</t>
  </si>
  <si>
    <t>Coworking Hostel</t>
  </si>
  <si>
    <t>Development Costs PSF (Hotel)</t>
  </si>
  <si>
    <t>Development Costs PSF (Hostel)</t>
  </si>
  <si>
    <t>Commercial Garage</t>
  </si>
  <si>
    <t>Ground Central Garage</t>
  </si>
  <si>
    <t>Days</t>
  </si>
  <si>
    <t>Hotel &amp; Hostel</t>
  </si>
  <si>
    <t>Office (Existing Naader Museum is kept until 2025)</t>
  </si>
  <si>
    <t>* $2.0 PSF in Demolition Costs</t>
  </si>
  <si>
    <t>inflation of 2.00% was assumed.</t>
  </si>
  <si>
    <t>Temporary Train Station</t>
  </si>
  <si>
    <t>Bar &amp; Restaurant Space</t>
  </si>
  <si>
    <t>(Less) Existing Naader Museum (Parcel W 45 - To Remain)</t>
  </si>
  <si>
    <t/>
  </si>
  <si>
    <t>Total Demolishable Area</t>
  </si>
  <si>
    <t>A - Wynwood</t>
  </si>
  <si>
    <t>B - Wynwood</t>
  </si>
  <si>
    <t>C - Wynwood</t>
  </si>
  <si>
    <t>D - Edgewater</t>
  </si>
  <si>
    <t>E - Edgewater</t>
  </si>
  <si>
    <t>1-3,11-17</t>
  </si>
  <si>
    <t>Parking Capped</t>
  </si>
  <si>
    <t>26-30, 38</t>
  </si>
  <si>
    <t>43, 48-51</t>
  </si>
  <si>
    <t>8-11, 15</t>
  </si>
  <si>
    <t>21-23, 31, 32</t>
  </si>
  <si>
    <t>Opportunity Zone - CDFI Fund</t>
  </si>
  <si>
    <t>Miami Forever Bond (Affordable Housing)</t>
  </si>
  <si>
    <t>Miami-Dade County TIID</t>
  </si>
  <si>
    <t>Public - Private Partnership (UMiami, Telefonica Ventures)</t>
  </si>
  <si>
    <t>Midedgewyn Investment Opportunity Fund</t>
  </si>
  <si>
    <t>(1) Demolition costs are to occur throughout 3 phases but are assumed to be expensed in the beginning for modeling simplicity</t>
  </si>
  <si>
    <t>(1) This also includes a Loan Fee of $2,250,000 (1.00%).</t>
  </si>
  <si>
    <t>(2) Opportunity Zone CDFI Fund will fund part of the residential and retail development on the site east of the rail, during Phase I</t>
  </si>
  <si>
    <t>(3) Miami Forever Bond (total program $100M) goes to create affordable housing units and increasing employment opportunities</t>
  </si>
  <si>
    <r>
      <t xml:space="preserve">Construction To Mini-Perm Debt Financing </t>
    </r>
    <r>
      <rPr>
        <vertAlign val="superscript"/>
        <sz val="12"/>
        <rFont val="Arial"/>
        <family val="2"/>
      </rPr>
      <t>(1)</t>
    </r>
  </si>
  <si>
    <r>
      <t xml:space="preserve">Opportunity Zone - CDFI Fund </t>
    </r>
    <r>
      <rPr>
        <vertAlign val="superscript"/>
        <sz val="12"/>
        <rFont val="Arial"/>
        <family val="2"/>
      </rPr>
      <t>(2)</t>
    </r>
  </si>
  <si>
    <r>
      <t xml:space="preserve">Miami Forever Bond (Affordable Housing) </t>
    </r>
    <r>
      <rPr>
        <vertAlign val="superscript"/>
        <sz val="12"/>
        <rFont val="Arial"/>
        <family val="2"/>
      </rPr>
      <t>(3)</t>
    </r>
  </si>
  <si>
    <r>
      <t xml:space="preserve">Public - Private Partnership (UMiami, Telefonica Ventures) </t>
    </r>
    <r>
      <rPr>
        <vertAlign val="superscript"/>
        <sz val="12"/>
        <rFont val="Arial"/>
        <family val="2"/>
      </rPr>
      <t>(4)</t>
    </r>
  </si>
  <si>
    <r>
      <t xml:space="preserve">Miami-Dade County TIID </t>
    </r>
    <r>
      <rPr>
        <vertAlign val="superscript"/>
        <sz val="12"/>
        <rFont val="Arial"/>
        <family val="2"/>
      </rPr>
      <t>(5)</t>
    </r>
  </si>
  <si>
    <t>(5) Miami-Dade Transportation Infrastructure Improvement District using tax increment financing</t>
  </si>
  <si>
    <t>Current rents on available units at Midtown 29, Yard 8, Midtown 5, Wynwood 25</t>
  </si>
  <si>
    <t>Cushman Wakefield report for Miami-Dade multifamily market</t>
  </si>
  <si>
    <t>Current sales prices on available units at various Miami condo projects, including Doral View, Doral Station, Avalon at Bonterra, Aquarella, The Mile at Coral Gables</t>
  </si>
  <si>
    <t>Class A Office Rents PSF</t>
  </si>
  <si>
    <t>Class B Office Rents PSF</t>
  </si>
  <si>
    <t>CBRE Office Market View, Q4 2019</t>
  </si>
  <si>
    <t>CBRE North America Cap Rate Survey, Miami Snapshot, First Half 2018</t>
  </si>
  <si>
    <t>Hostel ADR</t>
  </si>
  <si>
    <t>Applying 9% dollar-for-dollar rax credit rate toward the construction of all rental housing units</t>
  </si>
  <si>
    <t>Cushman Wakefield report for Miami retail market, using $55 (i.e. the low end) of retail rent PSF in Wynwood</t>
  </si>
  <si>
    <t>CBRE report, Wynwood vacancy around 9.5%</t>
  </si>
  <si>
    <t>Cushman Wakefield report for Miami retail market. Demand for hostel in Miami is high, we are assuming an average $35/night per bunk and 4 bunks per room</t>
  </si>
  <si>
    <t>Public Infrastructure</t>
  </si>
  <si>
    <t>Luxury residential suites</t>
  </si>
  <si>
    <t>Community Amenities</t>
  </si>
  <si>
    <t>Estimated from CBRE figures on Wynwood &amp; downtown offices</t>
  </si>
  <si>
    <t xml:space="preserve">(4) U. Miami and Telefonica Ventures will fund the development of the STEAM School &amp; Library, </t>
  </si>
  <si>
    <t>Telefonica can put a 2-storey data center on site</t>
  </si>
  <si>
    <t>Charge Publix lower rent for co-development of grocery store</t>
  </si>
  <si>
    <t>500 Rooms</t>
  </si>
  <si>
    <t>(1) Please note that these rent/sales price figures are current estimates, and that for purposes of calculating Net Operating Income, annual inflation of 2.00% was assumed.</t>
  </si>
  <si>
    <r>
      <t xml:space="preserve">City National Bank of Florida, Construction To Mini-Perm Debt Financing </t>
    </r>
    <r>
      <rPr>
        <vertAlign val="superscript"/>
        <sz val="12"/>
        <rFont val="Arial"/>
        <family val="2"/>
      </rPr>
      <t>(1)</t>
    </r>
  </si>
  <si>
    <r>
      <t xml:space="preserve">Florida Housing Finance Corp &amp; Miami Forever Bond </t>
    </r>
    <r>
      <rPr>
        <vertAlign val="superscript"/>
        <sz val="12"/>
        <rFont val="Arial"/>
        <family val="2"/>
      </rPr>
      <t>(3)</t>
    </r>
  </si>
  <si>
    <t>Telefonica can put a 2-storey data center and fiber hub rent-free on site</t>
  </si>
  <si>
    <t>Office (Existing Nader Museum is kept until 2025)</t>
  </si>
  <si>
    <t>(Less) Existing Nader Museum (Parcel W 45 - To Remain)</t>
  </si>
  <si>
    <t>CBRE North America Cap Rate Survey, Miami Snapshot, Second Half 2018</t>
  </si>
  <si>
    <r>
      <t xml:space="preserve">at 8.0% </t>
    </r>
    <r>
      <rPr>
        <b/>
        <vertAlign val="superscript"/>
        <sz val="10"/>
        <rFont val="Arial"/>
        <family val="2"/>
      </rPr>
      <t>(1)</t>
    </r>
  </si>
  <si>
    <r>
      <t xml:space="preserve">at 8.0% </t>
    </r>
    <r>
      <rPr>
        <b/>
        <vertAlign val="superscript"/>
        <sz val="12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</si>
</sst>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#,###\ &quot;Units&quot;"/>
    <numFmt numFmtId="168" formatCode="#,##0\ &quot;SF&quot;"/>
    <numFmt numFmtId="169" formatCode="#,###\ &quot;Rooms&quot;"/>
    <numFmt numFmtId="170" formatCode="_(* #,##0.0000_);_(* \(#,##0.0000\);_(* &quot;-&quot;??_);_(@_)"/>
    <numFmt numFmtId="171" formatCode="#,###\ &quot;Spaces&quot;"/>
    <numFmt numFmtId="172" formatCode="0_);\(0\)"/>
    <numFmt numFmtId="173" formatCode="#,##0.0"/>
    <numFmt numFmtId="174" formatCode="0.00000000000%"/>
    <numFmt numFmtId="175" formatCode="&quot;$&quot;#,##0;[Red]\(&quot;$&quot;#,##0\)"/>
    <numFmt numFmtId="176" formatCode="&quot;$&quot;#,##0.0;\(&quot;$&quot;#,##0.00\)"/>
    <numFmt numFmtId="177" formatCode="&quot;$&quot;#,##0.00;\(&quot;$&quot;#,##0.00\)"/>
    <numFmt numFmtId="178" formatCode="_(* #,##0_);_(* \(#,##0\);_(* &quot;-&quot;??_);_(@_)"/>
    <numFmt numFmtId="179" formatCode="&quot;$&quot;#,##0.00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u/>
      <sz val="10"/>
      <name val="Arial"/>
      <family val="2"/>
    </font>
    <font>
      <b/>
      <vertAlign val="superscript"/>
      <sz val="10"/>
      <name val="Arial"/>
      <family val="2"/>
    </font>
    <font>
      <sz val="12"/>
      <color rgb="FF0000FF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sz val="10"/>
      <color rgb="FF008000"/>
      <name val="Arial"/>
      <family val="2"/>
    </font>
    <font>
      <sz val="12"/>
      <color rgb="FF008000"/>
      <name val="Arial"/>
      <family val="2"/>
    </font>
    <font>
      <sz val="10"/>
      <color rgb="FF0000FF"/>
      <name val="Arial Narrow"/>
      <family val="2"/>
    </font>
    <font>
      <sz val="10"/>
      <color rgb="FF008000"/>
      <name val="Arial Narrow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rgb="FF008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FF"/>
      <name val="Arial"/>
      <family val="2"/>
    </font>
    <font>
      <sz val="11"/>
      <color rgb="FF008000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theme="1"/>
      <name val="optima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vertAlign val="superscript"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7" fillId="0" borderId="0">
      <alignment horizontal="left"/>
    </xf>
    <xf numFmtId="0" fontId="38" fillId="0" borderId="0">
      <alignment horizontal="left"/>
    </xf>
    <xf numFmtId="3" fontId="39" fillId="0" borderId="0">
      <alignment horizontal="right"/>
    </xf>
    <xf numFmtId="173" fontId="39" fillId="0" borderId="0">
      <alignment horizontal="right"/>
    </xf>
    <xf numFmtId="4" fontId="39" fillId="0" borderId="0">
      <alignment horizontal="right"/>
    </xf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39" fillId="0" borderId="0">
      <alignment horizontal="right"/>
    </xf>
    <xf numFmtId="176" fontId="39" fillId="0" borderId="0">
      <alignment horizontal="right"/>
    </xf>
    <xf numFmtId="177" fontId="39" fillId="0" borderId="0">
      <alignment horizontal="right"/>
    </xf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" fillId="0" borderId="0"/>
    <xf numFmtId="0" fontId="2" fillId="0" borderId="0"/>
    <xf numFmtId="0" fontId="40" fillId="0" borderId="0"/>
    <xf numFmtId="0" fontId="39" fillId="0" borderId="0"/>
    <xf numFmtId="1" fontId="39" fillId="0" borderId="0">
      <alignment horizontal="right"/>
    </xf>
    <xf numFmtId="9" fontId="39" fillId="0" borderId="0">
      <alignment horizontal="right"/>
    </xf>
    <xf numFmtId="164" fontId="39" fillId="0" borderId="0">
      <alignment horizontal="right"/>
    </xf>
    <xf numFmtId="10" fontId="39" fillId="0" borderId="0">
      <alignment horizontal="right"/>
    </xf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119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7" fillId="0" borderId="1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/>
    <xf numFmtId="0" fontId="7" fillId="0" borderId="0" xfId="3" applyFont="1" applyFill="1" applyBorder="1" applyAlignment="1"/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wrapText="1"/>
    </xf>
    <xf numFmtId="0" fontId="7" fillId="0" borderId="0" xfId="3" applyFont="1" applyAlignment="1">
      <alignment wrapText="1"/>
    </xf>
    <xf numFmtId="0" fontId="7" fillId="0" borderId="2" xfId="3" applyFont="1" applyBorder="1" applyAlignment="1"/>
    <xf numFmtId="0" fontId="8" fillId="2" borderId="2" xfId="3" applyFont="1" applyFill="1" applyBorder="1" applyAlignment="1">
      <alignment horizontal="center"/>
    </xf>
    <xf numFmtId="0" fontId="7" fillId="2" borderId="2" xfId="3" applyFont="1" applyFill="1" applyBorder="1" applyAlignment="1"/>
    <xf numFmtId="0" fontId="7" fillId="0" borderId="6" xfId="3" applyFont="1" applyBorder="1" applyAlignment="1">
      <alignment horizontal="center"/>
    </xf>
    <xf numFmtId="0" fontId="7" fillId="0" borderId="6" xfId="3" applyFont="1" applyFill="1" applyBorder="1" applyAlignment="1"/>
    <xf numFmtId="0" fontId="7" fillId="0" borderId="0" xfId="3" applyFont="1" applyAlignment="1"/>
    <xf numFmtId="0" fontId="8" fillId="2" borderId="1" xfId="3" applyFont="1" applyFill="1" applyBorder="1" applyAlignment="1"/>
    <xf numFmtId="0" fontId="8" fillId="2" borderId="2" xfId="3" applyFont="1" applyFill="1" applyBorder="1" applyAlignment="1"/>
    <xf numFmtId="0" fontId="7" fillId="2" borderId="3" xfId="3" applyFont="1" applyFill="1" applyBorder="1" applyAlignment="1"/>
    <xf numFmtId="0" fontId="8" fillId="0" borderId="0" xfId="3" applyFont="1" applyBorder="1" applyAlignment="1"/>
    <xf numFmtId="0" fontId="8" fillId="0" borderId="0" xfId="3" applyFont="1" applyFill="1" applyBorder="1" applyAlignment="1"/>
    <xf numFmtId="0" fontId="8" fillId="2" borderId="1" xfId="3" applyFont="1" applyFill="1" applyBorder="1" applyAlignment="1">
      <alignment horizontal="left"/>
    </xf>
    <xf numFmtId="0" fontId="8" fillId="2" borderId="2" xfId="3" applyFont="1" applyFill="1" applyBorder="1" applyAlignment="1">
      <alignment horizontal="left"/>
    </xf>
    <xf numFmtId="0" fontId="8" fillId="0" borderId="6" xfId="3" applyFont="1" applyBorder="1" applyAlignment="1"/>
    <xf numFmtId="0" fontId="8" fillId="0" borderId="8" xfId="3" applyFont="1" applyFill="1" applyBorder="1" applyAlignment="1"/>
    <xf numFmtId="0" fontId="7" fillId="0" borderId="4" xfId="3" applyFont="1" applyFill="1" applyBorder="1" applyAlignment="1"/>
    <xf numFmtId="0" fontId="7" fillId="0" borderId="1" xfId="3" applyFont="1" applyBorder="1" applyAlignment="1"/>
    <xf numFmtId="0" fontId="8" fillId="0" borderId="1" xfId="3" applyFont="1" applyBorder="1" applyAlignment="1">
      <alignment horizontal="center"/>
    </xf>
    <xf numFmtId="0" fontId="7" fillId="2" borderId="2" xfId="3" applyFont="1" applyFill="1" applyBorder="1" applyAlignment="1">
      <alignment horizontal="center"/>
    </xf>
    <xf numFmtId="0" fontId="7" fillId="0" borderId="10" xfId="3" applyFont="1" applyBorder="1" applyAlignment="1"/>
    <xf numFmtId="0" fontId="8" fillId="0" borderId="12" xfId="3" applyFont="1" applyBorder="1" applyAlignment="1"/>
    <xf numFmtId="0" fontId="0" fillId="3" borderId="0" xfId="0" applyFill="1"/>
    <xf numFmtId="0" fontId="2" fillId="3" borderId="0" xfId="0" applyFont="1" applyFill="1"/>
    <xf numFmtId="0" fontId="11" fillId="3" borderId="8" xfId="3" applyFont="1" applyFill="1" applyBorder="1" applyAlignment="1">
      <alignment horizontal="centerContinuous"/>
    </xf>
    <xf numFmtId="0" fontId="12" fillId="3" borderId="4" xfId="3" applyFont="1" applyFill="1" applyBorder="1" applyAlignment="1">
      <alignment horizontal="centerContinuous"/>
    </xf>
    <xf numFmtId="0" fontId="2" fillId="3" borderId="4" xfId="3" applyFont="1" applyFill="1" applyBorder="1" applyAlignment="1">
      <alignment horizontal="centerContinuous"/>
    </xf>
    <xf numFmtId="0" fontId="2" fillId="3" borderId="9" xfId="3" applyFont="1" applyFill="1" applyBorder="1" applyAlignment="1">
      <alignment horizontal="centerContinuous"/>
    </xf>
    <xf numFmtId="0" fontId="11" fillId="3" borderId="2" xfId="3" applyFont="1" applyFill="1" applyBorder="1" applyAlignment="1">
      <alignment horizontal="centerContinuous"/>
    </xf>
    <xf numFmtId="0" fontId="2" fillId="3" borderId="2" xfId="3" applyFont="1" applyFill="1" applyBorder="1" applyAlignment="1">
      <alignment horizontal="centerContinuous"/>
    </xf>
    <xf numFmtId="0" fontId="2" fillId="3" borderId="3" xfId="3" applyFont="1" applyFill="1" applyBorder="1" applyAlignment="1">
      <alignment horizontal="centerContinuous"/>
    </xf>
    <xf numFmtId="0" fontId="2" fillId="3" borderId="1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0" fontId="11" fillId="3" borderId="3" xfId="3" applyFont="1" applyFill="1" applyBorder="1" applyAlignment="1">
      <alignment horizontal="center"/>
    </xf>
    <xf numFmtId="0" fontId="2" fillId="3" borderId="8" xfId="3" applyFont="1" applyFill="1" applyBorder="1" applyAlignment="1"/>
    <xf numFmtId="0" fontId="2" fillId="3" borderId="4" xfId="3" applyFont="1" applyFill="1" applyBorder="1" applyAlignment="1"/>
    <xf numFmtId="0" fontId="11" fillId="3" borderId="4" xfId="3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Continuous"/>
    </xf>
    <xf numFmtId="0" fontId="16" fillId="4" borderId="4" xfId="0" applyFont="1" applyFill="1" applyBorder="1" applyAlignment="1">
      <alignment horizontal="centerContinuous"/>
    </xf>
    <xf numFmtId="0" fontId="16" fillId="4" borderId="9" xfId="0" applyFont="1" applyFill="1" applyBorder="1" applyAlignment="1">
      <alignment horizontal="centerContinuous"/>
    </xf>
    <xf numFmtId="0" fontId="16" fillId="4" borderId="12" xfId="0" applyFont="1" applyFill="1" applyBorder="1" applyAlignment="1">
      <alignment horizontal="centerContinuous"/>
    </xf>
    <xf numFmtId="0" fontId="16" fillId="4" borderId="6" xfId="0" applyFont="1" applyFill="1" applyBorder="1" applyAlignment="1">
      <alignment horizontal="centerContinuous"/>
    </xf>
    <xf numFmtId="0" fontId="16" fillId="4" borderId="7" xfId="0" applyFont="1" applyFill="1" applyBorder="1" applyAlignment="1">
      <alignment horizontal="centerContinuous"/>
    </xf>
    <xf numFmtId="0" fontId="11" fillId="3" borderId="0" xfId="0" applyFont="1" applyFill="1"/>
    <xf numFmtId="0" fontId="2" fillId="3" borderId="0" xfId="0" applyFont="1" applyFill="1" applyAlignment="1">
      <alignment horizontal="center"/>
    </xf>
    <xf numFmtId="3" fontId="17" fillId="3" borderId="0" xfId="0" applyNumberFormat="1" applyFont="1" applyFill="1" applyBorder="1" applyAlignment="1">
      <alignment horizontal="center"/>
    </xf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13" fillId="3" borderId="10" xfId="0" applyFont="1" applyFill="1" applyBorder="1"/>
    <xf numFmtId="0" fontId="2" fillId="3" borderId="10" xfId="0" applyFont="1" applyFill="1" applyBorder="1"/>
    <xf numFmtId="0" fontId="2" fillId="3" borderId="0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3" fontId="17" fillId="3" borderId="6" xfId="0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4" xfId="0" applyFill="1" applyBorder="1"/>
    <xf numFmtId="0" fontId="2" fillId="3" borderId="0" xfId="0" applyFont="1" applyFill="1" applyBorder="1"/>
    <xf numFmtId="0" fontId="0" fillId="3" borderId="4" xfId="0" applyFill="1" applyBorder="1" applyAlignment="1">
      <alignment horizontal="centerContinuous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0" fontId="5" fillId="4" borderId="1" xfId="3" applyFont="1" applyFill="1" applyBorder="1" applyAlignment="1">
      <alignment horizontal="left"/>
    </xf>
    <xf numFmtId="0" fontId="5" fillId="4" borderId="2" xfId="3" applyFont="1" applyFill="1" applyBorder="1" applyAlignment="1">
      <alignment horizontal="left"/>
    </xf>
    <xf numFmtId="0" fontId="5" fillId="4" borderId="3" xfId="3" applyFont="1" applyFill="1" applyBorder="1" applyAlignment="1">
      <alignment horizontal="left"/>
    </xf>
    <xf numFmtId="0" fontId="5" fillId="4" borderId="1" xfId="3" applyFont="1" applyFill="1" applyBorder="1" applyAlignment="1"/>
    <xf numFmtId="0" fontId="5" fillId="4" borderId="2" xfId="3" applyFont="1" applyFill="1" applyBorder="1" applyAlignment="1"/>
    <xf numFmtId="0" fontId="5" fillId="4" borderId="3" xfId="3" applyFont="1" applyFill="1" applyBorder="1" applyAlignment="1"/>
    <xf numFmtId="0" fontId="2" fillId="3" borderId="1" xfId="0" applyFont="1" applyFill="1" applyBorder="1"/>
    <xf numFmtId="0" fontId="0" fillId="3" borderId="2" xfId="0" applyFill="1" applyBorder="1"/>
    <xf numFmtId="0" fontId="11" fillId="3" borderId="1" xfId="0" applyFont="1" applyFill="1" applyBorder="1"/>
    <xf numFmtId="0" fontId="11" fillId="3" borderId="2" xfId="0" applyFont="1" applyFill="1" applyBorder="1"/>
    <xf numFmtId="3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3" fontId="0" fillId="3" borderId="0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6" xfId="0" applyNumberFormat="1" applyFill="1" applyBorder="1"/>
    <xf numFmtId="3" fontId="0" fillId="3" borderId="12" xfId="0" applyNumberFormat="1" applyFill="1" applyBorder="1"/>
    <xf numFmtId="3" fontId="0" fillId="3" borderId="7" xfId="0" applyNumberFormat="1" applyFill="1" applyBorder="1"/>
    <xf numFmtId="3" fontId="0" fillId="3" borderId="4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1" fillId="3" borderId="6" xfId="3" applyFont="1" applyFill="1" applyBorder="1" applyAlignment="1">
      <alignment horizontal="center"/>
    </xf>
    <xf numFmtId="0" fontId="11" fillId="3" borderId="12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Continuous"/>
    </xf>
    <xf numFmtId="0" fontId="12" fillId="3" borderId="2" xfId="3" applyFont="1" applyFill="1" applyBorder="1" applyAlignment="1">
      <alignment horizontal="centerContinuous"/>
    </xf>
    <xf numFmtId="9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10" fontId="2" fillId="3" borderId="5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0" xfId="3" applyFont="1" applyFill="1" applyBorder="1" applyAlignment="1">
      <alignment horizontal="left"/>
    </xf>
    <xf numFmtId="0" fontId="2" fillId="3" borderId="13" xfId="3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12" xfId="0" applyFont="1" applyFill="1" applyBorder="1"/>
    <xf numFmtId="0" fontId="11" fillId="3" borderId="6" xfId="0" applyFont="1" applyFill="1" applyBorder="1"/>
    <xf numFmtId="9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1" fillId="3" borderId="10" xfId="0" applyFont="1" applyFill="1" applyBorder="1" applyAlignment="1">
      <alignment horizontal="right"/>
    </xf>
    <xf numFmtId="10" fontId="17" fillId="3" borderId="0" xfId="0" applyNumberFormat="1" applyFont="1" applyFill="1" applyBorder="1" applyAlignment="1">
      <alignment horizontal="center"/>
    </xf>
    <xf numFmtId="0" fontId="2" fillId="3" borderId="8" xfId="0" applyFont="1" applyFill="1" applyBorder="1"/>
    <xf numFmtId="43" fontId="17" fillId="3" borderId="11" xfId="0" applyNumberFormat="1" applyFont="1" applyFill="1" applyBorder="1" applyAlignment="1">
      <alignment horizontal="center"/>
    </xf>
    <xf numFmtId="10" fontId="17" fillId="3" borderId="7" xfId="0" applyNumberFormat="1" applyFont="1" applyFill="1" applyBorder="1" applyAlignment="1">
      <alignment horizontal="right"/>
    </xf>
    <xf numFmtId="44" fontId="16" fillId="4" borderId="1" xfId="0" applyNumberFormat="1" applyFont="1" applyFill="1" applyBorder="1" applyAlignment="1">
      <alignment horizontal="centerContinuous"/>
    </xf>
    <xf numFmtId="44" fontId="18" fillId="4" borderId="2" xfId="0" applyNumberFormat="1" applyFont="1" applyFill="1" applyBorder="1" applyAlignment="1">
      <alignment horizontal="centerContinuous"/>
    </xf>
    <xf numFmtId="44" fontId="18" fillId="4" borderId="3" xfId="0" applyNumberFormat="1" applyFont="1" applyFill="1" applyBorder="1" applyAlignment="1">
      <alignment horizontal="centerContinuous"/>
    </xf>
    <xf numFmtId="0" fontId="11" fillId="3" borderId="15" xfId="3" applyFont="1" applyFill="1" applyBorder="1" applyAlignment="1">
      <alignment horizontal="center"/>
    </xf>
    <xf numFmtId="9" fontId="2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0" fontId="2" fillId="3" borderId="16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/>
    </xf>
    <xf numFmtId="0" fontId="19" fillId="3" borderId="15" xfId="3" applyFont="1" applyFill="1" applyBorder="1" applyAlignment="1">
      <alignment horizontal="center"/>
    </xf>
    <xf numFmtId="42" fontId="2" fillId="3" borderId="16" xfId="0" applyNumberFormat="1" applyFont="1" applyFill="1" applyBorder="1" applyAlignment="1">
      <alignment horizontal="center"/>
    </xf>
    <xf numFmtId="41" fontId="2" fillId="3" borderId="16" xfId="0" applyNumberFormat="1" applyFont="1" applyFill="1" applyBorder="1" applyAlignment="1">
      <alignment horizontal="center"/>
    </xf>
    <xf numFmtId="41" fontId="2" fillId="3" borderId="10" xfId="0" applyNumberFormat="1" applyFont="1" applyFill="1" applyBorder="1"/>
    <xf numFmtId="41" fontId="2" fillId="3" borderId="0" xfId="0" applyNumberFormat="1" applyFont="1" applyFill="1" applyBorder="1"/>
    <xf numFmtId="41" fontId="2" fillId="3" borderId="11" xfId="0" applyNumberFormat="1" applyFont="1" applyFill="1" applyBorder="1"/>
    <xf numFmtId="41" fontId="17" fillId="3" borderId="16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42" fontId="11" fillId="3" borderId="12" xfId="0" applyNumberFormat="1" applyFont="1" applyFill="1" applyBorder="1"/>
    <xf numFmtId="42" fontId="11" fillId="3" borderId="6" xfId="0" applyNumberFormat="1" applyFont="1" applyFill="1" applyBorder="1"/>
    <xf numFmtId="42" fontId="11" fillId="3" borderId="7" xfId="0" applyNumberFormat="1" applyFont="1" applyFill="1" applyBorder="1"/>
    <xf numFmtId="41" fontId="17" fillId="3" borderId="18" xfId="0" applyNumberFormat="1" applyFont="1" applyFill="1" applyBorder="1" applyAlignment="1">
      <alignment horizontal="center"/>
    </xf>
    <xf numFmtId="41" fontId="2" fillId="3" borderId="13" xfId="0" applyNumberFormat="1" applyFont="1" applyFill="1" applyBorder="1"/>
    <xf numFmtId="41" fontId="2" fillId="3" borderId="5" xfId="0" applyNumberFormat="1" applyFont="1" applyFill="1" applyBorder="1"/>
    <xf numFmtId="41" fontId="2" fillId="3" borderId="14" xfId="0" applyNumberFormat="1" applyFont="1" applyFill="1" applyBorder="1"/>
    <xf numFmtId="0" fontId="2" fillId="3" borderId="2" xfId="0" applyFont="1" applyFill="1" applyBorder="1" applyAlignment="1">
      <alignment horizontal="center"/>
    </xf>
    <xf numFmtId="42" fontId="11" fillId="3" borderId="17" xfId="0" applyNumberFormat="1" applyFont="1" applyFill="1" applyBorder="1" applyAlignment="1">
      <alignment horizontal="left"/>
    </xf>
    <xf numFmtId="42" fontId="11" fillId="3" borderId="12" xfId="0" applyNumberFormat="1" applyFont="1" applyFill="1" applyBorder="1" applyAlignment="1">
      <alignment horizontal="left"/>
    </xf>
    <xf numFmtId="42" fontId="11" fillId="3" borderId="6" xfId="0" applyNumberFormat="1" applyFont="1" applyFill="1" applyBorder="1" applyAlignment="1">
      <alignment horizontal="left"/>
    </xf>
    <xf numFmtId="42" fontId="11" fillId="3" borderId="7" xfId="0" applyNumberFormat="1" applyFont="1" applyFill="1" applyBorder="1" applyAlignment="1">
      <alignment horizontal="left"/>
    </xf>
    <xf numFmtId="44" fontId="17" fillId="3" borderId="1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Continuous"/>
    </xf>
    <xf numFmtId="42" fontId="20" fillId="3" borderId="16" xfId="0" applyNumberFormat="1" applyFont="1" applyFill="1" applyBorder="1" applyAlignment="1">
      <alignment horizontal="center"/>
    </xf>
    <xf numFmtId="42" fontId="20" fillId="3" borderId="10" xfId="0" applyNumberFormat="1" applyFont="1" applyFill="1" applyBorder="1"/>
    <xf numFmtId="42" fontId="20" fillId="3" borderId="0" xfId="0" applyNumberFormat="1" applyFont="1" applyFill="1" applyBorder="1"/>
    <xf numFmtId="42" fontId="20" fillId="3" borderId="11" xfId="0" applyNumberFormat="1" applyFont="1" applyFill="1" applyBorder="1"/>
    <xf numFmtId="41" fontId="20" fillId="3" borderId="16" xfId="0" applyNumberFormat="1" applyFont="1" applyFill="1" applyBorder="1" applyAlignment="1">
      <alignment horizontal="center"/>
    </xf>
    <xf numFmtId="41" fontId="20" fillId="3" borderId="10" xfId="0" applyNumberFormat="1" applyFont="1" applyFill="1" applyBorder="1"/>
    <xf numFmtId="41" fontId="20" fillId="3" borderId="0" xfId="0" applyNumberFormat="1" applyFont="1" applyFill="1" applyBorder="1"/>
    <xf numFmtId="41" fontId="20" fillId="3" borderId="11" xfId="0" applyNumberFormat="1" applyFont="1" applyFill="1" applyBorder="1"/>
    <xf numFmtId="41" fontId="20" fillId="3" borderId="18" xfId="0" applyNumberFormat="1" applyFont="1" applyFill="1" applyBorder="1" applyAlignment="1">
      <alignment horizontal="center"/>
    </xf>
    <xf numFmtId="41" fontId="20" fillId="3" borderId="14" xfId="0" applyNumberFormat="1" applyFont="1" applyFill="1" applyBorder="1"/>
    <xf numFmtId="42" fontId="0" fillId="3" borderId="0" xfId="0" applyNumberFormat="1" applyFill="1"/>
    <xf numFmtId="41" fontId="0" fillId="3" borderId="0" xfId="0" applyNumberFormat="1" applyFill="1" applyAlignment="1"/>
    <xf numFmtId="41" fontId="0" fillId="3" borderId="0" xfId="0" applyNumberFormat="1" applyFill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16" fillId="4" borderId="1" xfId="0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"/>
    </xf>
    <xf numFmtId="1" fontId="20" fillId="3" borderId="0" xfId="0" applyNumberFormat="1" applyFont="1" applyFill="1" applyBorder="1" applyAlignment="1">
      <alignment horizontal="center"/>
    </xf>
    <xf numFmtId="10" fontId="2" fillId="3" borderId="0" xfId="4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17" fillId="3" borderId="6" xfId="4" applyNumberFormat="1" applyFont="1" applyFill="1" applyBorder="1" applyAlignment="1">
      <alignment horizontal="center"/>
    </xf>
    <xf numFmtId="10" fontId="2" fillId="3" borderId="6" xfId="4" applyNumberFormat="1" applyFont="1" applyFill="1" applyBorder="1" applyAlignment="1">
      <alignment horizontal="center"/>
    </xf>
    <xf numFmtId="10" fontId="17" fillId="3" borderId="6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1" fillId="2" borderId="1" xfId="0" applyFont="1" applyFill="1" applyBorder="1"/>
    <xf numFmtId="44" fontId="2" fillId="3" borderId="0" xfId="0" applyNumberFormat="1" applyFont="1" applyFill="1" applyBorder="1" applyAlignment="1">
      <alignment horizontal="right"/>
    </xf>
    <xf numFmtId="44" fontId="2" fillId="3" borderId="1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4" fontId="2" fillId="3" borderId="16" xfId="0" applyNumberFormat="1" applyFont="1" applyFill="1" applyBorder="1" applyAlignment="1">
      <alignment horizontal="center"/>
    </xf>
    <xf numFmtId="10" fontId="2" fillId="3" borderId="17" xfId="0" applyNumberFormat="1" applyFont="1" applyFill="1" applyBorder="1" applyAlignment="1">
      <alignment horizontal="center"/>
    </xf>
    <xf numFmtId="0" fontId="2" fillId="2" borderId="1" xfId="0" applyFont="1" applyFill="1" applyBorder="1"/>
    <xf numFmtId="1" fontId="20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center"/>
    </xf>
    <xf numFmtId="44" fontId="2" fillId="3" borderId="10" xfId="0" applyNumberFormat="1" applyFont="1" applyFill="1" applyBorder="1" applyAlignment="1">
      <alignment horizontal="right"/>
    </xf>
    <xf numFmtId="10" fontId="17" fillId="3" borderId="12" xfId="4" applyNumberFormat="1" applyFont="1" applyFill="1" applyBorder="1" applyAlignment="1">
      <alignment horizontal="center"/>
    </xf>
    <xf numFmtId="10" fontId="17" fillId="3" borderId="7" xfId="0" applyNumberFormat="1" applyFont="1" applyFill="1" applyBorder="1" applyAlignment="1">
      <alignment horizontal="center"/>
    </xf>
    <xf numFmtId="10" fontId="17" fillId="3" borderId="10" xfId="4" applyNumberFormat="1" applyFont="1" applyFill="1" applyBorder="1" applyAlignment="1">
      <alignment horizontal="center"/>
    </xf>
    <xf numFmtId="10" fontId="17" fillId="3" borderId="11" xfId="0" applyNumberFormat="1" applyFont="1" applyFill="1" applyBorder="1" applyAlignment="1">
      <alignment horizontal="center"/>
    </xf>
    <xf numFmtId="10" fontId="17" fillId="3" borderId="12" xfId="0" applyNumberFormat="1" applyFont="1" applyFill="1" applyBorder="1" applyAlignment="1">
      <alignment horizontal="center"/>
    </xf>
    <xf numFmtId="10" fontId="17" fillId="3" borderId="10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44" fontId="17" fillId="3" borderId="16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left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/>
    <xf numFmtId="3" fontId="20" fillId="3" borderId="11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42" fontId="2" fillId="3" borderId="0" xfId="0" applyNumberFormat="1" applyFont="1" applyFill="1" applyBorder="1" applyAlignment="1">
      <alignment horizontal="center"/>
    </xf>
    <xf numFmtId="42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>
      <alignment horizontal="center"/>
    </xf>
    <xf numFmtId="10" fontId="17" fillId="3" borderId="5" xfId="0" applyNumberFormat="1" applyFont="1" applyFill="1" applyBorder="1" applyAlignment="1">
      <alignment horizontal="center"/>
    </xf>
    <xf numFmtId="41" fontId="2" fillId="3" borderId="5" xfId="0" applyNumberFormat="1" applyFont="1" applyFill="1" applyBorder="1" applyAlignment="1">
      <alignment horizontal="center"/>
    </xf>
    <xf numFmtId="42" fontId="2" fillId="3" borderId="11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left"/>
    </xf>
    <xf numFmtId="41" fontId="2" fillId="3" borderId="14" xfId="0" applyNumberFormat="1" applyFont="1" applyFill="1" applyBorder="1" applyAlignment="1">
      <alignment horizontal="center"/>
    </xf>
    <xf numFmtId="42" fontId="11" fillId="3" borderId="6" xfId="0" applyNumberFormat="1" applyFont="1" applyFill="1" applyBorder="1" applyAlignment="1">
      <alignment horizontal="center"/>
    </xf>
    <xf numFmtId="42" fontId="11" fillId="3" borderId="7" xfId="0" applyNumberFormat="1" applyFont="1" applyFill="1" applyBorder="1" applyAlignment="1">
      <alignment horizontal="center"/>
    </xf>
    <xf numFmtId="41" fontId="2" fillId="3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41" fontId="20" fillId="3" borderId="5" xfId="0" applyNumberFormat="1" applyFont="1" applyFill="1" applyBorder="1" applyAlignment="1">
      <alignment horizontal="right"/>
    </xf>
    <xf numFmtId="10" fontId="2" fillId="3" borderId="11" xfId="4" applyNumberFormat="1" applyFont="1" applyFill="1" applyBorder="1" applyAlignment="1">
      <alignment horizontal="center"/>
    </xf>
    <xf numFmtId="42" fontId="2" fillId="3" borderId="11" xfId="0" applyNumberFormat="1" applyFont="1" applyFill="1" applyBorder="1" applyAlignment="1">
      <alignment horizontal="center"/>
    </xf>
    <xf numFmtId="41" fontId="20" fillId="3" borderId="1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2" fontId="2" fillId="3" borderId="19" xfId="0" applyNumberFormat="1" applyFont="1" applyFill="1" applyBorder="1" applyAlignment="1">
      <alignment horizontal="center"/>
    </xf>
    <xf numFmtId="42" fontId="2" fillId="3" borderId="8" xfId="0" applyNumberFormat="1" applyFont="1" applyFill="1" applyBorder="1" applyAlignment="1">
      <alignment horizontal="right"/>
    </xf>
    <xf numFmtId="42" fontId="2" fillId="3" borderId="4" xfId="0" applyNumberFormat="1" applyFont="1" applyFill="1" applyBorder="1" applyAlignment="1">
      <alignment horizontal="right"/>
    </xf>
    <xf numFmtId="42" fontId="2" fillId="3" borderId="9" xfId="0" applyNumberFormat="1" applyFont="1" applyFill="1" applyBorder="1" applyAlignment="1">
      <alignment horizontal="right"/>
    </xf>
    <xf numFmtId="41" fontId="2" fillId="3" borderId="10" xfId="0" applyNumberFormat="1" applyFont="1" applyFill="1" applyBorder="1" applyAlignment="1">
      <alignment horizontal="right"/>
    </xf>
    <xf numFmtId="41" fontId="2" fillId="3" borderId="11" xfId="0" applyNumberFormat="1" applyFont="1" applyFill="1" applyBorder="1" applyAlignment="1">
      <alignment horizontal="right"/>
    </xf>
    <xf numFmtId="41" fontId="2" fillId="3" borderId="10" xfId="0" applyNumberFormat="1" applyFont="1" applyFill="1" applyBorder="1" applyAlignment="1">
      <alignment horizontal="center"/>
    </xf>
    <xf numFmtId="4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2" fontId="11" fillId="3" borderId="15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Continuous"/>
    </xf>
    <xf numFmtId="0" fontId="16" fillId="4" borderId="3" xfId="0" applyFont="1" applyFill="1" applyBorder="1" applyAlignment="1">
      <alignment horizontal="centerContinuous"/>
    </xf>
    <xf numFmtId="10" fontId="2" fillId="3" borderId="16" xfId="4" applyNumberFormat="1" applyFont="1" applyFill="1" applyBorder="1" applyAlignment="1">
      <alignment horizontal="center"/>
    </xf>
    <xf numFmtId="10" fontId="2" fillId="3" borderId="10" xfId="4" applyNumberFormat="1" applyFont="1" applyFill="1" applyBorder="1" applyAlignment="1">
      <alignment horizontal="center"/>
    </xf>
    <xf numFmtId="42" fontId="2" fillId="3" borderId="10" xfId="0" applyNumberFormat="1" applyFont="1" applyFill="1" applyBorder="1" applyAlignment="1">
      <alignment horizontal="center"/>
    </xf>
    <xf numFmtId="41" fontId="20" fillId="3" borderId="13" xfId="0" applyNumberFormat="1" applyFont="1" applyFill="1" applyBorder="1" applyAlignment="1">
      <alignment horizontal="right"/>
    </xf>
    <xf numFmtId="42" fontId="11" fillId="3" borderId="17" xfId="0" applyNumberFormat="1" applyFont="1" applyFill="1" applyBorder="1" applyAlignment="1">
      <alignment horizontal="center"/>
    </xf>
    <xf numFmtId="42" fontId="11" fillId="3" borderId="12" xfId="0" applyNumberFormat="1" applyFont="1" applyFill="1" applyBorder="1" applyAlignment="1">
      <alignment horizontal="center"/>
    </xf>
    <xf numFmtId="42" fontId="17" fillId="3" borderId="19" xfId="0" applyNumberFormat="1" applyFont="1" applyFill="1" applyBorder="1" applyAlignment="1">
      <alignment horizontal="center"/>
    </xf>
    <xf numFmtId="42" fontId="2" fillId="3" borderId="10" xfId="0" applyNumberFormat="1" applyFont="1" applyFill="1" applyBorder="1" applyAlignment="1">
      <alignment horizontal="right"/>
    </xf>
    <xf numFmtId="41" fontId="2" fillId="3" borderId="18" xfId="0" applyNumberFormat="1" applyFont="1" applyFill="1" applyBorder="1" applyAlignment="1">
      <alignment horizontal="center"/>
    </xf>
    <xf numFmtId="41" fontId="2" fillId="3" borderId="13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42" fontId="11" fillId="3" borderId="16" xfId="0" applyNumberFormat="1" applyFont="1" applyFill="1" applyBorder="1" applyAlignment="1">
      <alignment horizontal="center"/>
    </xf>
    <xf numFmtId="42" fontId="11" fillId="3" borderId="10" xfId="0" applyNumberFormat="1" applyFont="1" applyFill="1" applyBorder="1" applyAlignment="1">
      <alignment horizontal="right"/>
    </xf>
    <xf numFmtId="42" fontId="11" fillId="3" borderId="0" xfId="0" applyNumberFormat="1" applyFont="1" applyFill="1" applyBorder="1" applyAlignment="1">
      <alignment horizontal="right"/>
    </xf>
    <xf numFmtId="42" fontId="11" fillId="3" borderId="11" xfId="0" applyNumberFormat="1" applyFont="1" applyFill="1" applyBorder="1" applyAlignment="1">
      <alignment horizontal="right"/>
    </xf>
    <xf numFmtId="10" fontId="11" fillId="3" borderId="15" xfId="0" applyNumberFormat="1" applyFont="1" applyFill="1" applyBorder="1" applyAlignment="1">
      <alignment horizontal="center"/>
    </xf>
    <xf numFmtId="3" fontId="17" fillId="3" borderId="11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center"/>
    </xf>
    <xf numFmtId="0" fontId="19" fillId="3" borderId="12" xfId="3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17" fillId="3" borderId="0" xfId="0" applyNumberFormat="1" applyFont="1" applyFill="1" applyBorder="1" applyAlignment="1">
      <alignment horizontal="center"/>
    </xf>
    <xf numFmtId="37" fontId="2" fillId="3" borderId="0" xfId="1" applyNumberFormat="1" applyFont="1" applyFill="1" applyBorder="1" applyAlignment="1">
      <alignment horizontal="center"/>
    </xf>
    <xf numFmtId="44" fontId="2" fillId="3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37" fontId="2" fillId="3" borderId="11" xfId="1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right"/>
    </xf>
    <xf numFmtId="44" fontId="2" fillId="3" borderId="7" xfId="0" applyNumberFormat="1" applyFont="1" applyFill="1" applyBorder="1" applyAlignment="1">
      <alignment horizontal="right"/>
    </xf>
    <xf numFmtId="44" fontId="17" fillId="3" borderId="19" xfId="0" applyNumberFormat="1" applyFont="1" applyFill="1" applyBorder="1" applyAlignment="1">
      <alignment horizontal="center"/>
    </xf>
    <xf numFmtId="44" fontId="17" fillId="3" borderId="17" xfId="0" applyNumberFormat="1" applyFont="1" applyFill="1" applyBorder="1" applyAlignment="1">
      <alignment horizontal="center"/>
    </xf>
    <xf numFmtId="0" fontId="19" fillId="3" borderId="1" xfId="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3" borderId="10" xfId="0" applyNumberFormat="1" applyFont="1" applyFill="1" applyBorder="1" applyAlignment="1">
      <alignment horizontal="center"/>
    </xf>
    <xf numFmtId="44" fontId="17" fillId="3" borderId="12" xfId="0" applyNumberFormat="1" applyFont="1" applyFill="1" applyBorder="1" applyAlignment="1">
      <alignment horizontal="center"/>
    </xf>
    <xf numFmtId="44" fontId="2" fillId="3" borderId="8" xfId="0" applyNumberFormat="1" applyFont="1" applyFill="1" applyBorder="1" applyAlignment="1">
      <alignment horizontal="right"/>
    </xf>
    <xf numFmtId="44" fontId="2" fillId="3" borderId="9" xfId="0" applyNumberFormat="1" applyFont="1" applyFill="1" applyBorder="1" applyAlignment="1">
      <alignment horizontal="right"/>
    </xf>
    <xf numFmtId="1" fontId="17" fillId="3" borderId="1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37" fontId="2" fillId="3" borderId="10" xfId="1" applyNumberFormat="1" applyFont="1" applyFill="1" applyBorder="1" applyAlignment="1">
      <alignment horizontal="center"/>
    </xf>
    <xf numFmtId="44" fontId="2" fillId="3" borderId="12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3" borderId="1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3" fontId="2" fillId="3" borderId="11" xfId="1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2" fontId="20" fillId="3" borderId="10" xfId="0" applyNumberFormat="1" applyFont="1" applyFill="1" applyBorder="1" applyAlignment="1">
      <alignment horizontal="right"/>
    </xf>
    <xf numFmtId="42" fontId="20" fillId="3" borderId="0" xfId="0" applyNumberFormat="1" applyFont="1" applyFill="1" applyBorder="1" applyAlignment="1">
      <alignment horizontal="right"/>
    </xf>
    <xf numFmtId="42" fontId="20" fillId="3" borderId="11" xfId="0" applyNumberFormat="1" applyFont="1" applyFill="1" applyBorder="1" applyAlignment="1">
      <alignment horizontal="right"/>
    </xf>
    <xf numFmtId="41" fontId="2" fillId="3" borderId="13" xfId="0" applyNumberFormat="1" applyFont="1" applyFill="1" applyBorder="1" applyAlignment="1">
      <alignment horizontal="right"/>
    </xf>
    <xf numFmtId="41" fontId="2" fillId="3" borderId="5" xfId="0" applyNumberFormat="1" applyFont="1" applyFill="1" applyBorder="1" applyAlignment="1">
      <alignment horizontal="right"/>
    </xf>
    <xf numFmtId="41" fontId="2" fillId="3" borderId="14" xfId="0" applyNumberFormat="1" applyFont="1" applyFill="1" applyBorder="1" applyAlignment="1">
      <alignment horizontal="right"/>
    </xf>
    <xf numFmtId="42" fontId="11" fillId="3" borderId="12" xfId="0" applyNumberFormat="1" applyFont="1" applyFill="1" applyBorder="1" applyAlignment="1">
      <alignment horizontal="right"/>
    </xf>
    <xf numFmtId="42" fontId="11" fillId="3" borderId="6" xfId="0" applyNumberFormat="1" applyFont="1" applyFill="1" applyBorder="1" applyAlignment="1">
      <alignment horizontal="right"/>
    </xf>
    <xf numFmtId="42" fontId="11" fillId="3" borderId="7" xfId="0" applyNumberFormat="1" applyFont="1" applyFill="1" applyBorder="1" applyAlignment="1">
      <alignment horizontal="right"/>
    </xf>
    <xf numFmtId="42" fontId="2" fillId="2" borderId="15" xfId="0" applyNumberFormat="1" applyFont="1" applyFill="1" applyBorder="1" applyAlignment="1">
      <alignment horizontal="center"/>
    </xf>
    <xf numFmtId="42" fontId="2" fillId="2" borderId="1" xfId="0" applyNumberFormat="1" applyFont="1" applyFill="1" applyBorder="1" applyAlignment="1">
      <alignment horizontal="right"/>
    </xf>
    <xf numFmtId="42" fontId="2" fillId="2" borderId="2" xfId="0" applyNumberFormat="1" applyFont="1" applyFill="1" applyBorder="1" applyAlignment="1">
      <alignment horizontal="right"/>
    </xf>
    <xf numFmtId="42" fontId="2" fillId="2" borderId="3" xfId="0" applyNumberFormat="1" applyFont="1" applyFill="1" applyBorder="1" applyAlignment="1">
      <alignment horizontal="right"/>
    </xf>
    <xf numFmtId="0" fontId="13" fillId="3" borderId="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9" xfId="0" applyFont="1" applyFill="1" applyBorder="1"/>
    <xf numFmtId="3" fontId="20" fillId="3" borderId="1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7" fillId="3" borderId="10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2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9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0" fontId="4" fillId="3" borderId="17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1" fontId="4" fillId="3" borderId="1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44" fontId="4" fillId="3" borderId="16" xfId="0" applyNumberFormat="1" applyFont="1" applyFill="1" applyBorder="1" applyAlignment="1">
      <alignment horizontal="center"/>
    </xf>
    <xf numFmtId="44" fontId="22" fillId="3" borderId="16" xfId="0" applyNumberFormat="1" applyFont="1" applyFill="1" applyBorder="1" applyAlignment="1">
      <alignment horizontal="center"/>
    </xf>
    <xf numFmtId="44" fontId="4" fillId="3" borderId="10" xfId="0" applyNumberFormat="1" applyFont="1" applyFill="1" applyBorder="1" applyAlignment="1">
      <alignment horizontal="right"/>
    </xf>
    <xf numFmtId="44" fontId="4" fillId="3" borderId="0" xfId="0" applyNumberFormat="1" applyFont="1" applyFill="1" applyBorder="1" applyAlignment="1">
      <alignment horizontal="right"/>
    </xf>
    <xf numFmtId="44" fontId="4" fillId="3" borderId="11" xfId="0" applyNumberFormat="1" applyFont="1" applyFill="1" applyBorder="1" applyAlignment="1">
      <alignment horizontal="right"/>
    </xf>
    <xf numFmtId="10" fontId="17" fillId="3" borderId="0" xfId="4" applyNumberFormat="1" applyFont="1" applyFill="1" applyBorder="1" applyAlignment="1">
      <alignment horizontal="center"/>
    </xf>
    <xf numFmtId="10" fontId="4" fillId="3" borderId="19" xfId="0" applyNumberFormat="1" applyFont="1" applyFill="1" applyBorder="1" applyAlignment="1">
      <alignment horizontal="center"/>
    </xf>
    <xf numFmtId="1" fontId="23" fillId="3" borderId="0" xfId="0" applyNumberFormat="1" applyFont="1" applyFill="1" applyBorder="1" applyAlignment="1">
      <alignment horizontal="center"/>
    </xf>
    <xf numFmtId="1" fontId="23" fillId="3" borderId="11" xfId="0" applyNumberFormat="1" applyFont="1" applyFill="1" applyBorder="1" applyAlignment="1">
      <alignment horizontal="center"/>
    </xf>
    <xf numFmtId="1" fontId="23" fillId="3" borderId="10" xfId="0" applyNumberFormat="1" applyFont="1" applyFill="1" applyBorder="1" applyAlignment="1">
      <alignment horizontal="center"/>
    </xf>
    <xf numFmtId="42" fontId="20" fillId="3" borderId="10" xfId="0" applyNumberFormat="1" applyFont="1" applyFill="1" applyBorder="1" applyAlignment="1">
      <alignment horizontal="center"/>
    </xf>
    <xf numFmtId="42" fontId="20" fillId="3" borderId="0" xfId="0" applyNumberFormat="1" applyFont="1" applyFill="1" applyBorder="1" applyAlignment="1">
      <alignment horizontal="center"/>
    </xf>
    <xf numFmtId="42" fontId="20" fillId="3" borderId="11" xfId="0" applyNumberFormat="1" applyFont="1" applyFill="1" applyBorder="1" applyAlignment="1">
      <alignment horizontal="center"/>
    </xf>
    <xf numFmtId="44" fontId="2" fillId="3" borderId="0" xfId="0" applyNumberFormat="1" applyFont="1" applyFill="1"/>
    <xf numFmtId="44" fontId="2" fillId="3" borderId="0" xfId="0" applyNumberFormat="1" applyFont="1" applyFill="1" applyBorder="1"/>
    <xf numFmtId="44" fontId="2" fillId="3" borderId="17" xfId="0" applyNumberFormat="1" applyFont="1" applyFill="1" applyBorder="1" applyAlignment="1">
      <alignment horizontal="center"/>
    </xf>
    <xf numFmtId="0" fontId="8" fillId="3" borderId="1" xfId="3" applyFont="1" applyFill="1" applyBorder="1" applyAlignment="1">
      <alignment horizontal="centerContinuous"/>
    </xf>
    <xf numFmtId="0" fontId="9" fillId="3" borderId="2" xfId="3" applyFont="1" applyFill="1" applyBorder="1" applyAlignment="1">
      <alignment horizontal="centerContinuous"/>
    </xf>
    <xf numFmtId="0" fontId="7" fillId="3" borderId="3" xfId="3" applyFont="1" applyFill="1" applyBorder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0" fontId="8" fillId="3" borderId="2" xfId="3" applyFont="1" applyFill="1" applyBorder="1" applyAlignment="1">
      <alignment horizontal="centerContinuous"/>
    </xf>
    <xf numFmtId="0" fontId="7" fillId="3" borderId="2" xfId="3" applyFont="1" applyFill="1" applyBorder="1" applyAlignment="1">
      <alignment horizontal="centerContinuous"/>
    </xf>
    <xf numFmtId="44" fontId="4" fillId="0" borderId="0" xfId="0" applyNumberFormat="1" applyFont="1"/>
    <xf numFmtId="0" fontId="11" fillId="3" borderId="0" xfId="3" applyFont="1" applyFill="1" applyBorder="1" applyAlignment="1">
      <alignment horizontal="center"/>
    </xf>
    <xf numFmtId="0" fontId="11" fillId="3" borderId="10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3" borderId="8" xfId="0" applyFont="1" applyFill="1" applyBorder="1" applyAlignment="1">
      <alignment horizontal="center"/>
    </xf>
    <xf numFmtId="44" fontId="2" fillId="3" borderId="10" xfId="0" applyNumberFormat="1" applyFont="1" applyFill="1" applyBorder="1" applyAlignment="1">
      <alignment horizontal="center"/>
    </xf>
    <xf numFmtId="10" fontId="17" fillId="3" borderId="11" xfId="0" applyNumberFormat="1" applyFont="1" applyFill="1" applyBorder="1" applyAlignment="1">
      <alignment horizontal="right"/>
    </xf>
    <xf numFmtId="9" fontId="2" fillId="3" borderId="5" xfId="0" applyNumberFormat="1" applyFont="1" applyFill="1" applyBorder="1" applyAlignment="1">
      <alignment horizontal="center" wrapText="1"/>
    </xf>
    <xf numFmtId="41" fontId="2" fillId="3" borderId="5" xfId="0" applyNumberFormat="1" applyFont="1" applyFill="1" applyBorder="1" applyAlignment="1">
      <alignment horizontal="right" wrapText="1"/>
    </xf>
    <xf numFmtId="41" fontId="2" fillId="3" borderId="14" xfId="0" applyNumberFormat="1" applyFont="1" applyFill="1" applyBorder="1" applyAlignment="1">
      <alignment horizontal="right" wrapText="1"/>
    </xf>
    <xf numFmtId="41" fontId="2" fillId="3" borderId="18" xfId="0" applyNumberFormat="1" applyFont="1" applyFill="1" applyBorder="1" applyAlignment="1">
      <alignment horizontal="center" wrapText="1"/>
    </xf>
    <xf numFmtId="41" fontId="2" fillId="3" borderId="13" xfId="0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2" fontId="11" fillId="3" borderId="19" xfId="0" applyNumberFormat="1" applyFont="1" applyFill="1" applyBorder="1" applyAlignment="1">
      <alignment horizontal="center"/>
    </xf>
    <xf numFmtId="0" fontId="11" fillId="3" borderId="0" xfId="0" applyFont="1" applyFill="1" applyBorder="1"/>
    <xf numFmtId="3" fontId="17" fillId="3" borderId="16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10" fontId="17" fillId="3" borderId="16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3" fontId="2" fillId="3" borderId="9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wrapText="1"/>
    </xf>
    <xf numFmtId="43" fontId="17" fillId="3" borderId="16" xfId="0" applyNumberFormat="1" applyFont="1" applyFill="1" applyBorder="1" applyAlignment="1">
      <alignment horizontal="center"/>
    </xf>
    <xf numFmtId="43" fontId="2" fillId="3" borderId="10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43" fontId="2" fillId="3" borderId="11" xfId="0" applyNumberFormat="1" applyFont="1" applyFill="1" applyBorder="1" applyAlignment="1">
      <alignment horizontal="right"/>
    </xf>
    <xf numFmtId="42" fontId="17" fillId="3" borderId="16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44" fontId="2" fillId="0" borderId="0" xfId="0" applyNumberFormat="1" applyFont="1"/>
    <xf numFmtId="10" fontId="11" fillId="3" borderId="0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2" fillId="0" borderId="0" xfId="0" applyFont="1" applyFill="1"/>
    <xf numFmtId="0" fontId="20" fillId="3" borderId="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10" fontId="11" fillId="3" borderId="2" xfId="0" applyNumberFormat="1" applyFont="1" applyFill="1" applyBorder="1" applyAlignment="1">
      <alignment horizontal="center"/>
    </xf>
    <xf numFmtId="3" fontId="2" fillId="3" borderId="0" xfId="0" applyNumberFormat="1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43" fontId="17" fillId="3" borderId="0" xfId="2" applyNumberFormat="1" applyFont="1" applyFill="1" applyBorder="1" applyAlignment="1">
      <alignment horizontal="center"/>
    </xf>
    <xf numFmtId="43" fontId="2" fillId="3" borderId="0" xfId="2" applyNumberFormat="1" applyFont="1" applyFill="1" applyBorder="1" applyAlignment="1">
      <alignment horizontal="center"/>
    </xf>
    <xf numFmtId="43" fontId="2" fillId="3" borderId="0" xfId="2" applyNumberFormat="1" applyFont="1" applyFill="1" applyBorder="1"/>
    <xf numFmtId="43" fontId="11" fillId="3" borderId="16" xfId="2" applyNumberFormat="1" applyFont="1" applyFill="1" applyBorder="1"/>
    <xf numFmtId="170" fontId="2" fillId="3" borderId="0" xfId="0" applyNumberFormat="1" applyFont="1" applyFill="1"/>
    <xf numFmtId="43" fontId="17" fillId="3" borderId="6" xfId="2" applyNumberFormat="1" applyFont="1" applyFill="1" applyBorder="1" applyAlignment="1">
      <alignment horizontal="center"/>
    </xf>
    <xf numFmtId="43" fontId="2" fillId="3" borderId="6" xfId="2" applyNumberFormat="1" applyFont="1" applyFill="1" applyBorder="1" applyAlignment="1">
      <alignment horizontal="center"/>
    </xf>
    <xf numFmtId="43" fontId="2" fillId="3" borderId="6" xfId="2" applyNumberFormat="1" applyFont="1" applyFill="1" applyBorder="1"/>
    <xf numFmtId="43" fontId="11" fillId="3" borderId="17" xfId="2" applyNumberFormat="1" applyFont="1" applyFill="1" applyBorder="1"/>
    <xf numFmtId="0" fontId="2" fillId="4" borderId="9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44" fontId="2" fillId="3" borderId="11" xfId="0" applyNumberFormat="1" applyFont="1" applyFill="1" applyBorder="1"/>
    <xf numFmtId="43" fontId="2" fillId="3" borderId="7" xfId="0" applyNumberFormat="1" applyFont="1" applyFill="1" applyBorder="1"/>
    <xf numFmtId="0" fontId="2" fillId="0" borderId="0" xfId="0" applyFont="1" applyFill="1" applyAlignment="1">
      <alignment horizontal="center"/>
    </xf>
    <xf numFmtId="44" fontId="17" fillId="3" borderId="11" xfId="0" applyNumberFormat="1" applyFont="1" applyFill="1" applyBorder="1"/>
    <xf numFmtId="43" fontId="17" fillId="3" borderId="11" xfId="0" applyNumberFormat="1" applyFont="1" applyFill="1" applyBorder="1"/>
    <xf numFmtId="43" fontId="17" fillId="3" borderId="7" xfId="0" applyNumberFormat="1" applyFont="1" applyFill="1" applyBorder="1"/>
    <xf numFmtId="10" fontId="2" fillId="3" borderId="4" xfId="0" applyNumberFormat="1" applyFont="1" applyFill="1" applyBorder="1" applyAlignment="1">
      <alignment horizontal="center"/>
    </xf>
    <xf numFmtId="10" fontId="2" fillId="3" borderId="19" xfId="0" applyNumberFormat="1" applyFont="1" applyFill="1" applyBorder="1" applyAlignment="1">
      <alignment horizontal="center"/>
    </xf>
    <xf numFmtId="10" fontId="17" fillId="3" borderId="8" xfId="4" applyNumberFormat="1" applyFont="1" applyFill="1" applyBorder="1" applyAlignment="1">
      <alignment horizontal="center"/>
    </xf>
    <xf numFmtId="10" fontId="2" fillId="3" borderId="4" xfId="4" applyNumberFormat="1" applyFont="1" applyFill="1" applyBorder="1" applyAlignment="1">
      <alignment horizontal="center"/>
    </xf>
    <xf numFmtId="10" fontId="17" fillId="3" borderId="9" xfId="0" applyNumberFormat="1" applyFont="1" applyFill="1" applyBorder="1" applyAlignment="1">
      <alignment horizontal="center"/>
    </xf>
    <xf numFmtId="10" fontId="17" fillId="3" borderId="8" xfId="0" applyNumberFormat="1" applyFont="1" applyFill="1" applyBorder="1" applyAlignment="1">
      <alignment horizontal="center"/>
    </xf>
    <xf numFmtId="10" fontId="17" fillId="3" borderId="4" xfId="0" applyNumberFormat="1" applyFont="1" applyFill="1" applyBorder="1" applyAlignment="1">
      <alignment horizontal="center"/>
    </xf>
    <xf numFmtId="10" fontId="2" fillId="3" borderId="9" xfId="0" applyNumberFormat="1" applyFont="1" applyFill="1" applyBorder="1" applyAlignment="1">
      <alignment horizontal="center"/>
    </xf>
    <xf numFmtId="10" fontId="2" fillId="3" borderId="8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41" fontId="2" fillId="3" borderId="12" xfId="0" applyNumberFormat="1" applyFont="1" applyFill="1" applyBorder="1" applyAlignment="1">
      <alignment horizontal="center"/>
    </xf>
    <xf numFmtId="41" fontId="2" fillId="3" borderId="12" xfId="0" applyNumberFormat="1" applyFont="1" applyFill="1" applyBorder="1" applyAlignment="1">
      <alignment horizontal="right"/>
    </xf>
    <xf numFmtId="41" fontId="2" fillId="3" borderId="6" xfId="0" applyNumberFormat="1" applyFont="1" applyFill="1" applyBorder="1" applyAlignment="1">
      <alignment horizontal="right"/>
    </xf>
    <xf numFmtId="41" fontId="2" fillId="3" borderId="7" xfId="0" applyNumberFormat="1" applyFont="1" applyFill="1" applyBorder="1" applyAlignment="1">
      <alignment horizontal="right"/>
    </xf>
    <xf numFmtId="42" fontId="2" fillId="3" borderId="8" xfId="0" applyNumberFormat="1" applyFont="1" applyFill="1" applyBorder="1" applyAlignment="1">
      <alignment horizontal="center"/>
    </xf>
    <xf numFmtId="0" fontId="7" fillId="2" borderId="1" xfId="3" applyFont="1" applyFill="1" applyBorder="1" applyAlignment="1"/>
    <xf numFmtId="44" fontId="2" fillId="0" borderId="0" xfId="0" applyNumberFormat="1" applyFont="1" applyBorder="1"/>
    <xf numFmtId="41" fontId="17" fillId="3" borderId="17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3" borderId="0" xfId="0" applyFont="1" applyFill="1" applyBorder="1"/>
    <xf numFmtId="3" fontId="20" fillId="3" borderId="9" xfId="0" applyNumberFormat="1" applyFont="1" applyFill="1" applyBorder="1" applyAlignment="1">
      <alignment horizontal="center"/>
    </xf>
    <xf numFmtId="44" fontId="2" fillId="3" borderId="10" xfId="0" applyNumberFormat="1" applyFont="1" applyFill="1" applyBorder="1"/>
    <xf numFmtId="43" fontId="2" fillId="3" borderId="6" xfId="0" applyNumberFormat="1" applyFont="1" applyFill="1" applyBorder="1"/>
    <xf numFmtId="43" fontId="2" fillId="3" borderId="12" xfId="0" applyNumberFormat="1" applyFont="1" applyFill="1" applyBorder="1"/>
    <xf numFmtId="41" fontId="17" fillId="3" borderId="0" xfId="0" applyNumberFormat="1" applyFont="1" applyFill="1" applyBorder="1"/>
    <xf numFmtId="42" fontId="2" fillId="3" borderId="4" xfId="0" applyNumberFormat="1" applyFont="1" applyFill="1" applyBorder="1" applyAlignment="1">
      <alignment horizontal="center"/>
    </xf>
    <xf numFmtId="42" fontId="2" fillId="3" borderId="9" xfId="0" applyNumberFormat="1" applyFont="1" applyFill="1" applyBorder="1" applyAlignment="1">
      <alignment horizontal="center"/>
    </xf>
    <xf numFmtId="41" fontId="2" fillId="3" borderId="6" xfId="0" applyNumberFormat="1" applyFont="1" applyFill="1" applyBorder="1" applyAlignment="1">
      <alignment horizontal="center"/>
    </xf>
    <xf numFmtId="41" fontId="2" fillId="3" borderId="7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43" fontId="17" fillId="3" borderId="12" xfId="0" applyNumberFormat="1" applyFont="1" applyFill="1" applyBorder="1" applyAlignment="1">
      <alignment horizontal="center"/>
    </xf>
    <xf numFmtId="41" fontId="2" fillId="3" borderId="17" xfId="0" applyNumberFormat="1" applyFont="1" applyFill="1" applyBorder="1" applyAlignment="1">
      <alignment horizontal="center"/>
    </xf>
    <xf numFmtId="42" fontId="2" fillId="3" borderId="8" xfId="0" applyNumberFormat="1" applyFont="1" applyFill="1" applyBorder="1"/>
    <xf numFmtId="42" fontId="2" fillId="3" borderId="4" xfId="0" applyNumberFormat="1" applyFont="1" applyFill="1" applyBorder="1"/>
    <xf numFmtId="42" fontId="2" fillId="3" borderId="9" xfId="0" applyNumberFormat="1" applyFont="1" applyFill="1" applyBorder="1"/>
    <xf numFmtId="0" fontId="2" fillId="3" borderId="13" xfId="0" applyFont="1" applyFill="1" applyBorder="1"/>
    <xf numFmtId="0" fontId="11" fillId="3" borderId="12" xfId="0" applyFont="1" applyFill="1" applyBorder="1" applyAlignment="1">
      <alignment horizontal="left"/>
    </xf>
    <xf numFmtId="0" fontId="8" fillId="0" borderId="12" xfId="3" applyFont="1" applyFill="1" applyBorder="1" applyAlignment="1"/>
    <xf numFmtId="0" fontId="5" fillId="3" borderId="0" xfId="3" applyFont="1" applyFill="1" applyBorder="1" applyAlignment="1">
      <alignment horizontal="left"/>
    </xf>
    <xf numFmtId="0" fontId="8" fillId="3" borderId="4" xfId="3" applyFont="1" applyFill="1" applyBorder="1" applyAlignment="1"/>
    <xf numFmtId="0" fontId="8" fillId="3" borderId="4" xfId="3" applyFont="1" applyFill="1" applyBorder="1" applyAlignment="1">
      <alignment horizontal="right"/>
    </xf>
    <xf numFmtId="3" fontId="8" fillId="3" borderId="4" xfId="3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Continuous"/>
    </xf>
    <xf numFmtId="0" fontId="2" fillId="4" borderId="6" xfId="0" applyFont="1" applyFill="1" applyBorder="1" applyAlignment="1">
      <alignment horizontal="centerContinuous"/>
    </xf>
    <xf numFmtId="0" fontId="16" fillId="3" borderId="8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3" fillId="3" borderId="0" xfId="0" applyFont="1" applyFill="1" applyBorder="1"/>
    <xf numFmtId="42" fontId="17" fillId="3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42" fontId="2" fillId="3" borderId="0" xfId="0" applyNumberFormat="1" applyFont="1" applyFill="1" applyBorder="1"/>
    <xf numFmtId="43" fontId="2" fillId="3" borderId="11" xfId="0" applyNumberFormat="1" applyFont="1" applyFill="1" applyBorder="1"/>
    <xf numFmtId="172" fontId="2" fillId="3" borderId="0" xfId="0" applyNumberFormat="1" applyFont="1" applyFill="1" applyBorder="1" applyAlignment="1">
      <alignment horizontal="center"/>
    </xf>
    <xf numFmtId="172" fontId="17" fillId="3" borderId="5" xfId="0" applyNumberFormat="1" applyFont="1" applyFill="1" applyBorder="1" applyAlignment="1">
      <alignment horizontal="center"/>
    </xf>
    <xf numFmtId="41" fontId="17" fillId="3" borderId="5" xfId="0" applyNumberFormat="1" applyFont="1" applyFill="1" applyBorder="1"/>
    <xf numFmtId="43" fontId="2" fillId="3" borderId="14" xfId="0" applyNumberFormat="1" applyFont="1" applyFill="1" applyBorder="1"/>
    <xf numFmtId="0" fontId="24" fillId="3" borderId="12" xfId="0" applyFont="1" applyFill="1" applyBorder="1"/>
    <xf numFmtId="1" fontId="11" fillId="3" borderId="6" xfId="0" applyNumberFormat="1" applyFont="1" applyFill="1" applyBorder="1" applyAlignment="1">
      <alignment horizontal="center"/>
    </xf>
    <xf numFmtId="44" fontId="11" fillId="3" borderId="7" xfId="0" applyNumberFormat="1" applyFont="1" applyFill="1" applyBorder="1"/>
    <xf numFmtId="172" fontId="17" fillId="3" borderId="0" xfId="0" applyNumberFormat="1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4" fillId="3" borderId="8" xfId="0" applyFont="1" applyFill="1" applyBorder="1"/>
    <xf numFmtId="42" fontId="11" fillId="3" borderId="4" xfId="0" applyNumberFormat="1" applyFont="1" applyFill="1" applyBorder="1"/>
    <xf numFmtId="1" fontId="11" fillId="3" borderId="4" xfId="0" applyNumberFormat="1" applyFont="1" applyFill="1" applyBorder="1" applyAlignment="1">
      <alignment horizontal="center"/>
    </xf>
    <xf numFmtId="44" fontId="11" fillId="3" borderId="9" xfId="0" applyNumberFormat="1" applyFont="1" applyFill="1" applyBorder="1"/>
    <xf numFmtId="10" fontId="2" fillId="3" borderId="11" xfId="0" applyNumberFormat="1" applyFont="1" applyFill="1" applyBorder="1"/>
    <xf numFmtId="10" fontId="17" fillId="3" borderId="7" xfId="0" applyNumberFormat="1" applyFont="1" applyFill="1" applyBorder="1"/>
    <xf numFmtId="42" fontId="2" fillId="3" borderId="11" xfId="0" applyNumberFormat="1" applyFont="1" applyFill="1" applyBorder="1"/>
    <xf numFmtId="173" fontId="2" fillId="3" borderId="0" xfId="0" applyNumberFormat="1" applyFont="1" applyFill="1"/>
    <xf numFmtId="41" fontId="2" fillId="3" borderId="6" xfId="0" applyNumberFormat="1" applyFont="1" applyFill="1" applyBorder="1"/>
    <xf numFmtId="41" fontId="2" fillId="3" borderId="7" xfId="0" applyNumberFormat="1" applyFont="1" applyFill="1" applyBorder="1"/>
    <xf numFmtId="10" fontId="17" fillId="3" borderId="11" xfId="0" applyNumberFormat="1" applyFont="1" applyFill="1" applyBorder="1"/>
    <xf numFmtId="0" fontId="2" fillId="3" borderId="16" xfId="0" applyFont="1" applyFill="1" applyBorder="1"/>
    <xf numFmtId="42" fontId="2" fillId="3" borderId="16" xfId="0" applyNumberFormat="1" applyFont="1" applyFill="1" applyBorder="1"/>
    <xf numFmtId="41" fontId="2" fillId="3" borderId="16" xfId="0" applyNumberFormat="1" applyFont="1" applyFill="1" applyBorder="1"/>
    <xf numFmtId="41" fontId="2" fillId="3" borderId="18" xfId="0" applyNumberFormat="1" applyFont="1" applyFill="1" applyBorder="1"/>
    <xf numFmtId="42" fontId="11" fillId="3" borderId="17" xfId="0" applyNumberFormat="1" applyFont="1" applyFill="1" applyBorder="1"/>
    <xf numFmtId="0" fontId="2" fillId="3" borderId="23" xfId="0" applyFont="1" applyFill="1" applyBorder="1"/>
    <xf numFmtId="42" fontId="11" fillId="3" borderId="19" xfId="0" applyNumberFormat="1" applyFont="1" applyFill="1" applyBorder="1"/>
    <xf numFmtId="0" fontId="11" fillId="3" borderId="8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42" fontId="2" fillId="3" borderId="10" xfId="0" applyNumberFormat="1" applyFont="1" applyFill="1" applyBorder="1"/>
    <xf numFmtId="41" fontId="17" fillId="3" borderId="11" xfId="0" applyNumberFormat="1" applyFont="1" applyFill="1" applyBorder="1"/>
    <xf numFmtId="41" fontId="17" fillId="3" borderId="14" xfId="0" applyNumberFormat="1" applyFont="1" applyFill="1" applyBorder="1"/>
    <xf numFmtId="42" fontId="17" fillId="3" borderId="11" xfId="0" applyNumberFormat="1" applyFont="1" applyFill="1" applyBorder="1"/>
    <xf numFmtId="41" fontId="17" fillId="3" borderId="10" xfId="0" applyNumberFormat="1" applyFont="1" applyFill="1" applyBorder="1"/>
    <xf numFmtId="41" fontId="17" fillId="3" borderId="13" xfId="0" applyNumberFormat="1" applyFont="1" applyFill="1" applyBorder="1"/>
    <xf numFmtId="42" fontId="11" fillId="3" borderId="8" xfId="0" applyNumberFormat="1" applyFont="1" applyFill="1" applyBorder="1"/>
    <xf numFmtId="42" fontId="11" fillId="3" borderId="9" xfId="0" applyNumberFormat="1" applyFont="1" applyFill="1" applyBorder="1"/>
    <xf numFmtId="42" fontId="17" fillId="3" borderId="10" xfId="0" applyNumberFormat="1" applyFont="1" applyFill="1" applyBorder="1"/>
    <xf numFmtId="41" fontId="17" fillId="3" borderId="10" xfId="0" applyNumberFormat="1" applyFont="1" applyFill="1" applyBorder="1" applyAlignment="1"/>
    <xf numFmtId="41" fontId="17" fillId="3" borderId="13" xfId="0" applyNumberFormat="1" applyFont="1" applyFill="1" applyBorder="1" applyAlignment="1"/>
    <xf numFmtId="3" fontId="17" fillId="3" borderId="14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1" fillId="3" borderId="8" xfId="0" applyFont="1" applyFill="1" applyBorder="1"/>
    <xf numFmtId="3" fontId="20" fillId="3" borderId="0" xfId="0" applyNumberFormat="1" applyFont="1" applyFill="1" applyAlignment="1">
      <alignment horizontal="center"/>
    </xf>
    <xf numFmtId="41" fontId="20" fillId="3" borderId="0" xfId="0" applyNumberFormat="1" applyFont="1" applyFill="1"/>
    <xf numFmtId="43" fontId="0" fillId="3" borderId="0" xfId="0" applyNumberFormat="1" applyFill="1"/>
    <xf numFmtId="0" fontId="0" fillId="4" borderId="4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16" fontId="2" fillId="3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1" fontId="20" fillId="3" borderId="6" xfId="0" applyNumberFormat="1" applyFont="1" applyFill="1" applyBorder="1"/>
    <xf numFmtId="41" fontId="20" fillId="3" borderId="12" xfId="0" applyNumberFormat="1" applyFont="1" applyFill="1" applyBorder="1"/>
    <xf numFmtId="41" fontId="20" fillId="3" borderId="7" xfId="0" applyNumberFormat="1" applyFont="1" applyFill="1" applyBorder="1"/>
    <xf numFmtId="44" fontId="0" fillId="3" borderId="16" xfId="0" applyNumberFormat="1" applyFill="1" applyBorder="1"/>
    <xf numFmtId="43" fontId="0" fillId="3" borderId="16" xfId="0" applyNumberFormat="1" applyFill="1" applyBorder="1"/>
    <xf numFmtId="43" fontId="0" fillId="3" borderId="17" xfId="0" applyNumberFormat="1" applyFill="1" applyBorder="1"/>
    <xf numFmtId="3" fontId="20" fillId="3" borderId="12" xfId="0" applyNumberFormat="1" applyFont="1" applyFill="1" applyBorder="1" applyAlignment="1">
      <alignment horizontal="center"/>
    </xf>
    <xf numFmtId="42" fontId="0" fillId="3" borderId="16" xfId="0" applyNumberFormat="1" applyFill="1" applyBorder="1"/>
    <xf numFmtId="41" fontId="0" fillId="3" borderId="16" xfId="0" applyNumberFormat="1" applyFill="1" applyBorder="1"/>
    <xf numFmtId="41" fontId="0" fillId="3" borderId="17" xfId="0" applyNumberFormat="1" applyFill="1" applyBorder="1"/>
    <xf numFmtId="0" fontId="0" fillId="4" borderId="6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3" fontId="11" fillId="3" borderId="12" xfId="0" applyNumberFormat="1" applyFont="1" applyFill="1" applyBorder="1" applyAlignment="1">
      <alignment horizontal="center"/>
    </xf>
    <xf numFmtId="44" fontId="11" fillId="3" borderId="17" xfId="0" applyNumberFormat="1" applyFont="1" applyFill="1" applyBorder="1"/>
    <xf numFmtId="0" fontId="0" fillId="3" borderId="5" xfId="0" applyFill="1" applyBorder="1"/>
    <xf numFmtId="41" fontId="20" fillId="3" borderId="4" xfId="0" applyNumberFormat="1" applyFont="1" applyFill="1" applyBorder="1"/>
    <xf numFmtId="3" fontId="20" fillId="3" borderId="4" xfId="0" applyNumberFormat="1" applyFont="1" applyFill="1" applyBorder="1" applyAlignment="1">
      <alignment horizontal="center"/>
    </xf>
    <xf numFmtId="41" fontId="11" fillId="3" borderId="11" xfId="0" applyNumberFormat="1" applyFont="1" applyFill="1" applyBorder="1"/>
    <xf numFmtId="41" fontId="16" fillId="4" borderId="2" xfId="0" applyNumberFormat="1" applyFont="1" applyFill="1" applyBorder="1" applyAlignment="1">
      <alignment horizontal="centerContinuous"/>
    </xf>
    <xf numFmtId="3" fontId="16" fillId="4" borderId="2" xfId="0" applyNumberFormat="1" applyFont="1" applyFill="1" applyBorder="1" applyAlignment="1">
      <alignment horizontal="centerContinuous"/>
    </xf>
    <xf numFmtId="41" fontId="16" fillId="4" borderId="3" xfId="0" applyNumberFormat="1" applyFont="1" applyFill="1" applyBorder="1" applyAlignment="1">
      <alignment horizontal="centerContinuous"/>
    </xf>
    <xf numFmtId="41" fontId="7" fillId="0" borderId="0" xfId="3" applyNumberFormat="1" applyFont="1" applyAlignment="1"/>
    <xf numFmtId="42" fontId="8" fillId="0" borderId="9" xfId="3" applyNumberFormat="1" applyFont="1" applyFill="1" applyBorder="1" applyAlignment="1"/>
    <xf numFmtId="41" fontId="8" fillId="0" borderId="7" xfId="3" applyNumberFormat="1" applyFont="1" applyFill="1" applyBorder="1" applyAlignment="1"/>
    <xf numFmtId="42" fontId="8" fillId="0" borderId="0" xfId="3" applyNumberFormat="1" applyFont="1" applyBorder="1" applyAlignment="1"/>
    <xf numFmtId="0" fontId="8" fillId="3" borderId="4" xfId="3" applyFont="1" applyFill="1" applyBorder="1" applyAlignment="1">
      <alignment horizontal="left"/>
    </xf>
    <xf numFmtId="0" fontId="8" fillId="0" borderId="6" xfId="3" applyFont="1" applyFill="1" applyBorder="1" applyAlignment="1"/>
    <xf numFmtId="0" fontId="2" fillId="3" borderId="0" xfId="3" applyFont="1" applyFill="1"/>
    <xf numFmtId="166" fontId="2" fillId="3" borderId="0" xfId="3" applyNumberFormat="1" applyFont="1" applyFill="1" applyBorder="1"/>
    <xf numFmtId="0" fontId="2" fillId="3" borderId="0" xfId="3" applyFont="1" applyFill="1" applyBorder="1"/>
    <xf numFmtId="10" fontId="2" fillId="3" borderId="0" xfId="3" applyNumberFormat="1" applyFont="1" applyFill="1" applyBorder="1"/>
    <xf numFmtId="0" fontId="2" fillId="3" borderId="10" xfId="3" applyFont="1" applyFill="1" applyBorder="1"/>
    <xf numFmtId="0" fontId="2" fillId="3" borderId="11" xfId="3" applyFont="1" applyFill="1" applyBorder="1"/>
    <xf numFmtId="0" fontId="2" fillId="3" borderId="6" xfId="3" applyFont="1" applyFill="1" applyBorder="1"/>
    <xf numFmtId="0" fontId="2" fillId="4" borderId="4" xfId="3" applyFont="1" applyFill="1" applyBorder="1" applyAlignment="1">
      <alignment horizontal="centerContinuous"/>
    </xf>
    <xf numFmtId="0" fontId="2" fillId="4" borderId="9" xfId="3" applyFont="1" applyFill="1" applyBorder="1" applyAlignment="1">
      <alignment horizontal="centerContinuous"/>
    </xf>
    <xf numFmtId="0" fontId="2" fillId="4" borderId="6" xfId="3" applyFont="1" applyFill="1" applyBorder="1" applyAlignment="1">
      <alignment horizontal="centerContinuous"/>
    </xf>
    <xf numFmtId="0" fontId="11" fillId="4" borderId="7" xfId="3" applyFont="1" applyFill="1" applyBorder="1" applyAlignment="1">
      <alignment horizontal="centerContinuous"/>
    </xf>
    <xf numFmtId="0" fontId="2" fillId="3" borderId="5" xfId="3" applyFont="1" applyFill="1" applyBorder="1"/>
    <xf numFmtId="174" fontId="2" fillId="3" borderId="0" xfId="4" applyNumberFormat="1" applyFont="1" applyFill="1"/>
    <xf numFmtId="42" fontId="20" fillId="3" borderId="11" xfId="3" applyNumberFormat="1" applyFont="1" applyFill="1" applyBorder="1"/>
    <xf numFmtId="41" fontId="2" fillId="3" borderId="11" xfId="3" applyNumberFormat="1" applyFont="1" applyFill="1" applyBorder="1"/>
    <xf numFmtId="0" fontId="2" fillId="3" borderId="13" xfId="3" applyFont="1" applyFill="1" applyBorder="1"/>
    <xf numFmtId="41" fontId="2" fillId="3" borderId="14" xfId="3" applyNumberFormat="1" applyFont="1" applyFill="1" applyBorder="1"/>
    <xf numFmtId="0" fontId="11" fillId="3" borderId="12" xfId="3" applyFont="1" applyFill="1" applyBorder="1"/>
    <xf numFmtId="0" fontId="11" fillId="3" borderId="6" xfId="3" applyFont="1" applyFill="1" applyBorder="1"/>
    <xf numFmtId="0" fontId="13" fillId="3" borderId="10" xfId="3" applyFont="1" applyFill="1" applyBorder="1"/>
    <xf numFmtId="42" fontId="11" fillId="3" borderId="7" xfId="3" applyNumberFormat="1" applyFont="1" applyFill="1" applyBorder="1"/>
    <xf numFmtId="0" fontId="8" fillId="2" borderId="3" xfId="3" applyFont="1" applyFill="1" applyBorder="1" applyAlignment="1">
      <alignment horizontal="center"/>
    </xf>
    <xf numFmtId="6" fontId="2" fillId="3" borderId="0" xfId="3" applyNumberFormat="1" applyFont="1" applyFill="1"/>
    <xf numFmtId="8" fontId="2" fillId="3" borderId="0" xfId="3" applyNumberFormat="1" applyFont="1" applyFill="1"/>
    <xf numFmtId="164" fontId="2" fillId="3" borderId="0" xfId="3" applyNumberFormat="1" applyFont="1" applyFill="1"/>
    <xf numFmtId="6" fontId="2" fillId="3" borderId="0" xfId="3" applyNumberFormat="1" applyFont="1" applyFill="1" applyBorder="1"/>
    <xf numFmtId="0" fontId="2" fillId="3" borderId="19" xfId="3" applyFont="1" applyFill="1" applyBorder="1"/>
    <xf numFmtId="0" fontId="2" fillId="3" borderId="16" xfId="3" applyFont="1" applyFill="1" applyBorder="1"/>
    <xf numFmtId="0" fontId="11" fillId="3" borderId="17" xfId="3" applyFont="1" applyFill="1" applyBorder="1" applyAlignment="1">
      <alignment horizontal="center"/>
    </xf>
    <xf numFmtId="41" fontId="2" fillId="3" borderId="5" xfId="3" applyNumberFormat="1" applyFont="1" applyFill="1" applyBorder="1"/>
    <xf numFmtId="42" fontId="20" fillId="3" borderId="0" xfId="3" applyNumberFormat="1" applyFont="1" applyFill="1" applyBorder="1"/>
    <xf numFmtId="42" fontId="2" fillId="3" borderId="11" xfId="3" applyNumberFormat="1" applyFont="1" applyFill="1" applyBorder="1"/>
    <xf numFmtId="41" fontId="20" fillId="3" borderId="0" xfId="3" applyNumberFormat="1" applyFont="1" applyFill="1" applyBorder="1"/>
    <xf numFmtId="42" fontId="11" fillId="3" borderId="6" xfId="3" applyNumberFormat="1" applyFont="1" applyFill="1" applyBorder="1"/>
    <xf numFmtId="42" fontId="20" fillId="3" borderId="10" xfId="3" applyNumberFormat="1" applyFont="1" applyFill="1" applyBorder="1"/>
    <xf numFmtId="41" fontId="20" fillId="3" borderId="10" xfId="3" applyNumberFormat="1" applyFont="1" applyFill="1" applyBorder="1"/>
    <xf numFmtId="41" fontId="20" fillId="3" borderId="11" xfId="3" applyNumberFormat="1" applyFont="1" applyFill="1" applyBorder="1"/>
    <xf numFmtId="41" fontId="17" fillId="3" borderId="13" xfId="3" applyNumberFormat="1" applyFont="1" applyFill="1" applyBorder="1"/>
    <xf numFmtId="42" fontId="11" fillId="3" borderId="12" xfId="3" applyNumberFormat="1" applyFont="1" applyFill="1" applyBorder="1"/>
    <xf numFmtId="42" fontId="20" fillId="3" borderId="16" xfId="3" applyNumberFormat="1" applyFont="1" applyFill="1" applyBorder="1"/>
    <xf numFmtId="42" fontId="11" fillId="3" borderId="17" xfId="3" applyNumberFormat="1" applyFont="1" applyFill="1" applyBorder="1"/>
    <xf numFmtId="0" fontId="18" fillId="4" borderId="4" xfId="3" applyFont="1" applyFill="1" applyBorder="1" applyAlignment="1">
      <alignment horizontal="centerContinuous"/>
    </xf>
    <xf numFmtId="0" fontId="18" fillId="4" borderId="9" xfId="3" applyFont="1" applyFill="1" applyBorder="1" applyAlignment="1">
      <alignment horizontal="centerContinuous"/>
    </xf>
    <xf numFmtId="0" fontId="18" fillId="4" borderId="6" xfId="3" applyFont="1" applyFill="1" applyBorder="1" applyAlignment="1">
      <alignment horizontal="centerContinuous"/>
    </xf>
    <xf numFmtId="6" fontId="18" fillId="4" borderId="6" xfId="3" applyNumberFormat="1" applyFont="1" applyFill="1" applyBorder="1" applyAlignment="1">
      <alignment horizontal="centerContinuous"/>
    </xf>
    <xf numFmtId="0" fontId="18" fillId="4" borderId="7" xfId="3" applyFont="1" applyFill="1" applyBorder="1" applyAlignment="1">
      <alignment horizontal="centerContinuous"/>
    </xf>
    <xf numFmtId="42" fontId="2" fillId="3" borderId="16" xfId="3" applyNumberFormat="1" applyFont="1" applyFill="1" applyBorder="1"/>
    <xf numFmtId="41" fontId="2" fillId="3" borderId="16" xfId="3" applyNumberFormat="1" applyFont="1" applyFill="1" applyBorder="1"/>
    <xf numFmtId="41" fontId="2" fillId="3" borderId="18" xfId="3" applyNumberFormat="1" applyFont="1" applyFill="1" applyBorder="1"/>
    <xf numFmtId="6" fontId="2" fillId="3" borderId="17" xfId="3" applyNumberFormat="1" applyFont="1" applyFill="1" applyBorder="1"/>
    <xf numFmtId="0" fontId="2" fillId="3" borderId="8" xfId="3" applyFont="1" applyFill="1" applyBorder="1"/>
    <xf numFmtId="6" fontId="2" fillId="3" borderId="4" xfId="3" applyNumberFormat="1" applyFont="1" applyFill="1" applyBorder="1"/>
    <xf numFmtId="6" fontId="2" fillId="3" borderId="9" xfId="3" applyNumberFormat="1" applyFont="1" applyFill="1" applyBorder="1"/>
    <xf numFmtId="6" fontId="2" fillId="3" borderId="11" xfId="3" applyNumberFormat="1" applyFont="1" applyFill="1" applyBorder="1"/>
    <xf numFmtId="42" fontId="2" fillId="3" borderId="0" xfId="3" applyNumberFormat="1" applyFont="1" applyFill="1" applyBorder="1"/>
    <xf numFmtId="0" fontId="2" fillId="3" borderId="12" xfId="3" applyFont="1" applyFill="1" applyBorder="1"/>
    <xf numFmtId="41" fontId="2" fillId="3" borderId="6" xfId="3" applyNumberFormat="1" applyFont="1" applyFill="1" applyBorder="1"/>
    <xf numFmtId="6" fontId="2" fillId="3" borderId="19" xfId="3" applyNumberFormat="1" applyFont="1" applyFill="1" applyBorder="1"/>
    <xf numFmtId="6" fontId="2" fillId="3" borderId="16" xfId="3" applyNumberFormat="1" applyFont="1" applyFill="1" applyBorder="1"/>
    <xf numFmtId="41" fontId="2" fillId="3" borderId="13" xfId="3" applyNumberFormat="1" applyFont="1" applyFill="1" applyBorder="1"/>
    <xf numFmtId="6" fontId="2" fillId="3" borderId="8" xfId="3" applyNumberFormat="1" applyFont="1" applyFill="1" applyBorder="1"/>
    <xf numFmtId="6" fontId="2" fillId="3" borderId="10" xfId="3" applyNumberFormat="1" applyFont="1" applyFill="1" applyBorder="1"/>
    <xf numFmtId="42" fontId="2" fillId="3" borderId="10" xfId="3" applyNumberFormat="1" applyFont="1" applyFill="1" applyBorder="1"/>
    <xf numFmtId="41" fontId="2" fillId="3" borderId="12" xfId="3" applyNumberFormat="1" applyFont="1" applyFill="1" applyBorder="1"/>
    <xf numFmtId="41" fontId="2" fillId="3" borderId="7" xfId="3" applyNumberFormat="1" applyFont="1" applyFill="1" applyBorder="1"/>
    <xf numFmtId="10" fontId="17" fillId="3" borderId="7" xfId="3" applyNumberFormat="1" applyFont="1" applyFill="1" applyBorder="1" applyAlignment="1">
      <alignment horizontal="centerContinuous"/>
    </xf>
    <xf numFmtId="0" fontId="16" fillId="4" borderId="1" xfId="3" applyFont="1" applyFill="1" applyBorder="1" applyAlignment="1">
      <alignment horizontal="centerContinuous"/>
    </xf>
    <xf numFmtId="6" fontId="16" fillId="4" borderId="3" xfId="3" applyNumberFormat="1" applyFont="1" applyFill="1" applyBorder="1" applyAlignment="1">
      <alignment horizontal="centerContinuous"/>
    </xf>
    <xf numFmtId="41" fontId="2" fillId="3" borderId="10" xfId="3" applyNumberFormat="1" applyFont="1" applyFill="1" applyBorder="1"/>
    <xf numFmtId="41" fontId="2" fillId="3" borderId="0" xfId="3" applyNumberFormat="1" applyFont="1" applyFill="1" applyBorder="1"/>
    <xf numFmtId="0" fontId="11" fillId="3" borderId="0" xfId="3" applyFont="1" applyFill="1" applyBorder="1"/>
    <xf numFmtId="42" fontId="11" fillId="3" borderId="0" xfId="3" applyNumberFormat="1" applyFont="1" applyFill="1" applyBorder="1"/>
    <xf numFmtId="42" fontId="11" fillId="3" borderId="15" xfId="3" applyNumberFormat="1" applyFont="1" applyFill="1" applyBorder="1"/>
    <xf numFmtId="42" fontId="11" fillId="3" borderId="16" xfId="3" applyNumberFormat="1" applyFont="1" applyFill="1" applyBorder="1"/>
    <xf numFmtId="0" fontId="11" fillId="3" borderId="8" xfId="3" applyFont="1" applyFill="1" applyBorder="1"/>
    <xf numFmtId="42" fontId="11" fillId="3" borderId="19" xfId="3" applyNumberFormat="1" applyFont="1" applyFill="1" applyBorder="1"/>
    <xf numFmtId="42" fontId="11" fillId="3" borderId="4" xfId="3" applyNumberFormat="1" applyFont="1" applyFill="1" applyBorder="1"/>
    <xf numFmtId="42" fontId="11" fillId="3" borderId="1" xfId="3" applyNumberFormat="1" applyFont="1" applyFill="1" applyBorder="1"/>
    <xf numFmtId="42" fontId="11" fillId="3" borderId="10" xfId="3" applyNumberFormat="1" applyFont="1" applyFill="1" applyBorder="1"/>
    <xf numFmtId="42" fontId="11" fillId="3" borderId="8" xfId="3" applyNumberFormat="1" applyFont="1" applyFill="1" applyBorder="1"/>
    <xf numFmtId="42" fontId="11" fillId="3" borderId="11" xfId="3" applyNumberFormat="1" applyFont="1" applyFill="1" applyBorder="1"/>
    <xf numFmtId="42" fontId="11" fillId="3" borderId="9" xfId="3" applyNumberFormat="1" applyFont="1" applyFill="1" applyBorder="1"/>
    <xf numFmtId="41" fontId="2" fillId="3" borderId="1" xfId="3" applyNumberFormat="1" applyFont="1" applyFill="1" applyBorder="1"/>
    <xf numFmtId="41" fontId="2" fillId="3" borderId="2" xfId="3" applyNumberFormat="1" applyFont="1" applyFill="1" applyBorder="1"/>
    <xf numFmtId="41" fontId="2" fillId="3" borderId="3" xfId="3" applyNumberFormat="1" applyFont="1" applyFill="1" applyBorder="1"/>
    <xf numFmtId="10" fontId="17" fillId="3" borderId="9" xfId="3" applyNumberFormat="1" applyFont="1" applyFill="1" applyBorder="1" applyAlignment="1">
      <alignment horizontal="centerContinuous"/>
    </xf>
    <xf numFmtId="10" fontId="11" fillId="3" borderId="15" xfId="3" applyNumberFormat="1" applyFont="1" applyFill="1" applyBorder="1" applyAlignment="1">
      <alignment horizontal="center"/>
    </xf>
    <xf numFmtId="0" fontId="9" fillId="3" borderId="1" xfId="3" applyFont="1" applyFill="1" applyBorder="1" applyAlignment="1">
      <alignment wrapText="1"/>
    </xf>
    <xf numFmtId="0" fontId="9" fillId="3" borderId="2" xfId="3" applyFont="1" applyFill="1" applyBorder="1" applyAlignment="1">
      <alignment wrapText="1"/>
    </xf>
    <xf numFmtId="0" fontId="8" fillId="3" borderId="2" xfId="3" applyFont="1" applyFill="1" applyBorder="1" applyAlignment="1">
      <alignment wrapText="1"/>
    </xf>
    <xf numFmtId="0" fontId="8" fillId="3" borderId="1" xfId="3" applyFont="1" applyFill="1" applyBorder="1" applyAlignment="1">
      <alignment horizontal="center"/>
    </xf>
    <xf numFmtId="0" fontId="8" fillId="3" borderId="15" xfId="3" applyFont="1" applyFill="1" applyBorder="1" applyAlignment="1">
      <alignment horizontal="center"/>
    </xf>
    <xf numFmtId="0" fontId="25" fillId="3" borderId="10" xfId="3" applyFont="1" applyFill="1" applyBorder="1" applyAlignment="1"/>
    <xf numFmtId="0" fontId="8" fillId="3" borderId="0" xfId="3" applyFont="1" applyFill="1" applyBorder="1" applyAlignment="1"/>
    <xf numFmtId="0" fontId="7" fillId="3" borderId="0" xfId="3" applyFont="1" applyFill="1" applyBorder="1" applyAlignment="1"/>
    <xf numFmtId="0" fontId="7" fillId="3" borderId="10" xfId="3" applyFont="1" applyFill="1" applyBorder="1" applyAlignment="1"/>
    <xf numFmtId="3" fontId="7" fillId="3" borderId="0" xfId="3" applyNumberFormat="1" applyFont="1" applyFill="1" applyBorder="1" applyAlignment="1"/>
    <xf numFmtId="42" fontId="21" fillId="3" borderId="10" xfId="3" applyNumberFormat="1" applyFont="1" applyFill="1" applyBorder="1" applyAlignment="1"/>
    <xf numFmtId="41" fontId="21" fillId="3" borderId="10" xfId="3" applyNumberFormat="1" applyFont="1" applyFill="1" applyBorder="1" applyAlignment="1"/>
    <xf numFmtId="41" fontId="15" fillId="3" borderId="10" xfId="3" applyNumberFormat="1" applyFont="1" applyFill="1" applyBorder="1" applyAlignment="1"/>
    <xf numFmtId="0" fontId="7" fillId="3" borderId="13" xfId="3" applyFont="1" applyFill="1" applyBorder="1" applyAlignment="1"/>
    <xf numFmtId="0" fontId="7" fillId="3" borderId="5" xfId="3" applyFont="1" applyFill="1" applyBorder="1" applyAlignment="1"/>
    <xf numFmtId="0" fontId="8" fillId="3" borderId="12" xfId="3" applyFont="1" applyFill="1" applyBorder="1" applyAlignment="1"/>
    <xf numFmtId="0" fontId="8" fillId="3" borderId="6" xfId="3" applyFont="1" applyFill="1" applyBorder="1" applyAlignment="1"/>
    <xf numFmtId="0" fontId="7" fillId="3" borderId="6" xfId="3" applyFont="1" applyFill="1" applyBorder="1" applyAlignment="1"/>
    <xf numFmtId="42" fontId="8" fillId="3" borderId="12" xfId="3" applyNumberFormat="1" applyFont="1" applyFill="1" applyBorder="1" applyAlignment="1"/>
    <xf numFmtId="0" fontId="8" fillId="3" borderId="1" xfId="3" applyFont="1" applyFill="1" applyBorder="1" applyAlignment="1">
      <alignment horizontal="left"/>
    </xf>
    <xf numFmtId="0" fontId="8" fillId="3" borderId="2" xfId="3" applyFont="1" applyFill="1" applyBorder="1" applyAlignment="1">
      <alignment horizontal="left" wrapText="1"/>
    </xf>
    <xf numFmtId="0" fontId="7" fillId="3" borderId="2" xfId="3" applyFont="1" applyFill="1" applyBorder="1" applyAlignment="1">
      <alignment wrapText="1"/>
    </xf>
    <xf numFmtId="0" fontId="7" fillId="3" borderId="10" xfId="3" applyFont="1" applyFill="1" applyBorder="1" applyAlignment="1">
      <alignment horizontal="left"/>
    </xf>
    <xf numFmtId="0" fontId="7" fillId="3" borderId="0" xfId="3" applyFont="1" applyFill="1" applyBorder="1" applyAlignment="1">
      <alignment horizontal="right"/>
    </xf>
    <xf numFmtId="165" fontId="7" fillId="3" borderId="10" xfId="3" applyNumberFormat="1" applyFont="1" applyFill="1" applyBorder="1" applyAlignment="1">
      <alignment horizontal="right"/>
    </xf>
    <xf numFmtId="42" fontId="7" fillId="3" borderId="16" xfId="3" applyNumberFormat="1" applyFont="1" applyFill="1" applyBorder="1" applyAlignment="1"/>
    <xf numFmtId="41" fontId="7" fillId="3" borderId="10" xfId="3" applyNumberFormat="1" applyFont="1" applyFill="1" applyBorder="1" applyAlignment="1">
      <alignment horizontal="right"/>
    </xf>
    <xf numFmtId="41" fontId="7" fillId="3" borderId="16" xfId="3" applyNumberFormat="1" applyFont="1" applyFill="1" applyBorder="1" applyAlignment="1"/>
    <xf numFmtId="43" fontId="7" fillId="3" borderId="10" xfId="3" applyNumberFormat="1" applyFont="1" applyFill="1" applyBorder="1" applyAlignment="1">
      <alignment horizontal="right"/>
    </xf>
    <xf numFmtId="43" fontId="15" fillId="3" borderId="10" xfId="3" applyNumberFormat="1" applyFont="1" applyFill="1" applyBorder="1" applyAlignment="1">
      <alignment horizontal="right"/>
    </xf>
    <xf numFmtId="0" fontId="8" fillId="3" borderId="2" xfId="3" applyFont="1" applyFill="1" applyBorder="1" applyAlignment="1"/>
    <xf numFmtId="0" fontId="7" fillId="3" borderId="3" xfId="3" applyFont="1" applyFill="1" applyBorder="1" applyAlignment="1"/>
    <xf numFmtId="42" fontId="7" fillId="3" borderId="10" xfId="3" applyNumberFormat="1" applyFont="1" applyFill="1" applyBorder="1" applyAlignment="1"/>
    <xf numFmtId="42" fontId="21" fillId="3" borderId="16" xfId="3" applyNumberFormat="1" applyFont="1" applyFill="1" applyBorder="1" applyAlignment="1"/>
    <xf numFmtId="41" fontId="7" fillId="3" borderId="10" xfId="3" applyNumberFormat="1" applyFont="1" applyFill="1" applyBorder="1" applyAlignment="1"/>
    <xf numFmtId="41" fontId="21" fillId="3" borderId="16" xfId="3" applyNumberFormat="1" applyFont="1" applyFill="1" applyBorder="1" applyAlignment="1"/>
    <xf numFmtId="0" fontId="7" fillId="3" borderId="13" xfId="3" applyFont="1" applyFill="1" applyBorder="1" applyAlignment="1">
      <alignment horizontal="left"/>
    </xf>
    <xf numFmtId="0" fontId="8" fillId="3" borderId="10" xfId="3" applyFont="1" applyFill="1" applyBorder="1" applyAlignment="1">
      <alignment horizontal="left"/>
    </xf>
    <xf numFmtId="0" fontId="8" fillId="3" borderId="0" xfId="3" applyFont="1" applyFill="1" applyBorder="1" applyAlignment="1">
      <alignment horizontal="right"/>
    </xf>
    <xf numFmtId="42" fontId="8" fillId="3" borderId="19" xfId="3" applyNumberFormat="1" applyFont="1" applyFill="1" applyBorder="1" applyAlignment="1"/>
    <xf numFmtId="0" fontId="8" fillId="3" borderId="2" xfId="3" applyFont="1" applyFill="1" applyBorder="1" applyAlignment="1">
      <alignment horizontal="right"/>
    </xf>
    <xf numFmtId="0" fontId="6" fillId="3" borderId="2" xfId="3" applyFont="1" applyFill="1" applyBorder="1" applyAlignment="1"/>
    <xf numFmtId="0" fontId="6" fillId="3" borderId="15" xfId="3" applyFont="1" applyFill="1" applyBorder="1" applyAlignment="1"/>
    <xf numFmtId="42" fontId="8" fillId="3" borderId="15" xfId="3" applyNumberFormat="1" applyFont="1" applyFill="1" applyBorder="1" applyAlignment="1"/>
    <xf numFmtId="168" fontId="21" fillId="3" borderId="0" xfId="3" applyNumberFormat="1" applyFont="1" applyFill="1" applyBorder="1" applyAlignment="1">
      <alignment horizontal="center"/>
    </xf>
    <xf numFmtId="3" fontId="21" fillId="3" borderId="0" xfId="3" applyNumberFormat="1" applyFont="1" applyFill="1" applyBorder="1" applyAlignment="1">
      <alignment horizontal="center"/>
    </xf>
    <xf numFmtId="3" fontId="21" fillId="3" borderId="10" xfId="3" applyNumberFormat="1" applyFont="1" applyFill="1" applyBorder="1" applyAlignment="1">
      <alignment horizontal="center"/>
    </xf>
    <xf numFmtId="3" fontId="21" fillId="3" borderId="11" xfId="3" applyNumberFormat="1" applyFont="1" applyFill="1" applyBorder="1" applyAlignment="1">
      <alignment horizontal="center"/>
    </xf>
    <xf numFmtId="168" fontId="21" fillId="3" borderId="5" xfId="3" applyNumberFormat="1" applyFont="1" applyFill="1" applyBorder="1" applyAlignment="1">
      <alignment horizontal="center"/>
    </xf>
    <xf numFmtId="3" fontId="21" fillId="3" borderId="5" xfId="3" applyNumberFormat="1" applyFont="1" applyFill="1" applyBorder="1" applyAlignment="1">
      <alignment horizontal="center"/>
    </xf>
    <xf numFmtId="3" fontId="21" fillId="3" borderId="13" xfId="3" applyNumberFormat="1" applyFont="1" applyFill="1" applyBorder="1" applyAlignment="1">
      <alignment horizontal="center"/>
    </xf>
    <xf numFmtId="3" fontId="21" fillId="3" borderId="14" xfId="3" applyNumberFormat="1" applyFont="1" applyFill="1" applyBorder="1" applyAlignment="1">
      <alignment horizontal="center"/>
    </xf>
    <xf numFmtId="0" fontId="8" fillId="3" borderId="12" xfId="3" applyFont="1" applyFill="1" applyBorder="1" applyAlignment="1">
      <alignment horizontal="left"/>
    </xf>
    <xf numFmtId="0" fontId="8" fillId="3" borderId="6" xfId="3" applyFont="1" applyFill="1" applyBorder="1" applyAlignment="1">
      <alignment horizontal="right"/>
    </xf>
    <xf numFmtId="3" fontId="8" fillId="3" borderId="6" xfId="3" applyNumberFormat="1" applyFont="1" applyFill="1" applyBorder="1" applyAlignment="1">
      <alignment horizontal="center"/>
    </xf>
    <xf numFmtId="3" fontId="8" fillId="3" borderId="12" xfId="3" applyNumberFormat="1" applyFont="1" applyFill="1" applyBorder="1" applyAlignment="1">
      <alignment horizontal="center"/>
    </xf>
    <xf numFmtId="3" fontId="8" fillId="3" borderId="7" xfId="3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horizontal="left"/>
    </xf>
    <xf numFmtId="3" fontId="21" fillId="3" borderId="8" xfId="3" applyNumberFormat="1" applyFont="1" applyFill="1" applyBorder="1" applyAlignment="1">
      <alignment horizontal="center"/>
    </xf>
    <xf numFmtId="3" fontId="21" fillId="3" borderId="4" xfId="3" applyNumberFormat="1" applyFont="1" applyFill="1" applyBorder="1" applyAlignment="1">
      <alignment horizontal="center"/>
    </xf>
    <xf numFmtId="3" fontId="21" fillId="3" borderId="9" xfId="3" applyNumberFormat="1" applyFont="1" applyFill="1" applyBorder="1" applyAlignment="1">
      <alignment horizontal="center"/>
    </xf>
    <xf numFmtId="1" fontId="21" fillId="3" borderId="0" xfId="3" applyNumberFormat="1" applyFont="1" applyFill="1" applyBorder="1" applyAlignment="1">
      <alignment horizontal="center"/>
    </xf>
    <xf numFmtId="1" fontId="21" fillId="3" borderId="10" xfId="3" applyNumberFormat="1" applyFont="1" applyFill="1" applyBorder="1" applyAlignment="1">
      <alignment horizontal="center"/>
    </xf>
    <xf numFmtId="0" fontId="21" fillId="3" borderId="0" xfId="3" applyFont="1" applyFill="1" applyBorder="1" applyAlignment="1">
      <alignment horizontal="center"/>
    </xf>
    <xf numFmtId="0" fontId="21" fillId="3" borderId="11" xfId="3" applyFont="1" applyFill="1" applyBorder="1" applyAlignment="1">
      <alignment horizontal="center"/>
    </xf>
    <xf numFmtId="0" fontId="21" fillId="3" borderId="10" xfId="3" applyFont="1" applyFill="1" applyBorder="1" applyAlignment="1">
      <alignment horizontal="center"/>
    </xf>
    <xf numFmtId="3" fontId="7" fillId="3" borderId="0" xfId="3" applyNumberFormat="1" applyFont="1" applyFill="1" applyBorder="1" applyAlignment="1">
      <alignment horizontal="center"/>
    </xf>
    <xf numFmtId="3" fontId="7" fillId="3" borderId="10" xfId="3" applyNumberFormat="1" applyFont="1" applyFill="1" applyBorder="1" applyAlignment="1">
      <alignment horizontal="center"/>
    </xf>
    <xf numFmtId="3" fontId="7" fillId="3" borderId="11" xfId="3" applyNumberFormat="1" applyFont="1" applyFill="1" applyBorder="1" applyAlignment="1">
      <alignment horizontal="center"/>
    </xf>
    <xf numFmtId="0" fontId="7" fillId="3" borderId="8" xfId="3" applyFont="1" applyFill="1" applyBorder="1" applyAlignment="1">
      <alignment horizontal="left"/>
    </xf>
    <xf numFmtId="0" fontId="7" fillId="3" borderId="4" xfId="3" applyFont="1" applyFill="1" applyBorder="1" applyAlignment="1"/>
    <xf numFmtId="42" fontId="7" fillId="3" borderId="11" xfId="3" applyNumberFormat="1" applyFont="1" applyFill="1" applyBorder="1" applyAlignment="1">
      <alignment horizontal="center"/>
    </xf>
    <xf numFmtId="42" fontId="7" fillId="3" borderId="0" xfId="3" applyNumberFormat="1" applyFont="1" applyFill="1" applyBorder="1" applyAlignment="1"/>
    <xf numFmtId="42" fontId="7" fillId="3" borderId="11" xfId="3" applyNumberFormat="1" applyFont="1" applyFill="1" applyBorder="1" applyAlignment="1"/>
    <xf numFmtId="41" fontId="7" fillId="3" borderId="11" xfId="3" applyNumberFormat="1" applyFont="1" applyFill="1" applyBorder="1" applyAlignment="1">
      <alignment horizontal="center"/>
    </xf>
    <xf numFmtId="41" fontId="7" fillId="3" borderId="0" xfId="3" applyNumberFormat="1" applyFont="1" applyFill="1" applyBorder="1" applyAlignment="1"/>
    <xf numFmtId="41" fontId="7" fillId="3" borderId="11" xfId="3" applyNumberFormat="1" applyFont="1" applyFill="1" applyBorder="1" applyAlignment="1"/>
    <xf numFmtId="41" fontId="8" fillId="3" borderId="0" xfId="3" applyNumberFormat="1" applyFont="1" applyFill="1" applyBorder="1" applyAlignment="1">
      <alignment horizontal="right"/>
    </xf>
    <xf numFmtId="41" fontId="8" fillId="3" borderId="0" xfId="4" applyNumberFormat="1" applyFont="1" applyFill="1" applyBorder="1" applyAlignment="1">
      <alignment horizontal="center"/>
    </xf>
    <xf numFmtId="41" fontId="21" fillId="3" borderId="11" xfId="3" applyNumberFormat="1" applyFont="1" applyFill="1" applyBorder="1" applyAlignment="1"/>
    <xf numFmtId="10" fontId="15" fillId="3" borderId="0" xfId="3" applyNumberFormat="1" applyFont="1" applyFill="1" applyBorder="1" applyAlignment="1">
      <alignment horizontal="center"/>
    </xf>
    <xf numFmtId="41" fontId="15" fillId="3" borderId="11" xfId="3" applyNumberFormat="1" applyFont="1" applyFill="1" applyBorder="1" applyAlignment="1">
      <alignment horizontal="center"/>
    </xf>
    <xf numFmtId="41" fontId="7" fillId="3" borderId="14" xfId="3" applyNumberFormat="1" applyFont="1" applyFill="1" applyBorder="1" applyAlignment="1">
      <alignment horizontal="center"/>
    </xf>
    <xf numFmtId="41" fontId="7" fillId="3" borderId="13" xfId="3" applyNumberFormat="1" applyFont="1" applyFill="1" applyBorder="1" applyAlignment="1"/>
    <xf numFmtId="41" fontId="7" fillId="3" borderId="5" xfId="3" applyNumberFormat="1" applyFont="1" applyFill="1" applyBorder="1" applyAlignment="1"/>
    <xf numFmtId="41" fontId="7" fillId="3" borderId="14" xfId="3" applyNumberFormat="1" applyFont="1" applyFill="1" applyBorder="1" applyAlignment="1"/>
    <xf numFmtId="42" fontId="8" fillId="3" borderId="11" xfId="3" applyNumberFormat="1" applyFont="1" applyFill="1" applyBorder="1" applyAlignment="1">
      <alignment horizontal="center"/>
    </xf>
    <xf numFmtId="42" fontId="8" fillId="3" borderId="10" xfId="3" applyNumberFormat="1" applyFont="1" applyFill="1" applyBorder="1" applyAlignment="1">
      <alignment horizontal="center"/>
    </xf>
    <xf numFmtId="42" fontId="8" fillId="3" borderId="0" xfId="3" applyNumberFormat="1" applyFont="1" applyFill="1" applyBorder="1" applyAlignment="1">
      <alignment horizontal="center"/>
    </xf>
    <xf numFmtId="0" fontId="7" fillId="3" borderId="12" xfId="3" applyFont="1" applyFill="1" applyBorder="1" applyAlignment="1">
      <alignment horizontal="left"/>
    </xf>
    <xf numFmtId="42" fontId="21" fillId="3" borderId="0" xfId="3" applyNumberFormat="1" applyFont="1" applyFill="1" applyBorder="1" applyAlignment="1">
      <alignment horizontal="center"/>
    </xf>
    <xf numFmtId="42" fontId="21" fillId="3" borderId="10" xfId="3" applyNumberFormat="1" applyFont="1" applyFill="1" applyBorder="1" applyAlignment="1">
      <alignment horizontal="center"/>
    </xf>
    <xf numFmtId="42" fontId="21" fillId="3" borderId="11" xfId="3" applyNumberFormat="1" applyFont="1" applyFill="1" applyBorder="1" applyAlignment="1">
      <alignment horizontal="center"/>
    </xf>
    <xf numFmtId="41" fontId="21" fillId="3" borderId="0" xfId="3" applyNumberFormat="1" applyFont="1" applyFill="1" applyBorder="1" applyAlignment="1">
      <alignment horizontal="center"/>
    </xf>
    <xf numFmtId="41" fontId="21" fillId="3" borderId="0" xfId="3" applyNumberFormat="1" applyFont="1" applyFill="1" applyBorder="1" applyAlignment="1"/>
    <xf numFmtId="0" fontId="7" fillId="3" borderId="5" xfId="3" applyFont="1" applyFill="1" applyBorder="1" applyAlignment="1">
      <alignment horizontal="left"/>
    </xf>
    <xf numFmtId="41" fontId="21" fillId="3" borderId="5" xfId="3" applyNumberFormat="1" applyFont="1" applyFill="1" applyBorder="1" applyAlignment="1">
      <alignment horizontal="center"/>
    </xf>
    <xf numFmtId="42" fontId="8" fillId="3" borderId="0" xfId="3" applyNumberFormat="1" applyFont="1" applyFill="1" applyBorder="1" applyAlignment="1"/>
    <xf numFmtId="42" fontId="8" fillId="3" borderId="11" xfId="3" applyNumberFormat="1" applyFont="1" applyFill="1" applyBorder="1" applyAlignment="1"/>
    <xf numFmtId="42" fontId="21" fillId="3" borderId="0" xfId="3" applyNumberFormat="1" applyFont="1" applyFill="1" applyBorder="1" applyAlignment="1"/>
    <xf numFmtId="42" fontId="21" fillId="3" borderId="11" xfId="3" applyNumberFormat="1" applyFont="1" applyFill="1" applyBorder="1" applyAlignment="1"/>
    <xf numFmtId="41" fontId="21" fillId="3" borderId="10" xfId="3" applyNumberFormat="1" applyFont="1" applyFill="1" applyBorder="1" applyAlignment="1">
      <alignment horizontal="center"/>
    </xf>
    <xf numFmtId="41" fontId="21" fillId="3" borderId="11" xfId="3" applyNumberFormat="1" applyFont="1" applyFill="1" applyBorder="1" applyAlignment="1">
      <alignment horizontal="center"/>
    </xf>
    <xf numFmtId="41" fontId="21" fillId="3" borderId="13" xfId="3" applyNumberFormat="1" applyFont="1" applyFill="1" applyBorder="1" applyAlignment="1"/>
    <xf numFmtId="41" fontId="21" fillId="3" borderId="5" xfId="3" applyNumberFormat="1" applyFont="1" applyFill="1" applyBorder="1" applyAlignment="1"/>
    <xf numFmtId="41" fontId="21" fillId="3" borderId="14" xfId="3" applyNumberFormat="1" applyFont="1" applyFill="1" applyBorder="1" applyAlignment="1"/>
    <xf numFmtId="42" fontId="8" fillId="3" borderId="6" xfId="3" applyNumberFormat="1" applyFont="1" applyFill="1" applyBorder="1" applyAlignment="1">
      <alignment horizontal="center"/>
    </xf>
    <xf numFmtId="42" fontId="8" fillId="3" borderId="6" xfId="3" applyNumberFormat="1" applyFont="1" applyFill="1" applyBorder="1" applyAlignment="1"/>
    <xf numFmtId="42" fontId="8" fillId="3" borderId="7" xfId="3" applyNumberFormat="1" applyFont="1" applyFill="1" applyBorder="1" applyAlignment="1"/>
    <xf numFmtId="0" fontId="8" fillId="0" borderId="4" xfId="3" applyFont="1" applyBorder="1" applyAlignment="1">
      <alignment horizontal="left"/>
    </xf>
    <xf numFmtId="0" fontId="8" fillId="0" borderId="4" xfId="3" applyFont="1" applyBorder="1" applyAlignment="1">
      <alignment horizontal="right"/>
    </xf>
    <xf numFmtId="0" fontId="7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6" xfId="3" applyFont="1" applyBorder="1" applyAlignment="1"/>
    <xf numFmtId="0" fontId="7" fillId="0" borderId="0" xfId="3" applyFont="1" applyBorder="1" applyAlignment="1">
      <alignment horizontal="left"/>
    </xf>
    <xf numFmtId="10" fontId="8" fillId="3" borderId="0" xfId="4" applyNumberFormat="1" applyFont="1" applyFill="1" applyBorder="1" applyAlignment="1">
      <alignment horizontal="center"/>
    </xf>
    <xf numFmtId="41" fontId="21" fillId="3" borderId="7" xfId="3" applyNumberFormat="1" applyFont="1" applyFill="1" applyBorder="1" applyAlignment="1">
      <alignment horizontal="center"/>
    </xf>
    <xf numFmtId="41" fontId="21" fillId="3" borderId="12" xfId="3" applyNumberFormat="1" applyFont="1" applyFill="1" applyBorder="1" applyAlignment="1"/>
    <xf numFmtId="41" fontId="21" fillId="3" borderId="6" xfId="3" applyNumberFormat="1" applyFont="1" applyFill="1" applyBorder="1" applyAlignment="1"/>
    <xf numFmtId="41" fontId="21" fillId="3" borderId="7" xfId="3" applyNumberFormat="1" applyFont="1" applyFill="1" applyBorder="1" applyAlignment="1"/>
    <xf numFmtId="42" fontId="7" fillId="0" borderId="0" xfId="3" applyNumberFormat="1" applyFont="1" applyBorder="1" applyAlignment="1"/>
    <xf numFmtId="0" fontId="7" fillId="0" borderId="8" xfId="3" applyFont="1" applyBorder="1" applyAlignment="1"/>
    <xf numFmtId="0" fontId="7" fillId="0" borderId="4" xfId="3" applyFont="1" applyBorder="1" applyAlignment="1"/>
    <xf numFmtId="0" fontId="8" fillId="0" borderId="4" xfId="3" applyFont="1" applyBorder="1" applyAlignment="1">
      <alignment horizontal="center"/>
    </xf>
    <xf numFmtId="0" fontId="28" fillId="4" borderId="8" xfId="5" applyFont="1" applyFill="1" applyBorder="1" applyAlignment="1">
      <alignment horizontal="centerContinuous"/>
    </xf>
    <xf numFmtId="0" fontId="28" fillId="4" borderId="4" xfId="5" applyFont="1" applyFill="1" applyBorder="1" applyAlignment="1">
      <alignment horizontal="centerContinuous"/>
    </xf>
    <xf numFmtId="0" fontId="29" fillId="4" borderId="4" xfId="5" applyFont="1" applyFill="1" applyBorder="1" applyAlignment="1">
      <alignment horizontal="centerContinuous"/>
    </xf>
    <xf numFmtId="0" fontId="29" fillId="4" borderId="9" xfId="5" applyFont="1" applyFill="1" applyBorder="1" applyAlignment="1">
      <alignment horizontal="centerContinuous"/>
    </xf>
    <xf numFmtId="0" fontId="29" fillId="3" borderId="0" xfId="5" applyFont="1" applyFill="1"/>
    <xf numFmtId="0" fontId="28" fillId="4" borderId="12" xfId="5" applyFont="1" applyFill="1" applyBorder="1" applyAlignment="1">
      <alignment horizontal="centerContinuous"/>
    </xf>
    <xf numFmtId="0" fontId="28" fillId="4" borderId="6" xfId="5" applyFont="1" applyFill="1" applyBorder="1" applyAlignment="1">
      <alignment horizontal="centerContinuous"/>
    </xf>
    <xf numFmtId="0" fontId="29" fillId="4" borderId="6" xfId="5" applyFont="1" applyFill="1" applyBorder="1" applyAlignment="1">
      <alignment horizontal="centerContinuous"/>
    </xf>
    <xf numFmtId="0" fontId="29" fillId="4" borderId="7" xfId="5" applyFont="1" applyFill="1" applyBorder="1" applyAlignment="1">
      <alignment horizontal="centerContinuous"/>
    </xf>
    <xf numFmtId="0" fontId="29" fillId="3" borderId="8" xfId="5" applyFont="1" applyFill="1" applyBorder="1"/>
    <xf numFmtId="0" fontId="30" fillId="3" borderId="4" xfId="5" applyFont="1" applyFill="1" applyBorder="1" applyAlignment="1">
      <alignment horizontal="center"/>
    </xf>
    <xf numFmtId="0" fontId="31" fillId="3" borderId="4" xfId="5" applyFont="1" applyFill="1" applyBorder="1" applyAlignment="1">
      <alignment horizontal="center"/>
    </xf>
    <xf numFmtId="0" fontId="31" fillId="3" borderId="9" xfId="5" applyFont="1" applyFill="1" applyBorder="1" applyAlignment="1">
      <alignment horizontal="center"/>
    </xf>
    <xf numFmtId="0" fontId="30" fillId="3" borderId="12" xfId="5" applyFont="1" applyFill="1" applyBorder="1"/>
    <xf numFmtId="0" fontId="30" fillId="3" borderId="6" xfId="5" applyFont="1" applyFill="1" applyBorder="1" applyAlignment="1">
      <alignment horizontal="center"/>
    </xf>
    <xf numFmtId="0" fontId="31" fillId="3" borderId="6" xfId="5" applyFont="1" applyFill="1" applyBorder="1" applyAlignment="1">
      <alignment horizontal="center"/>
    </xf>
    <xf numFmtId="0" fontId="31" fillId="3" borderId="7" xfId="5" applyFont="1" applyFill="1" applyBorder="1" applyAlignment="1">
      <alignment horizontal="center"/>
    </xf>
    <xf numFmtId="0" fontId="32" fillId="3" borderId="10" xfId="5" applyFont="1" applyFill="1" applyBorder="1"/>
    <xf numFmtId="0" fontId="32" fillId="3" borderId="0" xfId="5" applyFont="1" applyFill="1" applyBorder="1"/>
    <xf numFmtId="0" fontId="29" fillId="3" borderId="0" xfId="5" applyFont="1" applyFill="1" applyBorder="1"/>
    <xf numFmtId="0" fontId="29" fillId="3" borderId="11" xfId="5" applyFont="1" applyFill="1" applyBorder="1"/>
    <xf numFmtId="0" fontId="29" fillId="3" borderId="10" xfId="5" applyFont="1" applyFill="1" applyBorder="1"/>
    <xf numFmtId="0" fontId="33" fillId="3" borderId="0" xfId="5" applyFont="1" applyFill="1" applyBorder="1" applyAlignment="1">
      <alignment horizontal="center"/>
    </xf>
    <xf numFmtId="3" fontId="34" fillId="3" borderId="0" xfId="5" applyNumberFormat="1" applyFont="1" applyFill="1" applyBorder="1" applyAlignment="1">
      <alignment horizontal="center"/>
    </xf>
    <xf numFmtId="42" fontId="34" fillId="3" borderId="0" xfId="5" applyNumberFormat="1" applyFont="1" applyFill="1" applyBorder="1"/>
    <xf numFmtId="44" fontId="29" fillId="3" borderId="11" xfId="5" applyNumberFormat="1" applyFont="1" applyFill="1" applyBorder="1"/>
    <xf numFmtId="41" fontId="34" fillId="3" borderId="0" xfId="5" applyNumberFormat="1" applyFont="1" applyFill="1" applyBorder="1"/>
    <xf numFmtId="43" fontId="29" fillId="3" borderId="11" xfId="5" applyNumberFormat="1" applyFont="1" applyFill="1" applyBorder="1"/>
    <xf numFmtId="0" fontId="29" fillId="3" borderId="13" xfId="5" applyFont="1" applyFill="1" applyBorder="1"/>
    <xf numFmtId="0" fontId="33" fillId="3" borderId="5" xfId="5" applyFont="1" applyFill="1" applyBorder="1" applyAlignment="1">
      <alignment horizontal="center"/>
    </xf>
    <xf numFmtId="3" fontId="34" fillId="3" borderId="5" xfId="5" applyNumberFormat="1" applyFont="1" applyFill="1" applyBorder="1" applyAlignment="1">
      <alignment horizontal="center"/>
    </xf>
    <xf numFmtId="41" fontId="34" fillId="3" borderId="5" xfId="5" applyNumberFormat="1" applyFont="1" applyFill="1" applyBorder="1"/>
    <xf numFmtId="43" fontId="29" fillId="3" borderId="14" xfId="5" applyNumberFormat="1" applyFont="1" applyFill="1" applyBorder="1"/>
    <xf numFmtId="0" fontId="35" fillId="3" borderId="12" xfId="5" applyFont="1" applyFill="1" applyBorder="1"/>
    <xf numFmtId="0" fontId="35" fillId="3" borderId="6" xfId="5" applyFont="1" applyFill="1" applyBorder="1"/>
    <xf numFmtId="3" fontId="36" fillId="3" borderId="6" xfId="5" applyNumberFormat="1" applyFont="1" applyFill="1" applyBorder="1" applyAlignment="1">
      <alignment horizontal="center"/>
    </xf>
    <xf numFmtId="42" fontId="36" fillId="3" borderId="6" xfId="5" applyNumberFormat="1" applyFont="1" applyFill="1" applyBorder="1" applyAlignment="1">
      <alignment horizontal="center"/>
    </xf>
    <xf numFmtId="44" fontId="36" fillId="3" borderId="7" xfId="5" applyNumberFormat="1" applyFont="1" applyFill="1" applyBorder="1"/>
    <xf numFmtId="42" fontId="36" fillId="3" borderId="6" xfId="5" applyNumberFormat="1" applyFont="1" applyFill="1" applyBorder="1"/>
    <xf numFmtId="0" fontId="28" fillId="4" borderId="9" xfId="5" applyFont="1" applyFill="1" applyBorder="1" applyAlignment="1">
      <alignment horizontal="centerContinuous"/>
    </xf>
    <xf numFmtId="0" fontId="28" fillId="4" borderId="7" xfId="5" applyFont="1" applyFill="1" applyBorder="1" applyAlignment="1">
      <alignment horizontal="centerContinuous"/>
    </xf>
    <xf numFmtId="0" fontId="31" fillId="3" borderId="8" xfId="5" applyFont="1" applyFill="1" applyBorder="1"/>
    <xf numFmtId="0" fontId="31" fillId="3" borderId="12" xfId="5" applyFont="1" applyFill="1" applyBorder="1"/>
    <xf numFmtId="0" fontId="29" fillId="3" borderId="12" xfId="5" applyFont="1" applyFill="1" applyBorder="1"/>
    <xf numFmtId="1" fontId="33" fillId="3" borderId="6" xfId="5" applyNumberFormat="1" applyFont="1" applyFill="1" applyBorder="1" applyAlignment="1">
      <alignment horizontal="center"/>
    </xf>
    <xf numFmtId="3" fontId="33" fillId="3" borderId="6" xfId="5" applyNumberFormat="1" applyFont="1" applyFill="1" applyBorder="1" applyAlignment="1">
      <alignment horizontal="center"/>
    </xf>
    <xf numFmtId="42" fontId="33" fillId="3" borderId="6" xfId="5" applyNumberFormat="1" applyFont="1" applyFill="1" applyBorder="1"/>
    <xf numFmtId="44" fontId="29" fillId="3" borderId="7" xfId="5" applyNumberFormat="1" applyFont="1" applyFill="1" applyBorder="1"/>
    <xf numFmtId="1" fontId="33" fillId="3" borderId="0" xfId="5" applyNumberFormat="1" applyFont="1" applyFill="1" applyBorder="1" applyAlignment="1">
      <alignment horizontal="center"/>
    </xf>
    <xf numFmtId="3" fontId="33" fillId="3" borderId="0" xfId="5" applyNumberFormat="1" applyFont="1" applyFill="1" applyBorder="1" applyAlignment="1">
      <alignment horizontal="center"/>
    </xf>
    <xf numFmtId="42" fontId="33" fillId="3" borderId="0" xfId="5" applyNumberFormat="1" applyFont="1" applyFill="1" applyBorder="1"/>
    <xf numFmtId="1" fontId="33" fillId="3" borderId="5" xfId="5" applyNumberFormat="1" applyFont="1" applyFill="1" applyBorder="1" applyAlignment="1">
      <alignment horizontal="center"/>
    </xf>
    <xf numFmtId="3" fontId="33" fillId="3" borderId="5" xfId="5" applyNumberFormat="1" applyFont="1" applyFill="1" applyBorder="1" applyAlignment="1">
      <alignment horizontal="center"/>
    </xf>
    <xf numFmtId="41" fontId="33" fillId="3" borderId="5" xfId="5" applyNumberFormat="1" applyFont="1" applyFill="1" applyBorder="1"/>
    <xf numFmtId="3" fontId="30" fillId="3" borderId="6" xfId="5" applyNumberFormat="1" applyFont="1" applyFill="1" applyBorder="1" applyAlignment="1">
      <alignment horizontal="center"/>
    </xf>
    <xf numFmtId="42" fontId="30" fillId="3" borderId="6" xfId="5" applyNumberFormat="1" applyFont="1" applyFill="1" applyBorder="1"/>
    <xf numFmtId="44" fontId="30" fillId="3" borderId="7" xfId="5" applyNumberFormat="1" applyFont="1" applyFill="1" applyBorder="1"/>
    <xf numFmtId="1" fontId="33" fillId="3" borderId="4" xfId="5" applyNumberFormat="1" applyFont="1" applyFill="1" applyBorder="1" applyAlignment="1">
      <alignment horizontal="center"/>
    </xf>
    <xf numFmtId="3" fontId="33" fillId="3" borderId="4" xfId="5" applyNumberFormat="1" applyFont="1" applyFill="1" applyBorder="1" applyAlignment="1">
      <alignment horizontal="center"/>
    </xf>
    <xf numFmtId="42" fontId="33" fillId="3" borderId="4" xfId="5" applyNumberFormat="1" applyFont="1" applyFill="1" applyBorder="1"/>
    <xf numFmtId="44" fontId="29" fillId="3" borderId="9" xfId="5" applyNumberFormat="1" applyFont="1" applyFill="1" applyBorder="1"/>
    <xf numFmtId="41" fontId="33" fillId="3" borderId="6" xfId="5" applyNumberFormat="1" applyFont="1" applyFill="1" applyBorder="1"/>
    <xf numFmtId="43" fontId="29" fillId="3" borderId="7" xfId="5" applyNumberFormat="1" applyFont="1" applyFill="1" applyBorder="1"/>
    <xf numFmtId="41" fontId="33" fillId="3" borderId="0" xfId="5" applyNumberFormat="1" applyFont="1" applyFill="1" applyBorder="1"/>
    <xf numFmtId="3" fontId="29" fillId="3" borderId="0" xfId="5" applyNumberFormat="1" applyFont="1" applyFill="1" applyBorder="1"/>
    <xf numFmtId="0" fontId="29" fillId="3" borderId="1" xfId="5" applyFont="1" applyFill="1" applyBorder="1"/>
    <xf numFmtId="1" fontId="33" fillId="3" borderId="2" xfId="5" applyNumberFormat="1" applyFont="1" applyFill="1" applyBorder="1" applyAlignment="1">
      <alignment horizontal="center"/>
    </xf>
    <xf numFmtId="3" fontId="33" fillId="3" borderId="2" xfId="5" applyNumberFormat="1" applyFont="1" applyFill="1" applyBorder="1" applyAlignment="1">
      <alignment horizontal="center"/>
    </xf>
    <xf numFmtId="42" fontId="33" fillId="3" borderId="2" xfId="5" applyNumberFormat="1" applyFont="1" applyFill="1" applyBorder="1"/>
    <xf numFmtId="44" fontId="29" fillId="3" borderId="3" xfId="5" applyNumberFormat="1" applyFont="1" applyFill="1" applyBorder="1"/>
    <xf numFmtId="0" fontId="31" fillId="3" borderId="10" xfId="5" applyFont="1" applyFill="1" applyBorder="1"/>
    <xf numFmtId="0" fontId="31" fillId="3" borderId="0" xfId="5" applyFont="1" applyFill="1" applyBorder="1" applyAlignment="1">
      <alignment horizontal="center"/>
    </xf>
    <xf numFmtId="0" fontId="31" fillId="3" borderId="11" xfId="5" applyFont="1" applyFill="1" applyBorder="1" applyAlignment="1">
      <alignment horizontal="center"/>
    </xf>
    <xf numFmtId="0" fontId="30" fillId="3" borderId="9" xfId="5" applyFont="1" applyFill="1" applyBorder="1" applyAlignment="1">
      <alignment horizontal="center"/>
    </xf>
    <xf numFmtId="0" fontId="30" fillId="3" borderId="7" xfId="5" applyFont="1" applyFill="1" applyBorder="1" applyAlignment="1">
      <alignment horizontal="center"/>
    </xf>
    <xf numFmtId="43" fontId="29" fillId="3" borderId="0" xfId="5" applyNumberFormat="1" applyFont="1" applyFill="1"/>
    <xf numFmtId="3" fontId="29" fillId="3" borderId="0" xfId="5" applyNumberFormat="1" applyFont="1" applyFill="1"/>
    <xf numFmtId="0" fontId="41" fillId="4" borderId="1" xfId="3" applyFont="1" applyFill="1" applyBorder="1" applyAlignment="1">
      <alignment horizontal="centerContinuous"/>
    </xf>
    <xf numFmtId="0" fontId="41" fillId="4" borderId="2" xfId="3" applyFont="1" applyFill="1" applyBorder="1" applyAlignment="1">
      <alignment horizontal="centerContinuous"/>
    </xf>
    <xf numFmtId="0" fontId="41" fillId="4" borderId="3" xfId="3" applyFont="1" applyFill="1" applyBorder="1" applyAlignment="1">
      <alignment horizontal="centerContinuous"/>
    </xf>
    <xf numFmtId="0" fontId="7" fillId="3" borderId="8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4" fontId="15" fillId="3" borderId="0" xfId="2" applyNumberFormat="1" applyFont="1" applyFill="1" applyBorder="1" applyAlignment="1">
      <alignment horizontal="center"/>
    </xf>
    <xf numFmtId="44" fontId="15" fillId="3" borderId="0" xfId="2" applyNumberFormat="1" applyFont="1" applyFill="1" applyBorder="1"/>
    <xf numFmtId="43" fontId="15" fillId="0" borderId="0" xfId="3" applyNumberFormat="1" applyFont="1" applyBorder="1" applyAlignment="1"/>
    <xf numFmtId="43" fontId="15" fillId="0" borderId="0" xfId="3" applyNumberFormat="1" applyFont="1" applyBorder="1" applyAlignment="1">
      <alignment horizontal="center"/>
    </xf>
    <xf numFmtId="0" fontId="7" fillId="0" borderId="12" xfId="3" applyFont="1" applyBorder="1" applyAlignment="1"/>
    <xf numFmtId="44" fontId="7" fillId="0" borderId="16" xfId="3" applyNumberFormat="1" applyFont="1" applyBorder="1" applyAlignment="1"/>
    <xf numFmtId="43" fontId="7" fillId="0" borderId="16" xfId="3" applyNumberFormat="1" applyFont="1" applyBorder="1" applyAlignment="1"/>
    <xf numFmtId="43" fontId="7" fillId="0" borderId="0" xfId="3" applyNumberFormat="1" applyFont="1" applyBorder="1" applyAlignment="1">
      <alignment horizontal="center"/>
    </xf>
    <xf numFmtId="43" fontId="7" fillId="0" borderId="0" xfId="3" applyNumberFormat="1" applyFont="1" applyBorder="1" applyAlignment="1"/>
    <xf numFmtId="43" fontId="15" fillId="0" borderId="6" xfId="3" applyNumberFormat="1" applyFont="1" applyBorder="1" applyAlignment="1"/>
    <xf numFmtId="43" fontId="7" fillId="0" borderId="6" xfId="3" applyNumberFormat="1" applyFont="1" applyBorder="1" applyAlignment="1">
      <alignment horizontal="center"/>
    </xf>
    <xf numFmtId="43" fontId="7" fillId="0" borderId="6" xfId="3" applyNumberFormat="1" applyFont="1" applyBorder="1" applyAlignment="1"/>
    <xf numFmtId="43" fontId="7" fillId="0" borderId="17" xfId="3" applyNumberFormat="1" applyFont="1" applyBorder="1" applyAlignment="1"/>
    <xf numFmtId="0" fontId="7" fillId="3" borderId="0" xfId="0" applyFont="1" applyFill="1"/>
    <xf numFmtId="0" fontId="8" fillId="0" borderId="6" xfId="3" applyFont="1" applyBorder="1" applyAlignment="1">
      <alignment horizontal="center"/>
    </xf>
    <xf numFmtId="0" fontId="7" fillId="0" borderId="9" xfId="3" applyFont="1" applyBorder="1" applyAlignment="1"/>
    <xf numFmtId="44" fontId="15" fillId="0" borderId="4" xfId="3" applyNumberFormat="1" applyFont="1" applyBorder="1" applyAlignment="1"/>
    <xf numFmtId="10" fontId="15" fillId="0" borderId="2" xfId="3" applyNumberFormat="1" applyFont="1" applyBorder="1" applyAlignment="1">
      <alignment horizontal="right"/>
    </xf>
    <xf numFmtId="0" fontId="7" fillId="0" borderId="3" xfId="3" applyFont="1" applyBorder="1" applyAlignment="1"/>
    <xf numFmtId="0" fontId="7" fillId="0" borderId="0" xfId="3" applyFont="1" applyAlignment="1">
      <alignment vertical="top"/>
    </xf>
    <xf numFmtId="0" fontId="41" fillId="4" borderId="1" xfId="0" applyFont="1" applyFill="1" applyBorder="1" applyAlignment="1">
      <alignment horizontal="centerContinuous"/>
    </xf>
    <xf numFmtId="0" fontId="7" fillId="4" borderId="2" xfId="0" applyFont="1" applyFill="1" applyBorder="1" applyAlignment="1">
      <alignment horizontal="centerContinuous"/>
    </xf>
    <xf numFmtId="0" fontId="7" fillId="4" borderId="3" xfId="0" applyFont="1" applyFill="1" applyBorder="1" applyAlignment="1">
      <alignment horizontal="centerContinuous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0" xfId="0" applyFont="1" applyFill="1" applyBorder="1" applyAlignment="1">
      <alignment horizontal="center"/>
    </xf>
    <xf numFmtId="42" fontId="15" fillId="3" borderId="0" xfId="0" applyNumberFormat="1" applyFont="1" applyFill="1" applyBorder="1"/>
    <xf numFmtId="3" fontId="15" fillId="3" borderId="11" xfId="0" applyNumberFormat="1" applyFont="1" applyFill="1" applyBorder="1" applyAlignment="1">
      <alignment horizontal="center"/>
    </xf>
    <xf numFmtId="3" fontId="15" fillId="3" borderId="10" xfId="0" applyNumberFormat="1" applyFont="1" applyFill="1" applyBorder="1" applyAlignment="1">
      <alignment horizontal="center"/>
    </xf>
    <xf numFmtId="42" fontId="15" fillId="3" borderId="11" xfId="0" applyNumberFormat="1" applyFont="1" applyFill="1" applyBorder="1"/>
    <xf numFmtId="42" fontId="7" fillId="3" borderId="16" xfId="0" applyNumberFormat="1" applyFont="1" applyFill="1" applyBorder="1"/>
    <xf numFmtId="44" fontId="7" fillId="3" borderId="16" xfId="0" applyNumberFormat="1" applyFont="1" applyFill="1" applyBorder="1"/>
    <xf numFmtId="41" fontId="15" fillId="3" borderId="0" xfId="0" applyNumberFormat="1" applyFont="1" applyFill="1" applyBorder="1"/>
    <xf numFmtId="41" fontId="15" fillId="3" borderId="11" xfId="0" applyNumberFormat="1" applyFont="1" applyFill="1" applyBorder="1"/>
    <xf numFmtId="41" fontId="7" fillId="3" borderId="16" xfId="0" applyNumberFormat="1" applyFont="1" applyFill="1" applyBorder="1"/>
    <xf numFmtId="43" fontId="7" fillId="3" borderId="16" xfId="0" applyNumberFormat="1" applyFont="1" applyFill="1" applyBorder="1"/>
    <xf numFmtId="0" fontId="7" fillId="3" borderId="12" xfId="0" applyFont="1" applyFill="1" applyBorder="1"/>
    <xf numFmtId="0" fontId="7" fillId="3" borderId="6" xfId="0" applyFont="1" applyFill="1" applyBorder="1" applyAlignment="1">
      <alignment horizontal="center"/>
    </xf>
    <xf numFmtId="41" fontId="15" fillId="3" borderId="6" xfId="0" applyNumberFormat="1" applyFont="1" applyFill="1" applyBorder="1"/>
    <xf numFmtId="3" fontId="15" fillId="3" borderId="7" xfId="0" applyNumberFormat="1" applyFont="1" applyFill="1" applyBorder="1" applyAlignment="1">
      <alignment horizontal="center"/>
    </xf>
    <xf numFmtId="3" fontId="15" fillId="3" borderId="12" xfId="0" applyNumberFormat="1" applyFont="1" applyFill="1" applyBorder="1" applyAlignment="1">
      <alignment horizontal="center"/>
    </xf>
    <xf numFmtId="41" fontId="15" fillId="3" borderId="7" xfId="0" applyNumberFormat="1" applyFont="1" applyFill="1" applyBorder="1"/>
    <xf numFmtId="41" fontId="7" fillId="3" borderId="17" xfId="0" applyNumberFormat="1" applyFont="1" applyFill="1" applyBorder="1"/>
    <xf numFmtId="43" fontId="7" fillId="3" borderId="17" xfId="0" applyNumberFormat="1" applyFont="1" applyFill="1" applyBorder="1"/>
    <xf numFmtId="42" fontId="8" fillId="3" borderId="6" xfId="0" applyNumberFormat="1" applyFont="1" applyFill="1" applyBorder="1"/>
    <xf numFmtId="3" fontId="8" fillId="3" borderId="7" xfId="0" applyNumberFormat="1" applyFon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/>
    </xf>
    <xf numFmtId="42" fontId="8" fillId="3" borderId="7" xfId="0" applyNumberFormat="1" applyFont="1" applyFill="1" applyBorder="1"/>
    <xf numFmtId="42" fontId="8" fillId="3" borderId="12" xfId="0" applyNumberFormat="1" applyFont="1" applyFill="1" applyBorder="1"/>
    <xf numFmtId="42" fontId="8" fillId="3" borderId="17" xfId="0" applyNumberFormat="1" applyFont="1" applyFill="1" applyBorder="1"/>
    <xf numFmtId="44" fontId="8" fillId="3" borderId="17" xfId="0" applyNumberFormat="1" applyFont="1" applyFill="1" applyBorder="1"/>
    <xf numFmtId="0" fontId="7" fillId="3" borderId="0" xfId="0" applyFont="1" applyFill="1" applyAlignment="1">
      <alignment horizontal="center"/>
    </xf>
    <xf numFmtId="41" fontId="21" fillId="3" borderId="0" xfId="0" applyNumberFormat="1" applyFont="1" applyFill="1"/>
    <xf numFmtId="3" fontId="21" fillId="3" borderId="0" xfId="0" applyNumberFormat="1" applyFont="1" applyFill="1" applyAlignment="1">
      <alignment horizontal="center"/>
    </xf>
    <xf numFmtId="41" fontId="7" fillId="3" borderId="0" xfId="0" applyNumberFormat="1" applyFont="1" applyFill="1"/>
    <xf numFmtId="43" fontId="7" fillId="3" borderId="0" xfId="0" applyNumberFormat="1" applyFont="1" applyFill="1"/>
    <xf numFmtId="0" fontId="41" fillId="4" borderId="2" xfId="0" applyFont="1" applyFill="1" applyBorder="1" applyAlignment="1">
      <alignment horizontal="centerContinuous"/>
    </xf>
    <xf numFmtId="41" fontId="41" fillId="4" borderId="2" xfId="0" applyNumberFormat="1" applyFont="1" applyFill="1" applyBorder="1" applyAlignment="1">
      <alignment horizontal="centerContinuous"/>
    </xf>
    <xf numFmtId="3" fontId="41" fillId="4" borderId="2" xfId="0" applyNumberFormat="1" applyFont="1" applyFill="1" applyBorder="1" applyAlignment="1">
      <alignment horizontal="centerContinuous"/>
    </xf>
    <xf numFmtId="41" fontId="41" fillId="4" borderId="3" xfId="0" applyNumberFormat="1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"/>
    </xf>
    <xf numFmtId="41" fontId="21" fillId="3" borderId="4" xfId="0" applyNumberFormat="1" applyFont="1" applyFill="1" applyBorder="1"/>
    <xf numFmtId="3" fontId="21" fillId="3" borderId="4" xfId="0" applyNumberFormat="1" applyFont="1" applyFill="1" applyBorder="1" applyAlignment="1">
      <alignment horizontal="center"/>
    </xf>
    <xf numFmtId="41" fontId="15" fillId="3" borderId="9" xfId="0" applyNumberFormat="1" applyFont="1" applyFill="1" applyBorder="1"/>
    <xf numFmtId="0" fontId="7" fillId="3" borderId="13" xfId="0" applyFont="1" applyFill="1" applyBorder="1"/>
    <xf numFmtId="0" fontId="7" fillId="3" borderId="5" xfId="0" applyFont="1" applyFill="1" applyBorder="1"/>
    <xf numFmtId="41" fontId="15" fillId="3" borderId="14" xfId="0" applyNumberFormat="1" applyFont="1" applyFill="1" applyBorder="1"/>
    <xf numFmtId="0" fontId="8" fillId="3" borderId="10" xfId="0" applyFont="1" applyFill="1" applyBorder="1"/>
    <xf numFmtId="0" fontId="7" fillId="3" borderId="0" xfId="0" applyFont="1" applyFill="1" applyBorder="1"/>
    <xf numFmtId="41" fontId="8" fillId="3" borderId="11" xfId="0" applyNumberFormat="1" applyFont="1" applyFill="1" applyBorder="1"/>
    <xf numFmtId="43" fontId="15" fillId="3" borderId="14" xfId="0" applyNumberFormat="1" applyFont="1" applyFill="1" applyBorder="1"/>
    <xf numFmtId="0" fontId="8" fillId="3" borderId="6" xfId="0" applyFont="1" applyFill="1" applyBorder="1"/>
    <xf numFmtId="42" fontId="7" fillId="3" borderId="10" xfId="0" applyNumberFormat="1" applyFont="1" applyFill="1" applyBorder="1"/>
    <xf numFmtId="41" fontId="7" fillId="3" borderId="10" xfId="0" applyNumberFormat="1" applyFont="1" applyFill="1" applyBorder="1"/>
    <xf numFmtId="41" fontId="7" fillId="3" borderId="12" xfId="0" applyNumberFormat="1" applyFont="1" applyFill="1" applyBorder="1"/>
    <xf numFmtId="0" fontId="7" fillId="3" borderId="5" xfId="0" applyFont="1" applyFill="1" applyBorder="1" applyAlignment="1">
      <alignment horizontal="right"/>
    </xf>
    <xf numFmtId="44" fontId="7" fillId="0" borderId="6" xfId="3" applyNumberFormat="1" applyFont="1" applyBorder="1" applyAlignment="1">
      <alignment horizontal="center"/>
    </xf>
    <xf numFmtId="44" fontId="7" fillId="0" borderId="7" xfId="3" applyNumberFormat="1" applyFont="1" applyBorder="1" applyAlignment="1">
      <alignment horizontal="center"/>
    </xf>
    <xf numFmtId="0" fontId="10" fillId="4" borderId="1" xfId="3" applyFont="1" applyFill="1" applyBorder="1" applyAlignment="1"/>
    <xf numFmtId="0" fontId="6" fillId="4" borderId="2" xfId="3" applyFont="1" applyFill="1" applyBorder="1" applyAlignment="1"/>
    <xf numFmtId="0" fontId="7" fillId="4" borderId="2" xfId="3" applyFont="1" applyFill="1" applyBorder="1" applyAlignment="1"/>
    <xf numFmtId="10" fontId="8" fillId="0" borderId="0" xfId="3" applyNumberFormat="1" applyFont="1" applyBorder="1" applyAlignment="1">
      <alignment horizontal="right"/>
    </xf>
    <xf numFmtId="10" fontId="27" fillId="0" borderId="0" xfId="3" applyNumberFormat="1" applyFont="1" applyBorder="1" applyAlignment="1">
      <alignment horizontal="right"/>
    </xf>
    <xf numFmtId="41" fontId="17" fillId="3" borderId="14" xfId="3" applyNumberFormat="1" applyFont="1" applyFill="1" applyBorder="1"/>
    <xf numFmtId="42" fontId="17" fillId="3" borderId="11" xfId="3" applyNumberFormat="1" applyFont="1" applyFill="1" applyBorder="1" applyAlignment="1">
      <alignment horizontal="center"/>
    </xf>
    <xf numFmtId="41" fontId="2" fillId="3" borderId="9" xfId="0" applyNumberFormat="1" applyFont="1" applyFill="1" applyBorder="1"/>
    <xf numFmtId="43" fontId="17" fillId="3" borderId="14" xfId="0" applyNumberFormat="1" applyFont="1" applyFill="1" applyBorder="1"/>
    <xf numFmtId="167" fontId="21" fillId="3" borderId="0" xfId="3" applyNumberFormat="1" applyFont="1" applyFill="1" applyBorder="1" applyAlignment="1">
      <alignment horizontal="center"/>
    </xf>
    <xf numFmtId="169" fontId="21" fillId="3" borderId="0" xfId="3" applyNumberFormat="1" applyFont="1" applyFill="1" applyBorder="1" applyAlignment="1">
      <alignment horizontal="center"/>
    </xf>
    <xf numFmtId="171" fontId="21" fillId="3" borderId="0" xfId="3" applyNumberFormat="1" applyFont="1" applyFill="1" applyBorder="1" applyAlignment="1">
      <alignment horizontal="center"/>
    </xf>
    <xf numFmtId="44" fontId="8" fillId="0" borderId="12" xfId="3" applyNumberFormat="1" applyFont="1" applyBorder="1" applyAlignment="1">
      <alignment horizontal="left"/>
    </xf>
    <xf numFmtId="0" fontId="13" fillId="5" borderId="10" xfId="0" applyFont="1" applyFill="1" applyBorder="1"/>
    <xf numFmtId="43" fontId="2" fillId="3" borderId="16" xfId="0" applyNumberFormat="1" applyFont="1" applyFill="1" applyBorder="1"/>
    <xf numFmtId="0" fontId="2" fillId="6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3" fillId="7" borderId="10" xfId="0" applyFont="1" applyFill="1" applyBorder="1"/>
    <xf numFmtId="0" fontId="24" fillId="3" borderId="0" xfId="0" applyFont="1" applyFill="1" applyBorder="1"/>
    <xf numFmtId="42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center"/>
    </xf>
    <xf numFmtId="44" fontId="11" fillId="3" borderId="0" xfId="0" applyNumberFormat="1" applyFont="1" applyFill="1" applyBorder="1"/>
    <xf numFmtId="0" fontId="24" fillId="8" borderId="10" xfId="0" applyFont="1" applyFill="1" applyBorder="1"/>
    <xf numFmtId="0" fontId="2" fillId="8" borderId="0" xfId="0" applyFont="1" applyFill="1" applyBorder="1"/>
    <xf numFmtId="42" fontId="11" fillId="8" borderId="10" xfId="0" applyNumberFormat="1" applyFont="1" applyFill="1" applyBorder="1"/>
    <xf numFmtId="3" fontId="11" fillId="8" borderId="11" xfId="0" applyNumberFormat="1" applyFont="1" applyFill="1" applyBorder="1" applyAlignment="1">
      <alignment horizontal="center"/>
    </xf>
    <xf numFmtId="1" fontId="11" fillId="8" borderId="0" xfId="0" applyNumberFormat="1" applyFont="1" applyFill="1" applyBorder="1" applyAlignment="1">
      <alignment horizontal="center"/>
    </xf>
    <xf numFmtId="42" fontId="11" fillId="8" borderId="0" xfId="0" applyNumberFormat="1" applyFont="1" applyFill="1" applyBorder="1"/>
    <xf numFmtId="42" fontId="11" fillId="8" borderId="11" xfId="0" applyNumberFormat="1" applyFont="1" applyFill="1" applyBorder="1"/>
    <xf numFmtId="42" fontId="11" fillId="8" borderId="16" xfId="0" applyNumberFormat="1" applyFont="1" applyFill="1" applyBorder="1"/>
    <xf numFmtId="44" fontId="11" fillId="8" borderId="11" xfId="0" applyNumberFormat="1" applyFont="1" applyFill="1" applyBorder="1"/>
    <xf numFmtId="0" fontId="11" fillId="3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8" fontId="17" fillId="3" borderId="11" xfId="0" applyNumberFormat="1" applyFont="1" applyFill="1" applyBorder="1"/>
    <xf numFmtId="41" fontId="42" fillId="3" borderId="11" xfId="0" applyNumberFormat="1" applyFont="1" applyFill="1" applyBorder="1"/>
    <xf numFmtId="42" fontId="42" fillId="3" borderId="11" xfId="0" applyNumberFormat="1" applyFont="1" applyFill="1" applyBorder="1"/>
    <xf numFmtId="41" fontId="42" fillId="3" borderId="14" xfId="0" applyNumberFormat="1" applyFont="1" applyFill="1" applyBorder="1"/>
    <xf numFmtId="0" fontId="24" fillId="8" borderId="0" xfId="0" applyFont="1" applyFill="1" applyBorder="1"/>
    <xf numFmtId="3" fontId="17" fillId="3" borderId="5" xfId="0" applyNumberFormat="1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3" fontId="11" fillId="8" borderId="0" xfId="0" applyNumberFormat="1" applyFont="1" applyFill="1" applyBorder="1" applyAlignment="1">
      <alignment horizontal="center"/>
    </xf>
    <xf numFmtId="0" fontId="2" fillId="3" borderId="19" xfId="0" applyFont="1" applyFill="1" applyBorder="1"/>
    <xf numFmtId="3" fontId="11" fillId="3" borderId="24" xfId="0" applyNumberFormat="1" applyFont="1" applyFill="1" applyBorder="1" applyAlignment="1">
      <alignment horizontal="center"/>
    </xf>
    <xf numFmtId="3" fontId="11" fillId="3" borderId="19" xfId="0" applyNumberFormat="1" applyFont="1" applyFill="1" applyBorder="1" applyAlignment="1">
      <alignment horizontal="center"/>
    </xf>
    <xf numFmtId="44" fontId="17" fillId="3" borderId="0" xfId="2" applyFont="1" applyFill="1" applyBorder="1" applyAlignment="1">
      <alignment horizontal="center"/>
    </xf>
    <xf numFmtId="44" fontId="2" fillId="3" borderId="0" xfId="2" applyFont="1" applyFill="1" applyBorder="1" applyAlignment="1">
      <alignment horizontal="center"/>
    </xf>
    <xf numFmtId="44" fontId="2" fillId="3" borderId="0" xfId="2" applyFont="1" applyFill="1" applyBorder="1"/>
    <xf numFmtId="44" fontId="11" fillId="3" borderId="16" xfId="2" applyFont="1" applyFill="1" applyBorder="1"/>
    <xf numFmtId="0" fontId="2" fillId="8" borderId="10" xfId="0" applyFont="1" applyFill="1" applyBorder="1"/>
    <xf numFmtId="43" fontId="17" fillId="8" borderId="0" xfId="2" applyNumberFormat="1" applyFont="1" applyFill="1" applyBorder="1" applyAlignment="1">
      <alignment horizontal="center"/>
    </xf>
    <xf numFmtId="43" fontId="2" fillId="8" borderId="0" xfId="2" applyNumberFormat="1" applyFont="1" applyFill="1" applyBorder="1" applyAlignment="1">
      <alignment horizontal="center"/>
    </xf>
    <xf numFmtId="43" fontId="2" fillId="8" borderId="0" xfId="2" applyNumberFormat="1" applyFont="1" applyFill="1" applyBorder="1"/>
    <xf numFmtId="43" fontId="11" fillId="8" borderId="16" xfId="2" applyNumberFormat="1" applyFont="1" applyFill="1" applyBorder="1"/>
    <xf numFmtId="8" fontId="2" fillId="3" borderId="0" xfId="0" applyNumberFormat="1" applyFont="1" applyFill="1"/>
    <xf numFmtId="42" fontId="42" fillId="3" borderId="11" xfId="3" applyNumberFormat="1" applyFont="1" applyFill="1" applyBorder="1"/>
    <xf numFmtId="41" fontId="42" fillId="3" borderId="11" xfId="3" applyNumberFormat="1" applyFont="1" applyFill="1" applyBorder="1"/>
    <xf numFmtId="0" fontId="43" fillId="3" borderId="15" xfId="3" applyFont="1" applyFill="1" applyBorder="1" applyAlignment="1">
      <alignment horizontal="center"/>
    </xf>
    <xf numFmtId="0" fontId="43" fillId="3" borderId="12" xfId="3" applyFont="1" applyFill="1" applyBorder="1" applyAlignment="1">
      <alignment horizontal="center"/>
    </xf>
    <xf numFmtId="41" fontId="44" fillId="3" borderId="0" xfId="3" applyNumberFormat="1" applyFont="1" applyFill="1" applyBorder="1" applyAlignment="1">
      <alignment horizontal="center"/>
    </xf>
    <xf numFmtId="10" fontId="42" fillId="3" borderId="0" xfId="0" applyNumberFormat="1" applyFont="1" applyFill="1" applyBorder="1" applyAlignment="1">
      <alignment horizontal="center"/>
    </xf>
    <xf numFmtId="10" fontId="45" fillId="3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3" fontId="17" fillId="8" borderId="0" xfId="0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left" vertical="top" wrapText="1"/>
    </xf>
    <xf numFmtId="16" fontId="2" fillId="3" borderId="0" xfId="0" quotePrefix="1" applyNumberFormat="1" applyFont="1" applyFill="1" applyAlignment="1">
      <alignment horizontal="right"/>
    </xf>
    <xf numFmtId="178" fontId="0" fillId="3" borderId="0" xfId="1" applyNumberFormat="1" applyFont="1" applyFill="1"/>
    <xf numFmtId="3" fontId="11" fillId="3" borderId="2" xfId="0" applyNumberFormat="1" applyFont="1" applyFill="1" applyBorder="1"/>
    <xf numFmtId="164" fontId="0" fillId="3" borderId="0" xfId="4" applyNumberFormat="1" applyFont="1" applyFill="1"/>
    <xf numFmtId="164" fontId="0" fillId="3" borderId="0" xfId="0" applyNumberFormat="1" applyFill="1"/>
    <xf numFmtId="0" fontId="2" fillId="3" borderId="0" xfId="0" applyFont="1" applyFill="1" applyAlignment="1">
      <alignment horizontal="left" indent="1"/>
    </xf>
    <xf numFmtId="178" fontId="0" fillId="3" borderId="0" xfId="0" applyNumberFormat="1" applyFill="1"/>
    <xf numFmtId="178" fontId="2" fillId="3" borderId="10" xfId="1" applyNumberFormat="1" applyFont="1" applyFill="1" applyBorder="1" applyAlignment="1">
      <alignment horizontal="center"/>
    </xf>
    <xf numFmtId="178" fontId="2" fillId="3" borderId="0" xfId="1" applyNumberFormat="1" applyFont="1" applyFill="1" applyBorder="1" applyAlignment="1">
      <alignment horizontal="center"/>
    </xf>
    <xf numFmtId="178" fontId="2" fillId="3" borderId="11" xfId="1" applyNumberFormat="1" applyFont="1" applyFill="1" applyBorder="1" applyAlignment="1">
      <alignment horizontal="center"/>
    </xf>
    <xf numFmtId="178" fontId="2" fillId="8" borderId="10" xfId="1" applyNumberFormat="1" applyFont="1" applyFill="1" applyBorder="1" applyAlignment="1">
      <alignment horizontal="center"/>
    </xf>
    <xf numFmtId="179" fontId="2" fillId="3" borderId="0" xfId="2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178" fontId="2" fillId="3" borderId="0" xfId="1" applyNumberFormat="1" applyFont="1" applyFill="1" applyBorder="1"/>
    <xf numFmtId="1" fontId="2" fillId="3" borderId="6" xfId="0" applyNumberFormat="1" applyFont="1" applyFill="1" applyBorder="1" applyAlignment="1">
      <alignment horizontal="center"/>
    </xf>
    <xf numFmtId="44" fontId="42" fillId="3" borderId="16" xfId="0" applyNumberFormat="1" applyFont="1" applyFill="1" applyBorder="1" applyAlignment="1">
      <alignment horizontal="center"/>
    </xf>
    <xf numFmtId="3" fontId="42" fillId="3" borderId="0" xfId="0" applyNumberFormat="1" applyFont="1" applyFill="1" applyBorder="1" applyAlignment="1">
      <alignment horizontal="center"/>
    </xf>
    <xf numFmtId="3" fontId="42" fillId="3" borderId="10" xfId="0" applyNumberFormat="1" applyFont="1" applyFill="1" applyBorder="1" applyAlignment="1">
      <alignment horizontal="center"/>
    </xf>
    <xf numFmtId="3" fontId="42" fillId="3" borderId="11" xfId="0" applyNumberFormat="1" applyFont="1" applyFill="1" applyBorder="1" applyAlignment="1">
      <alignment horizontal="center"/>
    </xf>
    <xf numFmtId="3" fontId="42" fillId="3" borderId="0" xfId="0" quotePrefix="1" applyNumberFormat="1" applyFont="1" applyFill="1" applyBorder="1" applyAlignment="1">
      <alignment horizontal="center"/>
    </xf>
    <xf numFmtId="3" fontId="42" fillId="3" borderId="6" xfId="0" applyNumberFormat="1" applyFont="1" applyFill="1" applyBorder="1" applyAlignment="1">
      <alignment horizontal="center"/>
    </xf>
    <xf numFmtId="43" fontId="2" fillId="3" borderId="0" xfId="1" applyFont="1" applyFill="1" applyAlignment="1">
      <alignment horizontal="center"/>
    </xf>
    <xf numFmtId="0" fontId="13" fillId="9" borderId="8" xfId="0" applyFont="1" applyFill="1" applyBorder="1"/>
    <xf numFmtId="0" fontId="13" fillId="9" borderId="10" xfId="0" applyFont="1" applyFill="1" applyBorder="1"/>
    <xf numFmtId="168" fontId="8" fillId="3" borderId="6" xfId="3" applyNumberFormat="1" applyFont="1" applyFill="1" applyBorder="1" applyAlignment="1">
      <alignment horizontal="right"/>
    </xf>
    <xf numFmtId="0" fontId="8" fillId="3" borderId="8" xfId="3" applyFont="1" applyFill="1" applyBorder="1" applyAlignment="1">
      <alignment horizontal="center"/>
    </xf>
    <xf numFmtId="42" fontId="8" fillId="3" borderId="16" xfId="3" applyNumberFormat="1" applyFont="1" applyFill="1" applyBorder="1" applyAlignment="1"/>
    <xf numFmtId="42" fontId="7" fillId="3" borderId="19" xfId="3" applyNumberFormat="1" applyFont="1" applyFill="1" applyBorder="1" applyAlignment="1"/>
    <xf numFmtId="0" fontId="7" fillId="0" borderId="16" xfId="3" applyFont="1" applyBorder="1" applyAlignment="1"/>
    <xf numFmtId="42" fontId="21" fillId="3" borderId="19" xfId="3" applyNumberFormat="1" applyFont="1" applyFill="1" applyBorder="1" applyAlignment="1"/>
    <xf numFmtId="178" fontId="7" fillId="0" borderId="16" xfId="1" applyNumberFormat="1" applyFont="1" applyBorder="1" applyAlignment="1"/>
    <xf numFmtId="178" fontId="7" fillId="0" borderId="17" xfId="1" applyNumberFormat="1" applyFont="1" applyBorder="1" applyAlignment="1"/>
    <xf numFmtId="178" fontId="21" fillId="0" borderId="16" xfId="1" applyNumberFormat="1" applyFont="1" applyBorder="1" applyAlignment="1"/>
    <xf numFmtId="178" fontId="21" fillId="0" borderId="17" xfId="1" applyNumberFormat="1" applyFont="1" applyBorder="1" applyAlignment="1"/>
    <xf numFmtId="178" fontId="7" fillId="0" borderId="17" xfId="3" applyNumberFormat="1" applyFont="1" applyBorder="1" applyAlignment="1"/>
    <xf numFmtId="43" fontId="15" fillId="0" borderId="16" xfId="3" applyNumberFormat="1" applyFont="1" applyBorder="1" applyAlignment="1"/>
    <xf numFmtId="43" fontId="15" fillId="10" borderId="0" xfId="3" applyNumberFormat="1" applyFont="1" applyFill="1" applyBorder="1" applyAlignment="1"/>
    <xf numFmtId="43" fontId="7" fillId="10" borderId="0" xfId="3" applyNumberFormat="1" applyFont="1" applyFill="1" applyBorder="1" applyAlignment="1">
      <alignment horizontal="center"/>
    </xf>
    <xf numFmtId="43" fontId="7" fillId="10" borderId="0" xfId="3" applyNumberFormat="1" applyFont="1" applyFill="1" applyBorder="1" applyAlignment="1"/>
    <xf numFmtId="42" fontId="42" fillId="3" borderId="11" xfId="3" applyNumberFormat="1" applyFont="1" applyFill="1" applyBorder="1" applyAlignment="1">
      <alignment horizontal="center"/>
    </xf>
    <xf numFmtId="0" fontId="7" fillId="0" borderId="11" xfId="3" applyFont="1" applyBorder="1" applyAlignment="1"/>
    <xf numFmtId="0" fontId="8" fillId="3" borderId="3" xfId="3" applyFont="1" applyFill="1" applyBorder="1" applyAlignment="1">
      <alignment horizontal="center"/>
    </xf>
    <xf numFmtId="0" fontId="7" fillId="3" borderId="11" xfId="3" applyFont="1" applyFill="1" applyBorder="1" applyAlignment="1">
      <alignment horizontal="right"/>
    </xf>
    <xf numFmtId="10" fontId="7" fillId="3" borderId="11" xfId="4" applyNumberFormat="1" applyFont="1" applyFill="1" applyBorder="1" applyAlignment="1">
      <alignment horizontal="center"/>
    </xf>
    <xf numFmtId="0" fontId="7" fillId="3" borderId="14" xfId="3" applyFont="1" applyFill="1" applyBorder="1" applyAlignment="1">
      <alignment horizontal="right"/>
    </xf>
    <xf numFmtId="10" fontId="8" fillId="3" borderId="7" xfId="3" applyNumberFormat="1" applyFont="1" applyFill="1" applyBorder="1" applyAlignment="1">
      <alignment horizontal="center"/>
    </xf>
    <xf numFmtId="0" fontId="7" fillId="3" borderId="16" xfId="3" applyFont="1" applyFill="1" applyBorder="1" applyAlignment="1"/>
    <xf numFmtId="0" fontId="7" fillId="3" borderId="18" xfId="3" applyFont="1" applyFill="1" applyBorder="1" applyAlignment="1"/>
    <xf numFmtId="42" fontId="8" fillId="3" borderId="17" xfId="3" applyNumberFormat="1" applyFont="1" applyFill="1" applyBorder="1" applyAlignment="1"/>
    <xf numFmtId="41" fontId="7" fillId="0" borderId="16" xfId="3" applyNumberFormat="1" applyFont="1" applyFill="1" applyBorder="1" applyAlignment="1"/>
    <xf numFmtId="178" fontId="7" fillId="0" borderId="16" xfId="3" applyNumberFormat="1" applyFont="1" applyFill="1" applyBorder="1" applyAlignment="1"/>
    <xf numFmtId="0" fontId="7" fillId="0" borderId="13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41" fontId="21" fillId="0" borderId="5" xfId="3" applyNumberFormat="1" applyFont="1" applyFill="1" applyBorder="1" applyAlignment="1">
      <alignment horizontal="center"/>
    </xf>
    <xf numFmtId="41" fontId="15" fillId="0" borderId="13" xfId="3" applyNumberFormat="1" applyFont="1" applyFill="1" applyBorder="1" applyAlignment="1"/>
    <xf numFmtId="41" fontId="7" fillId="0" borderId="5" xfId="3" applyNumberFormat="1" applyFont="1" applyFill="1" applyBorder="1" applyAlignment="1"/>
    <xf numFmtId="41" fontId="7" fillId="0" borderId="14" xfId="3" applyNumberFormat="1" applyFont="1" applyFill="1" applyBorder="1" applyAlignment="1"/>
    <xf numFmtId="41" fontId="7" fillId="0" borderId="13" xfId="3" applyNumberFormat="1" applyFont="1" applyFill="1" applyBorder="1" applyAlignment="1"/>
    <xf numFmtId="0" fontId="7" fillId="0" borderId="0" xfId="3" applyFont="1"/>
    <xf numFmtId="0" fontId="7" fillId="0" borderId="8" xfId="3" applyFont="1" applyFill="1" applyBorder="1" applyAlignment="1"/>
    <xf numFmtId="44" fontId="15" fillId="0" borderId="4" xfId="3" applyNumberFormat="1" applyFont="1" applyFill="1" applyBorder="1" applyAlignment="1"/>
    <xf numFmtId="0" fontId="7" fillId="0" borderId="10" xfId="3" applyFont="1" applyFill="1" applyBorder="1" applyAlignment="1"/>
    <xf numFmtId="0" fontId="7" fillId="0" borderId="12" xfId="3" applyFont="1" applyFill="1" applyBorder="1" applyAlignment="1"/>
    <xf numFmtId="44" fontId="15" fillId="0" borderId="9" xfId="3" applyNumberFormat="1" applyFont="1" applyFill="1" applyBorder="1" applyAlignment="1"/>
    <xf numFmtId="10" fontId="15" fillId="0" borderId="11" xfId="3" applyNumberFormat="1" applyFont="1" applyFill="1" applyBorder="1" applyAlignment="1"/>
    <xf numFmtId="10" fontId="15" fillId="0" borderId="7" xfId="3" applyNumberFormat="1" applyFont="1" applyFill="1" applyBorder="1" applyAlignment="1"/>
    <xf numFmtId="10" fontId="15" fillId="0" borderId="9" xfId="3" applyNumberFormat="1" applyFont="1" applyBorder="1" applyAlignment="1"/>
    <xf numFmtId="10" fontId="15" fillId="0" borderId="11" xfId="3" applyNumberFormat="1" applyFont="1" applyBorder="1" applyAlignment="1"/>
    <xf numFmtId="10" fontId="15" fillId="0" borderId="7" xfId="3" applyNumberFormat="1" applyFont="1" applyBorder="1" applyAlignment="1"/>
    <xf numFmtId="43" fontId="15" fillId="0" borderId="11" xfId="3" applyNumberFormat="1" applyFont="1" applyFill="1" applyBorder="1" applyAlignment="1"/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4" applyNumberFormat="1" applyFont="1" applyAlignment="1">
      <alignment horizontal="center"/>
    </xf>
    <xf numFmtId="44" fontId="4" fillId="3" borderId="0" xfId="0" applyNumberFormat="1" applyFont="1" applyFill="1"/>
    <xf numFmtId="0" fontId="7" fillId="0" borderId="0" xfId="3" applyFont="1" applyAlignment="1">
      <alignment horizontal="left" indent="2"/>
    </xf>
    <xf numFmtId="0" fontId="7" fillId="0" borderId="1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11" xfId="3" applyFont="1" applyFill="1" applyBorder="1" applyAlignment="1">
      <alignment horizontal="left" vertical="center"/>
    </xf>
    <xf numFmtId="0" fontId="7" fillId="0" borderId="12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43" fontId="15" fillId="0" borderId="0" xfId="3" applyNumberFormat="1" applyFont="1" applyFill="1" applyBorder="1" applyAlignment="1"/>
    <xf numFmtId="10" fontId="15" fillId="0" borderId="6" xfId="4" applyNumberFormat="1" applyFont="1" applyFill="1" applyBorder="1" applyAlignment="1"/>
    <xf numFmtId="1" fontId="2" fillId="3" borderId="0" xfId="0" applyNumberFormat="1" applyFont="1" applyFill="1"/>
    <xf numFmtId="42" fontId="7" fillId="3" borderId="0" xfId="3" applyNumberFormat="1" applyFont="1" applyFill="1" applyBorder="1" applyAlignment="1">
      <alignment horizontal="center"/>
    </xf>
    <xf numFmtId="41" fontId="7" fillId="3" borderId="0" xfId="3" applyNumberFormat="1" applyFont="1" applyFill="1" applyBorder="1" applyAlignment="1">
      <alignment horizontal="center"/>
    </xf>
    <xf numFmtId="41" fontId="7" fillId="3" borderId="10" xfId="3" applyNumberFormat="1" applyFont="1" applyFill="1" applyBorder="1" applyAlignment="1">
      <alignment horizontal="center"/>
    </xf>
    <xf numFmtId="41" fontId="7" fillId="3" borderId="5" xfId="3" applyNumberFormat="1" applyFont="1" applyFill="1" applyBorder="1" applyAlignment="1">
      <alignment horizontal="center"/>
    </xf>
    <xf numFmtId="42" fontId="7" fillId="3" borderId="10" xfId="3" applyNumberFormat="1" applyFont="1" applyFill="1" applyBorder="1" applyAlignment="1">
      <alignment horizontal="center"/>
    </xf>
    <xf numFmtId="41" fontId="7" fillId="0" borderId="5" xfId="3" applyNumberFormat="1" applyFont="1" applyFill="1" applyBorder="1" applyAlignment="1">
      <alignment horizontal="center"/>
    </xf>
    <xf numFmtId="10" fontId="7" fillId="3" borderId="0" xfId="3" applyNumberFormat="1" applyFont="1" applyFill="1" applyBorder="1" applyAlignment="1">
      <alignment horizontal="center"/>
    </xf>
    <xf numFmtId="41" fontId="7" fillId="3" borderId="7" xfId="3" applyNumberFormat="1" applyFont="1" applyFill="1" applyBorder="1" applyAlignment="1">
      <alignment horizontal="center"/>
    </xf>
    <xf numFmtId="41" fontId="7" fillId="3" borderId="12" xfId="3" applyNumberFormat="1" applyFont="1" applyFill="1" applyBorder="1" applyAlignment="1"/>
    <xf numFmtId="41" fontId="7" fillId="3" borderId="6" xfId="3" applyNumberFormat="1" applyFont="1" applyFill="1" applyBorder="1" applyAlignment="1"/>
    <xf numFmtId="41" fontId="7" fillId="3" borderId="7" xfId="3" applyNumberFormat="1" applyFont="1" applyFill="1" applyBorder="1" applyAlignment="1"/>
    <xf numFmtId="167" fontId="7" fillId="3" borderId="0" xfId="3" applyNumberFormat="1" applyFont="1" applyFill="1" applyBorder="1" applyAlignment="1">
      <alignment horizontal="center"/>
    </xf>
    <xf numFmtId="3" fontId="7" fillId="3" borderId="8" xfId="3" applyNumberFormat="1" applyFont="1" applyFill="1" applyBorder="1" applyAlignment="1">
      <alignment horizontal="center"/>
    </xf>
    <xf numFmtId="3" fontId="7" fillId="3" borderId="4" xfId="3" applyNumberFormat="1" applyFont="1" applyFill="1" applyBorder="1" applyAlignment="1">
      <alignment horizontal="center"/>
    </xf>
    <xf numFmtId="3" fontId="7" fillId="3" borderId="9" xfId="3" applyNumberFormat="1" applyFont="1" applyFill="1" applyBorder="1" applyAlignment="1">
      <alignment horizontal="center"/>
    </xf>
    <xf numFmtId="1" fontId="7" fillId="3" borderId="0" xfId="3" applyNumberFormat="1" applyFont="1" applyFill="1" applyBorder="1" applyAlignment="1">
      <alignment horizontal="center"/>
    </xf>
    <xf numFmtId="1" fontId="7" fillId="3" borderId="10" xfId="3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/>
    </xf>
    <xf numFmtId="0" fontId="7" fillId="3" borderId="11" xfId="3" applyFont="1" applyFill="1" applyBorder="1" applyAlignment="1">
      <alignment horizontal="center"/>
    </xf>
    <xf numFmtId="0" fontId="7" fillId="3" borderId="10" xfId="3" applyFont="1" applyFill="1" applyBorder="1" applyAlignment="1">
      <alignment horizontal="center"/>
    </xf>
    <xf numFmtId="169" fontId="7" fillId="3" borderId="0" xfId="3" applyNumberFormat="1" applyFont="1" applyFill="1" applyBorder="1" applyAlignment="1">
      <alignment horizontal="center"/>
    </xf>
    <xf numFmtId="171" fontId="7" fillId="3" borderId="0" xfId="3" applyNumberFormat="1" applyFont="1" applyFill="1" applyBorder="1" applyAlignment="1">
      <alignment horizontal="center"/>
    </xf>
    <xf numFmtId="168" fontId="7" fillId="3" borderId="0" xfId="3" applyNumberFormat="1" applyFont="1" applyFill="1" applyBorder="1" applyAlignment="1">
      <alignment horizontal="center"/>
    </xf>
    <xf numFmtId="168" fontId="7" fillId="3" borderId="5" xfId="3" applyNumberFormat="1" applyFont="1" applyFill="1" applyBorder="1" applyAlignment="1">
      <alignment horizontal="center"/>
    </xf>
    <xf numFmtId="3" fontId="7" fillId="3" borderId="5" xfId="3" applyNumberFormat="1" applyFont="1" applyFill="1" applyBorder="1" applyAlignment="1">
      <alignment horizontal="center"/>
    </xf>
    <xf numFmtId="3" fontId="7" fillId="3" borderId="13" xfId="3" applyNumberFormat="1" applyFont="1" applyFill="1" applyBorder="1" applyAlignment="1">
      <alignment horizontal="center"/>
    </xf>
    <xf numFmtId="3" fontId="7" fillId="3" borderId="14" xfId="3" applyNumberFormat="1" applyFont="1" applyFill="1" applyBorder="1" applyAlignment="1">
      <alignment horizontal="center"/>
    </xf>
    <xf numFmtId="44" fontId="7" fillId="0" borderId="4" xfId="3" applyNumberFormat="1" applyFont="1" applyBorder="1" applyAlignment="1"/>
    <xf numFmtId="10" fontId="7" fillId="0" borderId="2" xfId="3" applyNumberFormat="1" applyFont="1" applyBorder="1" applyAlignment="1">
      <alignment horizontal="right"/>
    </xf>
    <xf numFmtId="44" fontId="7" fillId="0" borderId="4" xfId="3" applyNumberFormat="1" applyFont="1" applyFill="1" applyBorder="1" applyAlignment="1"/>
    <xf numFmtId="43" fontId="7" fillId="0" borderId="0" xfId="3" applyNumberFormat="1" applyFont="1" applyFill="1" applyBorder="1" applyAlignment="1"/>
    <xf numFmtId="10" fontId="7" fillId="0" borderId="6" xfId="4" applyNumberFormat="1" applyFont="1" applyFill="1" applyBorder="1" applyAlignment="1"/>
    <xf numFmtId="44" fontId="7" fillId="0" borderId="9" xfId="3" applyNumberFormat="1" applyFont="1" applyFill="1" applyBorder="1" applyAlignment="1"/>
    <xf numFmtId="43" fontId="7" fillId="0" borderId="11" xfId="3" applyNumberFormat="1" applyFont="1" applyFill="1" applyBorder="1" applyAlignment="1"/>
    <xf numFmtId="10" fontId="7" fillId="0" borderId="11" xfId="3" applyNumberFormat="1" applyFont="1" applyFill="1" applyBorder="1" applyAlignment="1"/>
    <xf numFmtId="10" fontId="7" fillId="0" borderId="7" xfId="3" applyNumberFormat="1" applyFont="1" applyFill="1" applyBorder="1" applyAlignment="1"/>
    <xf numFmtId="10" fontId="7" fillId="0" borderId="9" xfId="3" applyNumberFormat="1" applyFont="1" applyBorder="1" applyAlignment="1"/>
    <xf numFmtId="10" fontId="7" fillId="0" borderId="11" xfId="3" applyNumberFormat="1" applyFont="1" applyBorder="1" applyAlignment="1"/>
    <xf numFmtId="10" fontId="7" fillId="0" borderId="7" xfId="3" applyNumberFormat="1" applyFont="1" applyBorder="1" applyAlignment="1"/>
    <xf numFmtId="44" fontId="7" fillId="3" borderId="0" xfId="2" applyNumberFormat="1" applyFont="1" applyFill="1" applyBorder="1" applyAlignment="1">
      <alignment horizontal="center"/>
    </xf>
    <xf numFmtId="44" fontId="7" fillId="3" borderId="0" xfId="2" applyNumberFormat="1" applyFont="1" applyFill="1" applyBorder="1"/>
    <xf numFmtId="10" fontId="8" fillId="11" borderId="0" xfId="3" applyNumberFormat="1" applyFont="1" applyFill="1" applyBorder="1" applyAlignment="1">
      <alignment horizontal="right"/>
    </xf>
    <xf numFmtId="0" fontId="8" fillId="11" borderId="0" xfId="3" applyFont="1" applyFill="1" applyBorder="1" applyAlignment="1"/>
    <xf numFmtId="0" fontId="8" fillId="11" borderId="1" xfId="3" applyFont="1" applyFill="1" applyBorder="1" applyAlignment="1">
      <alignment horizontal="left"/>
    </xf>
    <xf numFmtId="0" fontId="8" fillId="11" borderId="2" xfId="3" applyFont="1" applyFill="1" applyBorder="1" applyAlignment="1">
      <alignment horizontal="right"/>
    </xf>
    <xf numFmtId="0" fontId="6" fillId="11" borderId="2" xfId="3" applyFont="1" applyFill="1" applyBorder="1" applyAlignment="1"/>
    <xf numFmtId="0" fontId="6" fillId="11" borderId="15" xfId="3" applyFont="1" applyFill="1" applyBorder="1" applyAlignment="1"/>
    <xf numFmtId="42" fontId="8" fillId="11" borderId="15" xfId="3" applyNumberFormat="1" applyFont="1" applyFill="1" applyBorder="1" applyAlignment="1"/>
    <xf numFmtId="0" fontId="8" fillId="11" borderId="12" xfId="3" applyFont="1" applyFill="1" applyBorder="1" applyAlignment="1"/>
    <xf numFmtId="0" fontId="8" fillId="11" borderId="6" xfId="3" applyFont="1" applyFill="1" applyBorder="1" applyAlignment="1"/>
    <xf numFmtId="0" fontId="7" fillId="11" borderId="6" xfId="3" applyFont="1" applyFill="1" applyBorder="1" applyAlignment="1"/>
    <xf numFmtId="42" fontId="8" fillId="11" borderId="17" xfId="3" applyNumberFormat="1" applyFont="1" applyFill="1" applyBorder="1" applyAlignment="1"/>
    <xf numFmtId="10" fontId="8" fillId="11" borderId="7" xfId="3" applyNumberFormat="1" applyFont="1" applyFill="1" applyBorder="1" applyAlignment="1">
      <alignment horizontal="center"/>
    </xf>
    <xf numFmtId="0" fontId="8" fillId="11" borderId="8" xfId="3" applyFont="1" applyFill="1" applyBorder="1" applyAlignment="1"/>
    <xf numFmtId="0" fontId="7" fillId="11" borderId="4" xfId="3" applyFont="1" applyFill="1" applyBorder="1" applyAlignment="1"/>
    <xf numFmtId="42" fontId="8" fillId="11" borderId="9" xfId="3" applyNumberFormat="1" applyFont="1" applyFill="1" applyBorder="1" applyAlignment="1"/>
    <xf numFmtId="41" fontId="8" fillId="11" borderId="7" xfId="3" applyNumberFormat="1" applyFont="1" applyFill="1" applyBorder="1" applyAlignment="1"/>
    <xf numFmtId="10" fontId="7" fillId="3" borderId="10" xfId="4" applyNumberFormat="1" applyFont="1" applyFill="1" applyBorder="1" applyAlignment="1">
      <alignment horizontal="center"/>
    </xf>
    <xf numFmtId="0" fontId="7" fillId="0" borderId="4" xfId="3" applyFont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7" fillId="0" borderId="12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left" vertical="top" wrapText="1"/>
    </xf>
    <xf numFmtId="0" fontId="7" fillId="0" borderId="10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11" xfId="3" applyFont="1" applyBorder="1" applyAlignment="1">
      <alignment horizontal="left" vertical="top" wrapText="1"/>
    </xf>
    <xf numFmtId="0" fontId="7" fillId="0" borderId="8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4" xfId="3" applyFont="1" applyBorder="1" applyAlignment="1">
      <alignment horizontal="left" vertical="center" wrapText="1"/>
    </xf>
    <xf numFmtId="0" fontId="7" fillId="0" borderId="9" xfId="3" applyFont="1" applyBorder="1" applyAlignment="1">
      <alignment horizontal="left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11" xfId="3" applyFont="1" applyBorder="1" applyAlignment="1">
      <alignment horizontal="left" vertical="center" wrapText="1"/>
    </xf>
    <xf numFmtId="0" fontId="7" fillId="0" borderId="12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</cellXfs>
  <cellStyles count="28">
    <cellStyle name="Bold" xfId="6" xr:uid="{00000000-0005-0000-0000-000000000000}"/>
    <cellStyle name="Column Head" xfId="7" xr:uid="{00000000-0005-0000-0000-000001000000}"/>
    <cellStyle name="Comma" xfId="1" builtinId="3"/>
    <cellStyle name="Comma (0)" xfId="8" xr:uid="{00000000-0005-0000-0000-000003000000}"/>
    <cellStyle name="Comma (1)" xfId="9" xr:uid="{00000000-0005-0000-0000-000004000000}"/>
    <cellStyle name="Comma (2)" xfId="10" xr:uid="{00000000-0005-0000-0000-000005000000}"/>
    <cellStyle name="Comma 2" xfId="11" xr:uid="{00000000-0005-0000-0000-000006000000}"/>
    <cellStyle name="Comma 3" xfId="12" xr:uid="{00000000-0005-0000-0000-000007000000}"/>
    <cellStyle name="Currency" xfId="2" builtinId="4"/>
    <cellStyle name="Currency (0)" xfId="13" xr:uid="{00000000-0005-0000-0000-000009000000}"/>
    <cellStyle name="Currency (1)" xfId="14" xr:uid="{00000000-0005-0000-0000-00000A000000}"/>
    <cellStyle name="Currency (2)" xfId="15" xr:uid="{00000000-0005-0000-0000-00000B000000}"/>
    <cellStyle name="Currency 2" xfId="16" xr:uid="{00000000-0005-0000-0000-00000C000000}"/>
    <cellStyle name="Currency 3" xfId="17" xr:uid="{00000000-0005-0000-0000-00000D000000}"/>
    <cellStyle name="Normal" xfId="0" builtinId="0"/>
    <cellStyle name="Normal 10" xfId="18" xr:uid="{00000000-0005-0000-0000-00000F000000}"/>
    <cellStyle name="Normal 2" xfId="3" xr:uid="{00000000-0005-0000-0000-000010000000}"/>
    <cellStyle name="Normal 3" xfId="19" xr:uid="{00000000-0005-0000-0000-000011000000}"/>
    <cellStyle name="Normal 3 2" xfId="20" xr:uid="{00000000-0005-0000-0000-000012000000}"/>
    <cellStyle name="Normal 4" xfId="21" xr:uid="{00000000-0005-0000-0000-000013000000}"/>
    <cellStyle name="Normal 5" xfId="5" xr:uid="{00000000-0005-0000-0000-000014000000}"/>
    <cellStyle name="Number (0)" xfId="22" xr:uid="{00000000-0005-0000-0000-000015000000}"/>
    <cellStyle name="Percent" xfId="4" builtinId="5"/>
    <cellStyle name="Percent (0)" xfId="23" xr:uid="{00000000-0005-0000-0000-000017000000}"/>
    <cellStyle name="Percent (1)" xfId="24" xr:uid="{00000000-0005-0000-0000-000018000000}"/>
    <cellStyle name="Percent (2)" xfId="25" xr:uid="{00000000-0005-0000-0000-000019000000}"/>
    <cellStyle name="Percent 2" xfId="26" xr:uid="{00000000-0005-0000-0000-00001A000000}"/>
    <cellStyle name="Percent 3" xfId="27" xr:uid="{00000000-0005-0000-0000-00001B000000}"/>
  </cellStyles>
  <dxfs count="0"/>
  <tableStyles count="0" defaultTableStyle="TableStyleMedium9" defaultPivotStyle="PivotStyleLight16"/>
  <colors>
    <mruColors>
      <color rgb="FF0000FF"/>
      <color rgb="FF008000"/>
      <color rgb="FFFF006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0B30-7E72-48CD-81CD-F0217D3847FB}">
  <sheetPr>
    <pageSetUpPr fitToPage="1"/>
  </sheetPr>
  <dimension ref="A1:P125"/>
  <sheetViews>
    <sheetView showGridLines="0" tabSelected="1" view="pageBreakPreview" topLeftCell="A57" zoomScale="70" zoomScaleNormal="100" zoomScaleSheetLayoutView="70" workbookViewId="0">
      <selection activeCell="D67" sqref="D67"/>
    </sheetView>
  </sheetViews>
  <sheetFormatPr defaultColWidth="9.1796875" defaultRowHeight="15.5"/>
  <cols>
    <col min="1" max="1" width="19.26953125" style="20" customWidth="1"/>
    <col min="2" max="2" width="29.453125" style="20" customWidth="1"/>
    <col min="3" max="3" width="21.81640625" style="20" customWidth="1"/>
    <col min="4" max="4" width="20.54296875" style="12" customWidth="1"/>
    <col min="5" max="5" width="20.54296875" style="20" customWidth="1"/>
    <col min="6" max="6" width="22.7265625" style="20" bestFit="1" customWidth="1"/>
    <col min="7" max="11" width="20.54296875" style="20" customWidth="1"/>
    <col min="12" max="12" width="21" style="20" customWidth="1"/>
    <col min="13" max="13" width="21.54296875" style="20" customWidth="1"/>
    <col min="14" max="14" width="22.54296875" style="20" customWidth="1"/>
    <col min="15" max="15" width="9.1796875" style="20"/>
    <col min="16" max="16" width="19.26953125" style="20" customWidth="1"/>
    <col min="17" max="16384" width="9.1796875" style="20"/>
  </cols>
  <sheetData>
    <row r="1" spans="1:14" ht="18.5" thickBot="1">
      <c r="A1" s="955" t="s">
        <v>59</v>
      </c>
      <c r="B1" s="85"/>
      <c r="C1" s="85"/>
      <c r="D1" s="956"/>
      <c r="E1" s="957"/>
      <c r="F1" s="957"/>
      <c r="G1" s="957"/>
      <c r="H1" s="957"/>
      <c r="I1" s="957"/>
      <c r="J1" s="957"/>
      <c r="K1" s="957"/>
      <c r="L1" s="957"/>
      <c r="M1" s="957"/>
      <c r="N1" s="83"/>
    </row>
    <row r="2" spans="1:14" ht="16" thickBot="1">
      <c r="A2" s="784"/>
      <c r="B2" s="785"/>
      <c r="C2" s="785"/>
      <c r="D2" s="786" t="s">
        <v>53</v>
      </c>
      <c r="E2" s="374" t="s">
        <v>34</v>
      </c>
      <c r="F2" s="375"/>
      <c r="G2" s="376"/>
      <c r="H2" s="374" t="s">
        <v>76</v>
      </c>
      <c r="I2" s="377"/>
      <c r="J2" s="376"/>
      <c r="K2" s="378" t="s">
        <v>77</v>
      </c>
      <c r="L2" s="378"/>
      <c r="M2" s="379"/>
      <c r="N2" s="376"/>
    </row>
    <row r="3" spans="1:14" ht="16" thickBot="1">
      <c r="A3" s="4"/>
      <c r="B3" s="5"/>
      <c r="C3" s="5"/>
      <c r="D3" s="6" t="s">
        <v>397</v>
      </c>
      <c r="E3" s="32">
        <v>2022</v>
      </c>
      <c r="F3" s="6">
        <v>2023</v>
      </c>
      <c r="G3" s="7">
        <v>2024</v>
      </c>
      <c r="H3" s="32">
        <v>2025</v>
      </c>
      <c r="I3" s="6">
        <v>2026</v>
      </c>
      <c r="J3" s="7">
        <v>2027</v>
      </c>
      <c r="K3" s="6">
        <v>2028</v>
      </c>
      <c r="L3" s="6">
        <v>2029</v>
      </c>
      <c r="M3" s="6">
        <v>2030</v>
      </c>
      <c r="N3" s="7">
        <v>2031</v>
      </c>
    </row>
    <row r="4" spans="1:14" ht="16" thickBot="1">
      <c r="A4" s="26" t="s">
        <v>0</v>
      </c>
      <c r="B4" s="27"/>
      <c r="C4" s="27"/>
      <c r="D4" s="16"/>
      <c r="E4" s="459"/>
      <c r="F4" s="17"/>
      <c r="G4" s="23"/>
      <c r="H4" s="459"/>
      <c r="I4" s="17"/>
      <c r="J4" s="23"/>
      <c r="K4" s="17"/>
      <c r="L4" s="17"/>
      <c r="M4" s="17"/>
      <c r="N4" s="23"/>
    </row>
    <row r="5" spans="1:14">
      <c r="A5" s="685" t="s">
        <v>60</v>
      </c>
      <c r="B5" s="720"/>
      <c r="C5" s="720"/>
      <c r="D5" s="1108">
        <f>'2.Market-Rate Rental Housing'!C40</f>
        <v>0</v>
      </c>
      <c r="E5" s="695">
        <f>'2.Market-Rate Rental Housing'!D40</f>
        <v>0</v>
      </c>
      <c r="F5" s="735">
        <f>'2.Market-Rate Rental Housing'!E40</f>
        <v>1640309.2056</v>
      </c>
      <c r="G5" s="736">
        <f>'2.Market-Rate Rental Housing'!F40</f>
        <v>4162384.6280639996</v>
      </c>
      <c r="H5" s="695">
        <f>'2.Market-Rate Rental Housing'!G40</f>
        <v>6306012.7115169596</v>
      </c>
      <c r="I5" s="735">
        <f>'2.Market-Rate Rental Housing'!H40</f>
        <v>7875647.9547598939</v>
      </c>
      <c r="J5" s="736">
        <f>'2.Market-Rate Rental Housing'!I40</f>
        <v>8682742.6589107588</v>
      </c>
      <c r="K5" s="735">
        <f>'2.Market-Rate Rental Housing'!J40</f>
        <v>9761914.464696575</v>
      </c>
      <c r="L5" s="735">
        <f>'2.Market-Rate Rental Housing'!K40</f>
        <v>11353857.4389394</v>
      </c>
      <c r="M5" s="735">
        <f>'2.Market-Rate Rental Housing'!L40</f>
        <v>12224319.842591424</v>
      </c>
      <c r="N5" s="736">
        <f>'2.Market-Rate Rental Housing'!M40</f>
        <v>12468806.239443254</v>
      </c>
    </row>
    <row r="6" spans="1:14">
      <c r="A6" s="685" t="s">
        <v>483</v>
      </c>
      <c r="B6" s="720"/>
      <c r="C6" s="720"/>
      <c r="D6" s="1109">
        <f>'3.Luxury Condos'!C28</f>
        <v>0</v>
      </c>
      <c r="E6" s="1110">
        <f>'3.Luxury Condos'!D28</f>
        <v>0</v>
      </c>
      <c r="F6" s="1109">
        <f>'3.Luxury Condos'!E28</f>
        <v>0</v>
      </c>
      <c r="G6" s="737">
        <f>'3.Luxury Condos'!F28</f>
        <v>0</v>
      </c>
      <c r="H6" s="1110">
        <f>'3.Luxury Condos'!G28</f>
        <v>0</v>
      </c>
      <c r="I6" s="1109">
        <f>'3.Luxury Condos'!H28</f>
        <v>8197799.9637599988</v>
      </c>
      <c r="J6" s="737">
        <f>'3.Luxury Condos'!I28</f>
        <v>8361755.9630351998</v>
      </c>
      <c r="K6" s="1109">
        <f>'3.Luxury Condos'!J28</f>
        <v>8244691.3795527071</v>
      </c>
      <c r="L6" s="1109">
        <f>'3.Luxury Condos'!K28</f>
        <v>0</v>
      </c>
      <c r="M6" s="1109">
        <f>'3.Luxury Condos'!L28</f>
        <v>0</v>
      </c>
      <c r="N6" s="737">
        <f>'3.Luxury Condos'!M28</f>
        <v>0</v>
      </c>
    </row>
    <row r="7" spans="1:14">
      <c r="A7" s="685" t="s">
        <v>62</v>
      </c>
      <c r="B7" s="720"/>
      <c r="C7" s="720"/>
      <c r="D7" s="1109">
        <f>'4.Affordable Rental Housing'!C39</f>
        <v>0</v>
      </c>
      <c r="E7" s="697">
        <f>'4.Affordable Rental Housing'!D39</f>
        <v>0</v>
      </c>
      <c r="F7" s="738">
        <f>'4.Affordable Rental Housing'!E39</f>
        <v>243453.6</v>
      </c>
      <c r="G7" s="739">
        <f>'4.Affordable Rental Housing'!F39</f>
        <v>615840.22655999986</v>
      </c>
      <c r="H7" s="697">
        <f>'4.Affordable Rental Housing'!G39</f>
        <v>982761.80670720013</v>
      </c>
      <c r="I7" s="738">
        <f>'4.Affordable Rental Housing'!H39</f>
        <v>1209100.9692003839</v>
      </c>
      <c r="J7" s="739">
        <f>'4.Affordable Rental Housing'!I39</f>
        <v>1359773.5515161245</v>
      </c>
      <c r="K7" s="738">
        <f>'4.Affordable Rental Housing'!J39</f>
        <v>1386969.0225464464</v>
      </c>
      <c r="L7" s="738">
        <f>'4.Affordable Rental Housing'!K39</f>
        <v>1557275.9164777312</v>
      </c>
      <c r="M7" s="738">
        <f>'4.Affordable Rental Housing'!L39</f>
        <v>1789770.6307687727</v>
      </c>
      <c r="N7" s="739">
        <f>'4.Affordable Rental Housing'!M39</f>
        <v>1951073.7088668083</v>
      </c>
    </row>
    <row r="8" spans="1:14">
      <c r="A8" s="685" t="s">
        <v>592</v>
      </c>
      <c r="B8" s="720"/>
      <c r="C8" s="720"/>
      <c r="D8" s="1109">
        <f>'5.Office'!C38</f>
        <v>1387530</v>
      </c>
      <c r="E8" s="697">
        <f>'5.Office'!D38</f>
        <v>1415280.6</v>
      </c>
      <c r="F8" s="738">
        <f>'5.Office'!E38</f>
        <v>1443586.2120000001</v>
      </c>
      <c r="G8" s="739">
        <f>'5.Office'!F38</f>
        <v>1655595.9068400003</v>
      </c>
      <c r="H8" s="697">
        <f>'5.Office'!G38</f>
        <v>2155709.6500068004</v>
      </c>
      <c r="I8" s="738">
        <f>'5.Office'!H38</f>
        <v>666878.60614284</v>
      </c>
      <c r="J8" s="739">
        <f>'5.Office'!I38</f>
        <v>1591723.5941998344</v>
      </c>
      <c r="K8" s="738">
        <f>'5.Office'!J38</f>
        <v>2934438.1500051883</v>
      </c>
      <c r="L8" s="738">
        <f>'5.Office'!K38</f>
        <v>4731353.9042850146</v>
      </c>
      <c r="M8" s="738">
        <f>'5.Office'!L38</f>
        <v>5856389.7950368691</v>
      </c>
      <c r="N8" s="739">
        <f>'5.Office'!M38</f>
        <v>7198012.7232525907</v>
      </c>
    </row>
    <row r="9" spans="1:14">
      <c r="A9" s="685" t="s">
        <v>64</v>
      </c>
      <c r="B9" s="720"/>
      <c r="C9" s="720"/>
      <c r="D9" s="1109">
        <f>'6.Retail'!C119</f>
        <v>0</v>
      </c>
      <c r="E9" s="697">
        <f>'6.Retail'!D119</f>
        <v>-634735.80000000005</v>
      </c>
      <c r="F9" s="738">
        <f>'6.Retail'!E119</f>
        <v>1171918.2645000003</v>
      </c>
      <c r="G9" s="739">
        <f>'6.Retail'!F119</f>
        <v>2667307.1759550003</v>
      </c>
      <c r="H9" s="697">
        <f>'6.Retail'!G119</f>
        <v>3387125.2017328199</v>
      </c>
      <c r="I9" s="738">
        <f>'6.Retail'!H119</f>
        <v>5007782.1972863488</v>
      </c>
      <c r="J9" s="739">
        <f>'6.Retail'!I119</f>
        <v>6208794.5068977149</v>
      </c>
      <c r="K9" s="738">
        <f>'6.Retail'!J119</f>
        <v>7164159.346146686</v>
      </c>
      <c r="L9" s="738">
        <f>'6.Retail'!K119</f>
        <v>7692121.7410402838</v>
      </c>
      <c r="M9" s="738">
        <f>'6.Retail'!L119</f>
        <v>8233980.855578538</v>
      </c>
      <c r="N9" s="739">
        <f>'6.Retail'!M119</f>
        <v>9411196.8552564029</v>
      </c>
    </row>
    <row r="10" spans="1:14">
      <c r="A10" s="685" t="s">
        <v>533</v>
      </c>
      <c r="B10" s="720"/>
      <c r="C10" s="720"/>
      <c r="D10" s="1109">
        <f>'7.Hotel'!C22</f>
        <v>0</v>
      </c>
      <c r="E10" s="697">
        <f>'7.Hotel'!D22</f>
        <v>0</v>
      </c>
      <c r="F10" s="738">
        <f>'7.Hotel'!E22</f>
        <v>0</v>
      </c>
      <c r="G10" s="739">
        <f>'7.Hotel'!F22</f>
        <v>0</v>
      </c>
      <c r="H10" s="697">
        <f>'7.Hotel'!G22</f>
        <v>3499608.1691995198</v>
      </c>
      <c r="I10" s="738">
        <f>'7.Hotel'!H22</f>
        <v>5949333.8876391836</v>
      </c>
      <c r="J10" s="739">
        <f>'7.Hotel'!I22</f>
        <v>9975970.5723713413</v>
      </c>
      <c r="K10" s="738">
        <f>'7.Hotel'!J22</f>
        <v>10518413.731899634</v>
      </c>
      <c r="L10" s="738">
        <f>'7.Hotel'!K22</f>
        <v>10885779.703810763</v>
      </c>
      <c r="M10" s="738">
        <f>'7.Hotel'!L22</f>
        <v>11079477.292184815</v>
      </c>
      <c r="N10" s="739">
        <f>'7.Hotel'!M22</f>
        <v>11277048.832326349</v>
      </c>
    </row>
    <row r="11" spans="1:14">
      <c r="A11" s="699" t="s">
        <v>47</v>
      </c>
      <c r="B11" s="758"/>
      <c r="C11" s="758"/>
      <c r="D11" s="1111">
        <f>'8.Structured Parking'!C69</f>
        <v>0</v>
      </c>
      <c r="E11" s="746">
        <f>'8.Structured Parking'!D69</f>
        <v>2017484.45625</v>
      </c>
      <c r="F11" s="747">
        <f>'8.Structured Parking'!E69</f>
        <v>2057834.1453750003</v>
      </c>
      <c r="G11" s="748">
        <f>'8.Structured Parking'!F69</f>
        <v>2098990.8282824997</v>
      </c>
      <c r="H11" s="746">
        <f>'8.Structured Parking'!G69</f>
        <v>2140970.6448481497</v>
      </c>
      <c r="I11" s="747">
        <f>'8.Structured Parking'!H69</f>
        <v>2183790.057745113</v>
      </c>
      <c r="J11" s="748">
        <f>'8.Structured Parking'!I69</f>
        <v>3119178.9291462027</v>
      </c>
      <c r="K11" s="747">
        <f>'8.Structured Parking'!J69</f>
        <v>3181562.5077291261</v>
      </c>
      <c r="L11" s="747">
        <f>'8.Structured Parking'!K69</f>
        <v>3245193.7578837085</v>
      </c>
      <c r="M11" s="747">
        <f>'8.Structured Parking'!L69</f>
        <v>3310097.6330413832</v>
      </c>
      <c r="N11" s="748">
        <f>'8.Structured Parking'!M69</f>
        <v>3376299.5857022111</v>
      </c>
    </row>
    <row r="12" spans="1:14" ht="16" thickBot="1">
      <c r="A12" s="678" t="s">
        <v>1</v>
      </c>
      <c r="B12" s="679"/>
      <c r="C12" s="679"/>
      <c r="D12" s="769">
        <f t="shared" ref="D12:N12" si="0">SUM(D5:D11)</f>
        <v>1387530</v>
      </c>
      <c r="E12" s="681">
        <f t="shared" si="0"/>
        <v>2798029.2562500001</v>
      </c>
      <c r="F12" s="770">
        <f t="shared" si="0"/>
        <v>6557101.4274750007</v>
      </c>
      <c r="G12" s="771">
        <f t="shared" si="0"/>
        <v>11200118.765701501</v>
      </c>
      <c r="H12" s="681">
        <f t="shared" si="0"/>
        <v>18472188.184011448</v>
      </c>
      <c r="I12" s="770">
        <f t="shared" si="0"/>
        <v>31090333.636533763</v>
      </c>
      <c r="J12" s="771">
        <f t="shared" si="0"/>
        <v>39299939.776077166</v>
      </c>
      <c r="K12" s="770">
        <f t="shared" si="0"/>
        <v>43192148.602576368</v>
      </c>
      <c r="L12" s="770">
        <f t="shared" si="0"/>
        <v>39465582.462436892</v>
      </c>
      <c r="M12" s="770">
        <f t="shared" si="0"/>
        <v>42494036.049201801</v>
      </c>
      <c r="N12" s="771">
        <f t="shared" si="0"/>
        <v>45682437.944847614</v>
      </c>
    </row>
    <row r="13" spans="1:14" ht="16" thickBot="1">
      <c r="A13" s="26" t="s">
        <v>2</v>
      </c>
      <c r="B13" s="27"/>
      <c r="C13" s="27"/>
      <c r="D13" s="16"/>
      <c r="E13" s="459"/>
      <c r="F13" s="17"/>
      <c r="G13" s="23"/>
      <c r="H13" s="459"/>
      <c r="I13" s="17"/>
      <c r="J13" s="23"/>
      <c r="K13" s="17"/>
      <c r="L13" s="17"/>
      <c r="M13" s="17"/>
      <c r="N13" s="23"/>
    </row>
    <row r="14" spans="1:14">
      <c r="A14" s="685" t="s">
        <v>60</v>
      </c>
      <c r="B14" s="720"/>
      <c r="C14" s="720"/>
      <c r="D14" s="1108">
        <f>'2.Market-Rate Rental Housing'!C44</f>
        <v>0</v>
      </c>
      <c r="E14" s="1112">
        <f>'2.Market-Rate Rental Housing'!D44</f>
        <v>19418416.725120001</v>
      </c>
      <c r="F14" s="1108">
        <f>'2.Market-Rate Rental Housing'!E44</f>
        <v>0</v>
      </c>
      <c r="G14" s="734">
        <f>'2.Market-Rate Rental Housing'!F44</f>
        <v>28426923.125913311</v>
      </c>
      <c r="H14" s="1112">
        <f>'2.Market-Rate Rental Housing'!G44</f>
        <v>0</v>
      </c>
      <c r="I14" s="1108">
        <f>'2.Market-Rate Rental Housing'!H44</f>
        <v>28028045.022303179</v>
      </c>
      <c r="J14" s="734">
        <f>'2.Market-Rate Rental Housing'!I44</f>
        <v>0</v>
      </c>
      <c r="K14" s="1108">
        <f>'2.Market-Rate Rental Housing'!J44</f>
        <v>26618109.499213472</v>
      </c>
      <c r="L14" s="1108">
        <f>'2.Market-Rate Rental Housing'!K44</f>
        <v>0</v>
      </c>
      <c r="M14" s="1108">
        <f>'2.Market-Rate Rental Housing'!L44</f>
        <v>0</v>
      </c>
      <c r="N14" s="734">
        <f>'2.Market-Rate Rental Housing'!M44</f>
        <v>0</v>
      </c>
    </row>
    <row r="15" spans="1:14">
      <c r="A15" s="685" t="s">
        <v>483</v>
      </c>
      <c r="B15" s="720"/>
      <c r="C15" s="720"/>
      <c r="D15" s="1109">
        <f>'3.Luxury Condos'!C32</f>
        <v>0</v>
      </c>
      <c r="E15" s="697">
        <f>'3.Luxury Condos'!D32</f>
        <v>0</v>
      </c>
      <c r="F15" s="738">
        <f>'3.Luxury Condos'!E32</f>
        <v>0</v>
      </c>
      <c r="G15" s="739">
        <f>'3.Luxury Condos'!F32</f>
        <v>0</v>
      </c>
      <c r="H15" s="697">
        <f>'3.Luxury Condos'!G32</f>
        <v>19096430.098571137</v>
      </c>
      <c r="I15" s="738">
        <f>'3.Luxury Condos'!H32</f>
        <v>0</v>
      </c>
      <c r="J15" s="739">
        <f>'3.Luxury Condos'!I32</f>
        <v>0</v>
      </c>
      <c r="K15" s="738">
        <f>'3.Luxury Condos'!J32</f>
        <v>0</v>
      </c>
      <c r="L15" s="738">
        <f>'3.Luxury Condos'!K32</f>
        <v>0</v>
      </c>
      <c r="M15" s="738">
        <f>'3.Luxury Condos'!L32</f>
        <v>0</v>
      </c>
      <c r="N15" s="739">
        <f>'3.Luxury Condos'!M32</f>
        <v>0</v>
      </c>
    </row>
    <row r="16" spans="1:14">
      <c r="A16" s="685" t="s">
        <v>62</v>
      </c>
      <c r="B16" s="720"/>
      <c r="C16" s="720"/>
      <c r="D16" s="1109">
        <f>'4.Affordable Rental Housing'!C43</f>
        <v>0</v>
      </c>
      <c r="E16" s="697">
        <f>'4.Affordable Rental Housing'!D43</f>
        <v>8322178.5964800008</v>
      </c>
      <c r="F16" s="738">
        <f>'4.Affordable Rental Housing'!E43</f>
        <v>0</v>
      </c>
      <c r="G16" s="739">
        <f>'4.Affordable Rental Housing'!F43</f>
        <v>12182967.053962847</v>
      </c>
      <c r="H16" s="697">
        <f>'4.Affordable Rental Housing'!G43</f>
        <v>0</v>
      </c>
      <c r="I16" s="738">
        <f>'4.Affordable Rental Housing'!H43</f>
        <v>12012019.295272792</v>
      </c>
      <c r="J16" s="739">
        <f>'4.Affordable Rental Housing'!I43</f>
        <v>0</v>
      </c>
      <c r="K16" s="738">
        <f>'4.Affordable Rental Housing'!J43</f>
        <v>11407761.213948632</v>
      </c>
      <c r="L16" s="738">
        <f>'4.Affordable Rental Housing'!K43</f>
        <v>0</v>
      </c>
      <c r="M16" s="738">
        <f>'4.Affordable Rental Housing'!L43</f>
        <v>0</v>
      </c>
      <c r="N16" s="739">
        <f>'4.Affordable Rental Housing'!M43</f>
        <v>0</v>
      </c>
    </row>
    <row r="17" spans="1:16">
      <c r="A17" s="685" t="s">
        <v>63</v>
      </c>
      <c r="B17" s="720"/>
      <c r="C17" s="720"/>
      <c r="D17" s="1109">
        <f>'5.Office'!C42</f>
        <v>0</v>
      </c>
      <c r="E17" s="697">
        <f>'5.Office'!D42</f>
        <v>0</v>
      </c>
      <c r="F17" s="738">
        <f>'5.Office'!E42</f>
        <v>0</v>
      </c>
      <c r="G17" s="739">
        <f>'5.Office'!F42</f>
        <v>0</v>
      </c>
      <c r="H17" s="697">
        <f>'5.Office'!G42</f>
        <v>0</v>
      </c>
      <c r="I17" s="738">
        <f>'5.Office'!H42</f>
        <v>0</v>
      </c>
      <c r="J17" s="739">
        <f>'5.Office'!I42</f>
        <v>21382824.605510417</v>
      </c>
      <c r="K17" s="738">
        <f>'5.Office'!J42</f>
        <v>0</v>
      </c>
      <c r="L17" s="738">
        <f>'5.Office'!K42</f>
        <v>3289632.8942586309</v>
      </c>
      <c r="M17" s="738">
        <f>'5.Office'!L42</f>
        <v>7941173.8067403352</v>
      </c>
      <c r="N17" s="739">
        <f>'5.Office'!M42</f>
        <v>0</v>
      </c>
    </row>
    <row r="18" spans="1:16">
      <c r="A18" s="685" t="s">
        <v>45</v>
      </c>
      <c r="B18" s="720"/>
      <c r="C18" s="720"/>
      <c r="D18" s="1109">
        <f>'6.Retail'!C126</f>
        <v>0</v>
      </c>
      <c r="E18" s="697">
        <f>'6.Retail'!D126</f>
        <v>8406728.1365999989</v>
      </c>
      <c r="F18" s="738">
        <f>'6.Retail'!E126</f>
        <v>4776384.3454080001</v>
      </c>
      <c r="G18" s="739">
        <f>'6.Retail'!F126</f>
        <v>914220.07991999993</v>
      </c>
      <c r="H18" s="697">
        <f>'6.Retail'!G126</f>
        <v>5112253.3131039748</v>
      </c>
      <c r="I18" s="738">
        <f>'6.Retail'!H126</f>
        <v>4636228.5730222082</v>
      </c>
      <c r="J18" s="739">
        <f>'6.Retail'!I126</f>
        <v>5302678.9989642743</v>
      </c>
      <c r="K18" s="738">
        <f>'6.Retail'!J126</f>
        <v>0</v>
      </c>
      <c r="L18" s="738">
        <f>'6.Retail'!K126</f>
        <v>2379235.9803291555</v>
      </c>
      <c r="M18" s="738">
        <f>'6.Retail'!L126</f>
        <v>2353280.6787255644</v>
      </c>
      <c r="N18" s="739">
        <f>'6.Retail'!M126</f>
        <v>0</v>
      </c>
    </row>
    <row r="19" spans="1:16">
      <c r="A19" s="685" t="s">
        <v>533</v>
      </c>
      <c r="B19" s="720"/>
      <c r="C19" s="720"/>
      <c r="D19" s="1109">
        <f>'7.Hotel'!C27</f>
        <v>0</v>
      </c>
      <c r="E19" s="697">
        <f>'7.Hotel'!D27</f>
        <v>0</v>
      </c>
      <c r="F19" s="738">
        <f>'7.Hotel'!E27</f>
        <v>0</v>
      </c>
      <c r="G19" s="739">
        <f>'7.Hotel'!F27</f>
        <v>0</v>
      </c>
      <c r="H19" s="697">
        <f>'7.Hotel'!G27</f>
        <v>47207692.078510463</v>
      </c>
      <c r="I19" s="738">
        <f>'7.Hotel'!H27</f>
        <v>0</v>
      </c>
      <c r="J19" s="739">
        <f>'7.Hotel'!I27</f>
        <v>0</v>
      </c>
      <c r="K19" s="738">
        <f>'7.Hotel'!J27</f>
        <v>0</v>
      </c>
      <c r="L19" s="738">
        <f>'7.Hotel'!K27</f>
        <v>0</v>
      </c>
      <c r="M19" s="738">
        <f>'7.Hotel'!L27</f>
        <v>0</v>
      </c>
      <c r="N19" s="739">
        <f>'7.Hotel'!M27</f>
        <v>0</v>
      </c>
    </row>
    <row r="20" spans="1:16">
      <c r="A20" s="685" t="s">
        <v>47</v>
      </c>
      <c r="B20" s="720"/>
      <c r="C20" s="720"/>
      <c r="D20" s="1109">
        <f>'8.Structured Parking'!C73</f>
        <v>0</v>
      </c>
      <c r="E20" s="697">
        <f>'8.Structured Parking'!D73</f>
        <v>4537725</v>
      </c>
      <c r="F20" s="738">
        <f>'8.Structured Parking'!E73</f>
        <v>0</v>
      </c>
      <c r="G20" s="739">
        <f>'8.Structured Parking'!F73</f>
        <v>3045666.9599999995</v>
      </c>
      <c r="H20" s="697">
        <f>'8.Structured Parking'!G73</f>
        <v>0</v>
      </c>
      <c r="I20" s="738">
        <f>'8.Structured Parking'!H73</f>
        <v>2566987.8674399997</v>
      </c>
      <c r="J20" s="739">
        <f>'8.Structured Parking'!I73</f>
        <v>5402201.1252094088</v>
      </c>
      <c r="K20" s="738">
        <f>'8.Structured Parking'!J73</f>
        <v>3374264.1487197592</v>
      </c>
      <c r="L20" s="738">
        <f>'8.Structured Parking'!K73</f>
        <v>0</v>
      </c>
      <c r="M20" s="738">
        <f>'8.Structured Parking'!L73</f>
        <v>0</v>
      </c>
      <c r="N20" s="739">
        <f>'8.Structured Parking'!M73</f>
        <v>0</v>
      </c>
    </row>
    <row r="21" spans="1:16">
      <c r="A21" s="685" t="s">
        <v>65</v>
      </c>
      <c r="B21" s="720"/>
      <c r="C21" s="720"/>
      <c r="D21" s="1109">
        <f>'Land Values'!E105</f>
        <v>89688000.090922624</v>
      </c>
      <c r="E21" s="697">
        <v>0</v>
      </c>
      <c r="F21" s="738">
        <f>E21</f>
        <v>0</v>
      </c>
      <c r="G21" s="739">
        <f t="shared" ref="G21:N23" si="1">F21</f>
        <v>0</v>
      </c>
      <c r="H21" s="697">
        <f t="shared" si="1"/>
        <v>0</v>
      </c>
      <c r="I21" s="738">
        <f t="shared" si="1"/>
        <v>0</v>
      </c>
      <c r="J21" s="739">
        <f t="shared" si="1"/>
        <v>0</v>
      </c>
      <c r="K21" s="738">
        <f t="shared" si="1"/>
        <v>0</v>
      </c>
      <c r="L21" s="738">
        <f t="shared" si="1"/>
        <v>0</v>
      </c>
      <c r="M21" s="738">
        <f t="shared" si="1"/>
        <v>0</v>
      </c>
      <c r="N21" s="739">
        <f t="shared" si="1"/>
        <v>0</v>
      </c>
    </row>
    <row r="22" spans="1:16">
      <c r="A22" s="685" t="s">
        <v>507</v>
      </c>
      <c r="B22" s="720"/>
      <c r="C22" s="720"/>
      <c r="D22" s="1109">
        <f>'1.Inftr Costs'!D20</f>
        <v>0</v>
      </c>
      <c r="E22" s="697">
        <f>'1.Inftr Costs'!E20</f>
        <v>9235016.3520000018</v>
      </c>
      <c r="F22" s="738">
        <f>'1.Inftr Costs'!F20</f>
        <v>1664640</v>
      </c>
      <c r="G22" s="739">
        <f>'1.Inftr Costs'!G20</f>
        <v>0</v>
      </c>
      <c r="H22" s="697">
        <f>'1.Inftr Costs'!H20</f>
        <v>16212398.284440001</v>
      </c>
      <c r="I22" s="738">
        <f>'1.Inftr Costs'!I20</f>
        <v>13808098.812878564</v>
      </c>
      <c r="J22" s="739">
        <f>'1.Inftr Costs'!J20</f>
        <v>6149972.9716007039</v>
      </c>
      <c r="K22" s="738">
        <f>'1.Inftr Costs'!K20</f>
        <v>12227983.339358617</v>
      </c>
      <c r="L22" s="738">
        <f>'1.Inftr Costs'!L20</f>
        <v>0</v>
      </c>
      <c r="M22" s="738">
        <f>'1.Inftr Costs'!M20</f>
        <v>956074.05489784863</v>
      </c>
      <c r="N22" s="739">
        <f>'1.Inftr Costs'!N20</f>
        <v>1523743.0249934464</v>
      </c>
    </row>
    <row r="23" spans="1:16">
      <c r="A23" s="1075" t="s">
        <v>230</v>
      </c>
      <c r="B23" s="1076"/>
      <c r="C23" s="1076"/>
      <c r="D23" s="1113">
        <f>F124</f>
        <v>917142.8</v>
      </c>
      <c r="E23" s="1081">
        <v>0</v>
      </c>
      <c r="F23" s="1079">
        <f>E23</f>
        <v>0</v>
      </c>
      <c r="G23" s="1080">
        <f t="shared" si="1"/>
        <v>0</v>
      </c>
      <c r="H23" s="1081">
        <f t="shared" si="1"/>
        <v>0</v>
      </c>
      <c r="I23" s="1079">
        <f t="shared" si="1"/>
        <v>0</v>
      </c>
      <c r="J23" s="1080">
        <f t="shared" si="1"/>
        <v>0</v>
      </c>
      <c r="K23" s="1079">
        <f t="shared" si="1"/>
        <v>0</v>
      </c>
      <c r="L23" s="1079">
        <f t="shared" si="1"/>
        <v>0</v>
      </c>
      <c r="M23" s="1079">
        <f t="shared" si="1"/>
        <v>0</v>
      </c>
      <c r="N23" s="1080">
        <f t="shared" si="1"/>
        <v>0</v>
      </c>
    </row>
    <row r="24" spans="1:16" ht="16" thickBot="1">
      <c r="A24" s="678" t="s">
        <v>3</v>
      </c>
      <c r="B24" s="679"/>
      <c r="C24" s="669"/>
      <c r="D24" s="751">
        <f t="shared" ref="D24:N24" si="2">SUM(D14:D23)</f>
        <v>90605142.890922621</v>
      </c>
      <c r="E24" s="681">
        <f t="shared" si="2"/>
        <v>49920064.810200006</v>
      </c>
      <c r="F24" s="770">
        <f t="shared" si="2"/>
        <v>6441024.3454080001</v>
      </c>
      <c r="G24" s="771">
        <f t="shared" si="2"/>
        <v>44569777.219796158</v>
      </c>
      <c r="H24" s="681">
        <f t="shared" si="2"/>
        <v>87628773.77462557</v>
      </c>
      <c r="I24" s="770">
        <f t="shared" si="2"/>
        <v>61051379.570916742</v>
      </c>
      <c r="J24" s="771">
        <f t="shared" si="2"/>
        <v>38237677.701284811</v>
      </c>
      <c r="K24" s="760">
        <f t="shared" si="2"/>
        <v>53628118.20124048</v>
      </c>
      <c r="L24" s="760">
        <f t="shared" si="2"/>
        <v>5668868.8745877864</v>
      </c>
      <c r="M24" s="760">
        <f t="shared" si="2"/>
        <v>11250528.540363748</v>
      </c>
      <c r="N24" s="761">
        <f t="shared" si="2"/>
        <v>1523743.0249934464</v>
      </c>
    </row>
    <row r="25" spans="1:16" ht="16" thickBot="1">
      <c r="A25" s="26" t="s">
        <v>4</v>
      </c>
      <c r="B25" s="27"/>
      <c r="C25" s="27"/>
      <c r="D25" s="597"/>
      <c r="E25" s="459"/>
      <c r="F25" s="17"/>
      <c r="G25" s="23"/>
      <c r="H25" s="459"/>
      <c r="I25" s="17"/>
      <c r="J25" s="23"/>
      <c r="K25" s="459"/>
      <c r="L25" s="17"/>
      <c r="M25" s="17"/>
      <c r="N25" s="23"/>
      <c r="P25" s="570"/>
    </row>
    <row r="26" spans="1:16">
      <c r="A26" s="732" t="s">
        <v>5</v>
      </c>
      <c r="B26" s="733"/>
      <c r="C26" s="670"/>
      <c r="D26" s="734">
        <f t="shared" ref="D26:N26" si="3">D12</f>
        <v>1387530</v>
      </c>
      <c r="E26" s="695">
        <f t="shared" si="3"/>
        <v>2798029.2562500001</v>
      </c>
      <c r="F26" s="735">
        <f t="shared" si="3"/>
        <v>6557101.4274750007</v>
      </c>
      <c r="G26" s="736">
        <f t="shared" si="3"/>
        <v>11200118.765701501</v>
      </c>
      <c r="H26" s="695">
        <f t="shared" si="3"/>
        <v>18472188.184011448</v>
      </c>
      <c r="I26" s="735">
        <f t="shared" si="3"/>
        <v>31090333.636533763</v>
      </c>
      <c r="J26" s="736">
        <f t="shared" si="3"/>
        <v>39299939.776077166</v>
      </c>
      <c r="K26" s="695">
        <f t="shared" si="3"/>
        <v>43192148.602576368</v>
      </c>
      <c r="L26" s="735">
        <f t="shared" si="3"/>
        <v>39465582.462436892</v>
      </c>
      <c r="M26" s="735">
        <f t="shared" si="3"/>
        <v>42494036.049201801</v>
      </c>
      <c r="N26" s="736">
        <f t="shared" si="3"/>
        <v>45682437.944847614</v>
      </c>
    </row>
    <row r="27" spans="1:16">
      <c r="A27" s="685" t="s">
        <v>54</v>
      </c>
      <c r="B27" s="701" t="s">
        <v>265</v>
      </c>
      <c r="C27" s="778">
        <f>N26/N27</f>
        <v>5.1509346621739255E-2</v>
      </c>
      <c r="D27" s="737"/>
      <c r="E27" s="697"/>
      <c r="F27" s="738"/>
      <c r="G27" s="739"/>
      <c r="H27" s="697"/>
      <c r="I27" s="738"/>
      <c r="J27" s="739"/>
      <c r="K27" s="697"/>
      <c r="L27" s="740"/>
      <c r="M27" s="741"/>
      <c r="N27" s="739">
        <f>'2.Market-Rate Rental Housing'!M49+'4.Affordable Rental Housing'!M48+'5.Office'!M50+'6.Retail'!M131+'7.Hotel'!M32+'7.Hotel'!M32+'8.Structured Parking'!M78</f>
        <v>886876672.70016539</v>
      </c>
    </row>
    <row r="28" spans="1:16">
      <c r="A28" s="685" t="s">
        <v>27</v>
      </c>
      <c r="B28" s="670"/>
      <c r="C28" s="1114">
        <v>0.03</v>
      </c>
      <c r="D28" s="737"/>
      <c r="E28" s="697"/>
      <c r="F28" s="738"/>
      <c r="G28" s="739"/>
      <c r="H28" s="697"/>
      <c r="I28" s="738"/>
      <c r="J28" s="739"/>
      <c r="K28" s="697"/>
      <c r="L28" s="738"/>
      <c r="M28" s="738"/>
      <c r="N28" s="739">
        <f>N27*-C28</f>
        <v>-26606300.18100496</v>
      </c>
    </row>
    <row r="29" spans="1:16">
      <c r="A29" s="699" t="s">
        <v>231</v>
      </c>
      <c r="B29" s="677"/>
      <c r="C29" s="677"/>
      <c r="D29" s="745">
        <f>-D24</f>
        <v>-90605142.890922621</v>
      </c>
      <c r="E29" s="746">
        <f t="shared" ref="E29:N29" si="4">-E24</f>
        <v>-49920064.810200006</v>
      </c>
      <c r="F29" s="747">
        <f t="shared" si="4"/>
        <v>-6441024.3454080001</v>
      </c>
      <c r="G29" s="748">
        <f t="shared" si="4"/>
        <v>-44569777.219796158</v>
      </c>
      <c r="H29" s="746">
        <f t="shared" si="4"/>
        <v>-87628773.77462557</v>
      </c>
      <c r="I29" s="747">
        <f t="shared" si="4"/>
        <v>-61051379.570916742</v>
      </c>
      <c r="J29" s="748">
        <f t="shared" si="4"/>
        <v>-38237677.701284811</v>
      </c>
      <c r="K29" s="746">
        <f t="shared" si="4"/>
        <v>-53628118.20124048</v>
      </c>
      <c r="L29" s="747">
        <f t="shared" si="4"/>
        <v>-5668868.8745877864</v>
      </c>
      <c r="M29" s="747">
        <f t="shared" si="4"/>
        <v>-11250528.540363748</v>
      </c>
      <c r="N29" s="748">
        <f t="shared" si="4"/>
        <v>-1523743.0249934464</v>
      </c>
    </row>
    <row r="30" spans="1:16">
      <c r="A30" s="700" t="s">
        <v>6</v>
      </c>
      <c r="B30" s="701"/>
      <c r="C30" s="701"/>
      <c r="D30" s="749">
        <f>SUM(D26:D29)</f>
        <v>-89217612.890922621</v>
      </c>
      <c r="E30" s="750">
        <f t="shared" ref="E30:N30" si="5">SUM(E26:E29)</f>
        <v>-47122035.553950004</v>
      </c>
      <c r="F30" s="751">
        <f t="shared" si="5"/>
        <v>116077.08206700068</v>
      </c>
      <c r="G30" s="749">
        <f t="shared" si="5"/>
        <v>-33369658.454094656</v>
      </c>
      <c r="H30" s="750">
        <f t="shared" si="5"/>
        <v>-69156585.590614125</v>
      </c>
      <c r="I30" s="751">
        <f t="shared" si="5"/>
        <v>-29961045.934382979</v>
      </c>
      <c r="J30" s="749">
        <f t="shared" si="5"/>
        <v>1062262.0747923553</v>
      </c>
      <c r="K30" s="750">
        <f t="shared" si="5"/>
        <v>-10435969.598664112</v>
      </c>
      <c r="L30" s="751">
        <f t="shared" si="5"/>
        <v>33796713.587849103</v>
      </c>
      <c r="M30" s="751">
        <f t="shared" si="5"/>
        <v>31243507.508838054</v>
      </c>
      <c r="N30" s="749">
        <f t="shared" si="5"/>
        <v>904429067.43901455</v>
      </c>
    </row>
    <row r="31" spans="1:16" ht="16" thickBot="1">
      <c r="A31" s="752" t="s">
        <v>352</v>
      </c>
      <c r="B31" s="716"/>
      <c r="C31" s="716"/>
      <c r="D31" s="1115">
        <f>-Financing!B19</f>
        <v>0</v>
      </c>
      <c r="E31" s="1116">
        <f>-Financing!C19</f>
        <v>-232873.42311556757</v>
      </c>
      <c r="F31" s="1117">
        <f>-Financing!D19</f>
        <v>-619334.88384004752</v>
      </c>
      <c r="G31" s="1118">
        <f>-Financing!E19</f>
        <v>-3293521.5170278167</v>
      </c>
      <c r="H31" s="1116">
        <f>-Financing!F19</f>
        <v>-8551247.9435053505</v>
      </c>
      <c r="I31" s="1117">
        <f>-Financing!G19</f>
        <v>-12214330.717760354</v>
      </c>
      <c r="J31" s="1118">
        <f>-Financing!H19</f>
        <v>-14508591.379837442</v>
      </c>
      <c r="K31" s="1116">
        <f>-Financing!I19</f>
        <v>-17726278.47191187</v>
      </c>
      <c r="L31" s="1117">
        <f>-Financing!J19</f>
        <v>-18066410.604387138</v>
      </c>
      <c r="M31" s="1117">
        <f>-Financing!K19</f>
        <v>-18741442.316808961</v>
      </c>
      <c r="N31" s="1118">
        <f>-Financing!L19</f>
        <v>-18832866.898308568</v>
      </c>
    </row>
    <row r="32" spans="1:16">
      <c r="A32" s="772"/>
      <c r="B32" s="773"/>
      <c r="C32" s="773"/>
      <c r="D32" s="774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>
      <c r="A33" s="24" t="s">
        <v>232</v>
      </c>
      <c r="B33" s="24"/>
      <c r="C33" s="573">
        <f>D30+NPV(0.09,E30:N30)</f>
        <v>181728451.00777704</v>
      </c>
      <c r="D33" s="9"/>
      <c r="E33" s="11"/>
      <c r="F33" s="11"/>
      <c r="G33" s="11"/>
      <c r="H33" s="10"/>
      <c r="I33" s="11"/>
      <c r="J33" s="11"/>
      <c r="K33" s="11"/>
      <c r="L33" s="11"/>
      <c r="M33" s="11"/>
      <c r="N33" s="11"/>
    </row>
    <row r="34" spans="1:14" ht="16" thickBot="1">
      <c r="A34" s="775" t="s">
        <v>66</v>
      </c>
      <c r="B34" s="24"/>
      <c r="C34" s="958">
        <f>M64/N27</f>
        <v>0.25653530189181051</v>
      </c>
      <c r="D34" s="9"/>
      <c r="E34" s="11"/>
      <c r="F34" s="11"/>
      <c r="G34" s="11"/>
      <c r="H34" s="25"/>
      <c r="I34" s="11"/>
      <c r="J34" s="11"/>
      <c r="K34" s="11"/>
      <c r="L34" s="11"/>
      <c r="M34" s="11"/>
      <c r="N34" s="11"/>
    </row>
    <row r="35" spans="1:14">
      <c r="A35" s="1150" t="s">
        <v>67</v>
      </c>
      <c r="B35" s="1150"/>
      <c r="C35" s="1149">
        <f>IRR(D30:N30,0)</f>
        <v>0.17105138071625392</v>
      </c>
      <c r="D35" s="9"/>
      <c r="E35" s="11"/>
      <c r="F35" s="11"/>
      <c r="G35" s="1161" t="s">
        <v>68</v>
      </c>
      <c r="H35" s="1162"/>
      <c r="I35" s="1162"/>
      <c r="J35" s="1163">
        <f>'Land Values'!E105</f>
        <v>89688000.090922624</v>
      </c>
      <c r="K35" s="11"/>
      <c r="L35" s="11"/>
      <c r="M35" s="11"/>
      <c r="N35" s="11"/>
    </row>
    <row r="36" spans="1:14" ht="16" thickBot="1">
      <c r="A36" s="1150" t="s">
        <v>264</v>
      </c>
      <c r="B36" s="1150"/>
      <c r="C36" s="1149">
        <f>Financing!$B$36</f>
        <v>0.21203119090955447</v>
      </c>
      <c r="D36" s="777" t="s">
        <v>263</v>
      </c>
      <c r="E36" s="11"/>
      <c r="F36" s="11"/>
      <c r="G36" s="1156" t="s">
        <v>69</v>
      </c>
      <c r="H36" s="1158"/>
      <c r="I36" s="1158"/>
      <c r="J36" s="1164">
        <f>N27</f>
        <v>886876672.70016539</v>
      </c>
      <c r="K36" s="11"/>
      <c r="L36" s="11"/>
      <c r="M36" s="11"/>
      <c r="N36" s="11"/>
    </row>
    <row r="37" spans="1:14" s="10" customFormat="1" ht="16" thickBot="1">
      <c r="A37" s="776"/>
      <c r="B37" s="28"/>
      <c r="C37" s="28"/>
      <c r="D37" s="18"/>
      <c r="E37" s="19"/>
      <c r="F37" s="19"/>
      <c r="G37" s="575"/>
      <c r="H37" s="19"/>
      <c r="I37" s="19"/>
      <c r="J37" s="19"/>
      <c r="K37" s="19"/>
      <c r="L37" s="19"/>
      <c r="M37" s="19"/>
      <c r="N37" s="19"/>
    </row>
    <row r="38" spans="1:14" ht="16" thickBot="1">
      <c r="A38" s="81" t="s">
        <v>70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16" thickBot="1">
      <c r="A39" s="31"/>
      <c r="B39" s="15"/>
      <c r="C39" s="15"/>
      <c r="D39" s="8" t="s">
        <v>53</v>
      </c>
      <c r="E39" s="374" t="s">
        <v>34</v>
      </c>
      <c r="F39" s="375"/>
      <c r="G39" s="376"/>
      <c r="H39" s="374" t="s">
        <v>76</v>
      </c>
      <c r="I39" s="377"/>
      <c r="J39" s="376"/>
      <c r="K39" s="378" t="s">
        <v>77</v>
      </c>
      <c r="L39" s="378"/>
      <c r="M39" s="379"/>
      <c r="N39" s="376"/>
    </row>
    <row r="40" spans="1:14" s="12" customFormat="1" ht="16" thickBot="1">
      <c r="A40" s="4"/>
      <c r="B40" s="5"/>
      <c r="C40" s="6" t="s">
        <v>28</v>
      </c>
      <c r="D40" s="6" t="s">
        <v>397</v>
      </c>
      <c r="E40" s="32">
        <v>2022</v>
      </c>
      <c r="F40" s="6">
        <v>2023</v>
      </c>
      <c r="G40" s="7">
        <v>2024</v>
      </c>
      <c r="H40" s="32">
        <v>2025</v>
      </c>
      <c r="I40" s="6">
        <v>2026</v>
      </c>
      <c r="J40" s="7">
        <v>2027</v>
      </c>
      <c r="K40" s="6">
        <v>2028</v>
      </c>
      <c r="L40" s="6">
        <v>2029</v>
      </c>
      <c r="M40" s="6">
        <v>2030</v>
      </c>
      <c r="N40" s="7">
        <v>2031</v>
      </c>
    </row>
    <row r="41" spans="1:14" ht="16" thickBot="1">
      <c r="A41" s="26" t="s">
        <v>71</v>
      </c>
      <c r="B41" s="22"/>
      <c r="C41" s="22"/>
      <c r="D41" s="33"/>
      <c r="E41" s="459"/>
      <c r="F41" s="17"/>
      <c r="G41" s="23"/>
      <c r="H41" s="459"/>
      <c r="I41" s="17"/>
      <c r="J41" s="23"/>
      <c r="K41" s="17"/>
      <c r="L41" s="17"/>
      <c r="M41" s="17"/>
      <c r="N41" s="23"/>
    </row>
    <row r="42" spans="1:14">
      <c r="A42" s="685" t="s">
        <v>60</v>
      </c>
      <c r="B42" s="720"/>
      <c r="C42" s="1119">
        <f>SUM('2.Market-Rate Rental Housing'!C58:C60)</f>
        <v>560.16470588235291</v>
      </c>
      <c r="D42" s="729">
        <f>SUM('2.Market-Rate Rental Housing'!C9,'2.Market-Rate Rental Housing'!C19,'2.Market-Rate Rental Housing'!C29)</f>
        <v>0</v>
      </c>
      <c r="E42" s="1120">
        <f>SUM('2.Market-Rate Rental Housing'!D9,'2.Market-Rate Rental Housing'!D19,'2.Market-Rate Rental Housing'!D29)</f>
        <v>113</v>
      </c>
      <c r="F42" s="1121">
        <f>SUM('2.Market-Rate Rental Housing'!E9,'2.Market-Rate Rental Housing'!E19,'2.Market-Rate Rental Housing'!E29)</f>
        <v>0</v>
      </c>
      <c r="G42" s="1122">
        <f>SUM('2.Market-Rate Rental Housing'!F9,'2.Market-Rate Rental Housing'!F19,'2.Market-Rate Rental Housing'!F29)</f>
        <v>159</v>
      </c>
      <c r="H42" s="1120">
        <f>SUM('2.Market-Rate Rental Housing'!G9,'2.Market-Rate Rental Housing'!G19,'2.Market-Rate Rental Housing'!G29)</f>
        <v>0</v>
      </c>
      <c r="I42" s="1121">
        <f>SUM('2.Market-Rate Rental Housing'!H9,'2.Market-Rate Rental Housing'!H19,'2.Market-Rate Rental Housing'!H29)</f>
        <v>151</v>
      </c>
      <c r="J42" s="1122">
        <f>SUM('2.Market-Rate Rental Housing'!I9,'2.Market-Rate Rental Housing'!I19,'2.Market-Rate Rental Housing'!I29)</f>
        <v>0</v>
      </c>
      <c r="K42" s="729">
        <f>SUM('2.Market-Rate Rental Housing'!J9,'2.Market-Rate Rental Housing'!J19,'2.Market-Rate Rental Housing'!J29)</f>
        <v>138</v>
      </c>
      <c r="L42" s="729">
        <f>SUM('2.Market-Rate Rental Housing'!K9,'2.Market-Rate Rental Housing'!K19,'2.Market-Rate Rental Housing'!K29)</f>
        <v>0</v>
      </c>
      <c r="M42" s="729">
        <f>SUM('2.Market-Rate Rental Housing'!L9,'2.Market-Rate Rental Housing'!L19,'2.Market-Rate Rental Housing'!L29)</f>
        <v>0</v>
      </c>
      <c r="N42" s="731">
        <f>SUM('2.Market-Rate Rental Housing'!M9,'2.Market-Rate Rental Housing'!M19,'2.Market-Rate Rental Housing'!M29)</f>
        <v>0</v>
      </c>
    </row>
    <row r="43" spans="1:14">
      <c r="A43" s="685" t="s">
        <v>61</v>
      </c>
      <c r="B43" s="720"/>
      <c r="C43" s="1119">
        <f>SUM('3.Luxury Condos'!C44:C45)</f>
        <v>74.166666666666671</v>
      </c>
      <c r="D43" s="1123">
        <f>SUM('3.Luxury Condos'!C9,'3.Luxury Condos'!C18)</f>
        <v>0</v>
      </c>
      <c r="E43" s="1124">
        <f>SUM('3.Luxury Condos'!D9,'3.Luxury Condos'!D18)</f>
        <v>0</v>
      </c>
      <c r="F43" s="1125">
        <f>SUM('3.Luxury Condos'!E9,'3.Luxury Condos'!E18)</f>
        <v>0</v>
      </c>
      <c r="G43" s="1126">
        <f>SUM('3.Luxury Condos'!F9,'3.Luxury Condos'!F18)</f>
        <v>0</v>
      </c>
      <c r="H43" s="1127">
        <f>SUM('3.Luxury Condos'!G9,'3.Luxury Condos'!G18)</f>
        <v>74</v>
      </c>
      <c r="I43" s="1125">
        <f>SUM('3.Luxury Condos'!H9,'3.Luxury Condos'!H18)</f>
        <v>0</v>
      </c>
      <c r="J43" s="1126">
        <f>SUM('3.Luxury Condos'!I9,'3.Luxury Condos'!I18)</f>
        <v>0</v>
      </c>
      <c r="K43" s="1125">
        <f>SUM('3.Luxury Condos'!J9,'3.Luxury Condos'!J18)</f>
        <v>0</v>
      </c>
      <c r="L43" s="1125">
        <f>SUM('3.Luxury Condos'!K9,'3.Luxury Condos'!K18)</f>
        <v>0</v>
      </c>
      <c r="M43" s="1125">
        <f>SUM('3.Luxury Condos'!L9,'3.Luxury Condos'!L18)</f>
        <v>0</v>
      </c>
      <c r="N43" s="1126">
        <f>SUM('3.Luxury Condos'!M9,'3.Luxury Condos'!M18)</f>
        <v>0</v>
      </c>
    </row>
    <row r="44" spans="1:14">
      <c r="A44" s="685" t="s">
        <v>62</v>
      </c>
      <c r="B44" s="720"/>
      <c r="C44" s="1119">
        <f>SUM('4.Affordable Rental Housing'!C57:C59)</f>
        <v>170.05</v>
      </c>
      <c r="D44" s="729">
        <f>SUM('4.Affordable Rental Housing'!C9,'4.Affordable Rental Housing'!C19,'4.Affordable Rental Housing'!C29)</f>
        <v>0</v>
      </c>
      <c r="E44" s="730">
        <f>SUM('4.Affordable Rental Housing'!D9,'4.Affordable Rental Housing'!D19,'4.Affordable Rental Housing'!D29)</f>
        <v>34</v>
      </c>
      <c r="F44" s="729">
        <f>SUM('4.Affordable Rental Housing'!E9,'4.Affordable Rental Housing'!E19,'4.Affordable Rental Housing'!E29)</f>
        <v>0</v>
      </c>
      <c r="G44" s="731">
        <f>SUM('4.Affordable Rental Housing'!F9,'4.Affordable Rental Housing'!F19,'4.Affordable Rental Housing'!F29)</f>
        <v>48</v>
      </c>
      <c r="H44" s="730">
        <f>SUM('4.Affordable Rental Housing'!G9,'4.Affordable Rental Housing'!G19,'4.Affordable Rental Housing'!G29)</f>
        <v>0</v>
      </c>
      <c r="I44" s="729">
        <f>SUM('4.Affordable Rental Housing'!H9,'4.Affordable Rental Housing'!H19,'4.Affordable Rental Housing'!H29)</f>
        <v>46</v>
      </c>
      <c r="J44" s="731">
        <f>SUM('4.Affordable Rental Housing'!I9,'4.Affordable Rental Housing'!I19,'4.Affordable Rental Housing'!I29)</f>
        <v>0</v>
      </c>
      <c r="K44" s="729">
        <f>SUM('4.Affordable Rental Housing'!J9,'4.Affordable Rental Housing'!J19,'4.Affordable Rental Housing'!J29)</f>
        <v>42</v>
      </c>
      <c r="L44" s="729">
        <f>SUM('4.Affordable Rental Housing'!K9,'4.Affordable Rental Housing'!K19,'4.Affordable Rental Housing'!K29)</f>
        <v>0</v>
      </c>
      <c r="M44" s="729">
        <f>SUM('4.Affordable Rental Housing'!L9,'4.Affordable Rental Housing'!L19,'4.Affordable Rental Housing'!L29)</f>
        <v>0</v>
      </c>
      <c r="N44" s="731">
        <f>SUM('4.Affordable Rental Housing'!M9,'4.Affordable Rental Housing'!M19,'4.Affordable Rental Housing'!M29)</f>
        <v>0</v>
      </c>
    </row>
    <row r="45" spans="1:14">
      <c r="A45" s="671" t="s">
        <v>533</v>
      </c>
      <c r="B45" s="670"/>
      <c r="C45" s="1128" t="s">
        <v>587</v>
      </c>
      <c r="D45" s="729">
        <f>'7.Hotel'!C9+'7.Hotel'!C15</f>
        <v>0</v>
      </c>
      <c r="E45" s="730">
        <f>'7.Hotel'!D9+'7.Hotel'!D15</f>
        <v>0</v>
      </c>
      <c r="F45" s="729">
        <f>'7.Hotel'!E9+'7.Hotel'!E15</f>
        <v>0</v>
      </c>
      <c r="G45" s="731">
        <f>'7.Hotel'!F9+'7.Hotel'!F15</f>
        <v>0</v>
      </c>
      <c r="H45" s="730">
        <f>'7.Hotel'!G9+'7.Hotel'!G15</f>
        <v>444</v>
      </c>
      <c r="I45" s="729">
        <f>'7.Hotel'!H9+'7.Hotel'!H15</f>
        <v>0</v>
      </c>
      <c r="J45" s="731">
        <f>'7.Hotel'!I9+'7.Hotel'!I15</f>
        <v>54.72</v>
      </c>
      <c r="K45" s="729">
        <f>'7.Hotel'!J9+'7.Hotel'!J15</f>
        <v>0</v>
      </c>
      <c r="L45" s="729">
        <f>'7.Hotel'!K9+'7.Hotel'!K15</f>
        <v>0</v>
      </c>
      <c r="M45" s="729">
        <f>'7.Hotel'!L9+'7.Hotel'!L15</f>
        <v>0</v>
      </c>
      <c r="N45" s="731">
        <f>'7.Hotel'!M9+'7.Hotel'!M15</f>
        <v>0</v>
      </c>
    </row>
    <row r="46" spans="1:14">
      <c r="A46" s="671" t="s">
        <v>47</v>
      </c>
      <c r="B46" s="670"/>
      <c r="C46" s="1129">
        <f>SUM('8.Structured Parking'!C87:C89)</f>
        <v>1087.703125</v>
      </c>
      <c r="D46" s="729">
        <f>D55/'8.Structured Parking'!$D$92</f>
        <v>0</v>
      </c>
      <c r="E46" s="730">
        <f>E55/'8.Structured Parking'!$D$92</f>
        <v>31.484375</v>
      </c>
      <c r="F46" s="729">
        <f>F55/'8.Structured Parking'!$D$92</f>
        <v>0</v>
      </c>
      <c r="G46" s="731">
        <f>G55/'8.Structured Parking'!$D$92</f>
        <v>0</v>
      </c>
      <c r="H46" s="730">
        <f>H55/'8.Structured Parking'!$D$92</f>
        <v>0</v>
      </c>
      <c r="I46" s="729">
        <f>I55/'8.Structured Parking'!$D$92</f>
        <v>0</v>
      </c>
      <c r="J46" s="731">
        <f>J55/'8.Structured Parking'!$D$92</f>
        <v>224.8125</v>
      </c>
      <c r="K46" s="729">
        <f>K55/'8.Structured Parking'!$D$92</f>
        <v>0</v>
      </c>
      <c r="L46" s="729">
        <f>L55/'8.Structured Parking'!$D$92</f>
        <v>43.75</v>
      </c>
      <c r="M46" s="729">
        <f>M55/'8.Structured Parking'!$D$92</f>
        <v>0</v>
      </c>
      <c r="N46" s="731">
        <f>N55/'8.Structured Parking'!$D$92</f>
        <v>0</v>
      </c>
    </row>
    <row r="47" spans="1:14" ht="16" thickBot="1">
      <c r="A47" s="671"/>
      <c r="B47" s="670"/>
      <c r="C47" s="966"/>
      <c r="D47" s="729"/>
      <c r="E47" s="1165"/>
      <c r="F47" s="729"/>
      <c r="G47" s="731"/>
      <c r="H47" s="730"/>
      <c r="I47" s="729"/>
      <c r="J47" s="731"/>
      <c r="K47" s="729"/>
      <c r="L47" s="729"/>
      <c r="M47" s="729"/>
      <c r="N47" s="731"/>
    </row>
    <row r="48" spans="1:14" ht="16" thickBot="1">
      <c r="A48" s="21" t="s">
        <v>29</v>
      </c>
      <c r="B48" s="22"/>
      <c r="C48" s="16"/>
      <c r="D48" s="16"/>
      <c r="E48" s="459"/>
      <c r="F48" s="17"/>
      <c r="G48" s="23"/>
      <c r="H48" s="459"/>
      <c r="I48" s="17"/>
      <c r="J48" s="23"/>
      <c r="K48" s="17"/>
      <c r="L48" s="17"/>
      <c r="M48" s="17"/>
      <c r="N48" s="23"/>
    </row>
    <row r="49" spans="1:14">
      <c r="A49" s="685" t="s">
        <v>60</v>
      </c>
      <c r="B49" s="686"/>
      <c r="C49" s="1130">
        <f>SUM('2.Market-Rate Rental Housing'!D58:D60)</f>
        <v>476140</v>
      </c>
      <c r="D49" s="729">
        <f>D42*'2.Market-Rate Rental Housing'!$B$12</f>
        <v>0</v>
      </c>
      <c r="E49" s="730">
        <f>E42*'2.Market-Rate Rental Housing'!$B$12</f>
        <v>96050</v>
      </c>
      <c r="F49" s="729">
        <f>F42*'2.Market-Rate Rental Housing'!$B$12</f>
        <v>0</v>
      </c>
      <c r="G49" s="731">
        <f>G42*'2.Market-Rate Rental Housing'!$B$12</f>
        <v>135150</v>
      </c>
      <c r="H49" s="730">
        <f>H42*'2.Market-Rate Rental Housing'!$B$12</f>
        <v>0</v>
      </c>
      <c r="I49" s="729">
        <f>I42*'2.Market-Rate Rental Housing'!$B$12</f>
        <v>128350</v>
      </c>
      <c r="J49" s="731">
        <f>J42*'2.Market-Rate Rental Housing'!$B$12</f>
        <v>0</v>
      </c>
      <c r="K49" s="729">
        <f>K42*'2.Market-Rate Rental Housing'!$B$12</f>
        <v>117300</v>
      </c>
      <c r="L49" s="729">
        <f>L42*'2.Market-Rate Rental Housing'!$B$12</f>
        <v>0</v>
      </c>
      <c r="M49" s="729">
        <f>M42*'2.Market-Rate Rental Housing'!$B$12</f>
        <v>0</v>
      </c>
      <c r="N49" s="731">
        <f>N42*'2.Market-Rate Rental Housing'!$B$12</f>
        <v>0</v>
      </c>
    </row>
    <row r="50" spans="1:14">
      <c r="A50" s="685" t="s">
        <v>61</v>
      </c>
      <c r="B50" s="686"/>
      <c r="C50" s="1130">
        <f>SUM('3.Luxury Condos'!D44:D45)</f>
        <v>89000</v>
      </c>
      <c r="D50" s="729">
        <f>D43*'3.Luxury Condos'!$B$12</f>
        <v>0</v>
      </c>
      <c r="E50" s="730">
        <f>E43*'3.Luxury Condos'!$B$12</f>
        <v>0</v>
      </c>
      <c r="F50" s="729">
        <f>F43*'3.Luxury Condos'!$B$12</f>
        <v>0</v>
      </c>
      <c r="G50" s="731">
        <f>G43*'3.Luxury Condos'!$B$12</f>
        <v>0</v>
      </c>
      <c r="H50" s="730">
        <f>H43*'3.Luxury Condos'!$B$12</f>
        <v>88800</v>
      </c>
      <c r="I50" s="729">
        <f>I43*'3.Luxury Condos'!$B$12</f>
        <v>0</v>
      </c>
      <c r="J50" s="731">
        <f>J43*'3.Luxury Condos'!$B$12</f>
        <v>0</v>
      </c>
      <c r="K50" s="729">
        <f>K43*'3.Luxury Condos'!$B$12</f>
        <v>0</v>
      </c>
      <c r="L50" s="729">
        <f>L43*'3.Luxury Condos'!$B$12</f>
        <v>0</v>
      </c>
      <c r="M50" s="729">
        <f>M43*'3.Luxury Condos'!$B$12</f>
        <v>0</v>
      </c>
      <c r="N50" s="731">
        <f>N43*'3.Luxury Condos'!$B$12</f>
        <v>0</v>
      </c>
    </row>
    <row r="51" spans="1:14">
      <c r="A51" s="685" t="s">
        <v>62</v>
      </c>
      <c r="B51" s="686"/>
      <c r="C51" s="1130">
        <f>SUM('4.Affordable Rental Housing'!D57:D59)</f>
        <v>204060</v>
      </c>
      <c r="D51" s="729">
        <f>D44*'4.Affordable Rental Housing'!$B$12</f>
        <v>0</v>
      </c>
      <c r="E51" s="730">
        <f>E44*'4.Affordable Rental Housing'!$B$12</f>
        <v>40800</v>
      </c>
      <c r="F51" s="729">
        <f>F44*'4.Affordable Rental Housing'!$B$12</f>
        <v>0</v>
      </c>
      <c r="G51" s="731">
        <f>G44*'4.Affordable Rental Housing'!$B$12</f>
        <v>57600</v>
      </c>
      <c r="H51" s="730">
        <f>H44*'4.Affordable Rental Housing'!$B$12</f>
        <v>0</v>
      </c>
      <c r="I51" s="729">
        <f>I44*'4.Affordable Rental Housing'!$B$12</f>
        <v>55200</v>
      </c>
      <c r="J51" s="731">
        <f>J44*'4.Affordable Rental Housing'!$B$12</f>
        <v>0</v>
      </c>
      <c r="K51" s="729">
        <f>K44*'4.Affordable Rental Housing'!$B$12</f>
        <v>50400</v>
      </c>
      <c r="L51" s="729">
        <f>L44*'4.Affordable Rental Housing'!$B$12</f>
        <v>0</v>
      </c>
      <c r="M51" s="729">
        <f>M44*'4.Affordable Rental Housing'!$B$12</f>
        <v>0</v>
      </c>
      <c r="N51" s="731">
        <f>N44*'4.Affordable Rental Housing'!$B$12</f>
        <v>0</v>
      </c>
    </row>
    <row r="52" spans="1:14">
      <c r="A52" s="685" t="s">
        <v>111</v>
      </c>
      <c r="B52" s="670"/>
      <c r="C52" s="1130">
        <f>SUM('5.Office'!C59:C61)</f>
        <v>352170</v>
      </c>
      <c r="D52" s="729">
        <f>'5.Office'!C9</f>
        <v>51390</v>
      </c>
      <c r="E52" s="730">
        <f>'Development Schedule'!G110</f>
        <v>0</v>
      </c>
      <c r="F52" s="729">
        <f>'Development Schedule'!H110</f>
        <v>38350</v>
      </c>
      <c r="G52" s="731">
        <f>'Development Schedule'!I110</f>
        <v>0</v>
      </c>
      <c r="H52" s="730">
        <f>'Development Schedule'!J110</f>
        <v>0</v>
      </c>
      <c r="I52" s="729">
        <f>'Development Schedule'!K110</f>
        <v>51390</v>
      </c>
      <c r="J52" s="731">
        <f>'Development Schedule'!L110</f>
        <v>101440</v>
      </c>
      <c r="K52" s="729">
        <f>'Development Schedule'!M110</f>
        <v>0</v>
      </c>
      <c r="L52" s="729">
        <f>'Development Schedule'!N110</f>
        <v>44000</v>
      </c>
      <c r="M52" s="729">
        <f>'Development Schedule'!O110</f>
        <v>65600</v>
      </c>
      <c r="N52" s="731">
        <f>'Development Schedule'!P110</f>
        <v>0</v>
      </c>
    </row>
    <row r="53" spans="1:14">
      <c r="A53" s="685" t="s">
        <v>116</v>
      </c>
      <c r="B53" s="670"/>
      <c r="C53" s="1130">
        <f>SUM('6.Retail'!C140:C151)</f>
        <v>198525</v>
      </c>
      <c r="D53" s="729">
        <f>'Development Schedule'!F82</f>
        <v>0</v>
      </c>
      <c r="E53" s="730">
        <f>'Development Schedule'!G82</f>
        <v>96040</v>
      </c>
      <c r="F53" s="729">
        <f>'Development Schedule'!H82</f>
        <v>0</v>
      </c>
      <c r="G53" s="731">
        <f>'Development Schedule'!I82</f>
        <v>135135</v>
      </c>
      <c r="H53" s="730">
        <f>'Development Schedule'!J82</f>
        <v>0</v>
      </c>
      <c r="I53" s="729">
        <f>'Development Schedule'!K82</f>
        <v>128064.99999999999</v>
      </c>
      <c r="J53" s="731">
        <f>'Development Schedule'!L82</f>
        <v>0</v>
      </c>
      <c r="K53" s="729">
        <f>'Development Schedule'!M82</f>
        <v>116899.99999999999</v>
      </c>
      <c r="L53" s="729">
        <f>'Development Schedule'!N82</f>
        <v>0</v>
      </c>
      <c r="M53" s="729">
        <f>'Development Schedule'!O82</f>
        <v>0</v>
      </c>
      <c r="N53" s="731">
        <f>'Development Schedule'!P82</f>
        <v>0</v>
      </c>
    </row>
    <row r="54" spans="1:14">
      <c r="A54" s="685" t="s">
        <v>46</v>
      </c>
      <c r="B54" s="670"/>
      <c r="C54" s="1130">
        <f>'7.Hotel'!D41+'7.Hotel'!D42</f>
        <v>249360</v>
      </c>
      <c r="D54" s="729">
        <f>'Development Schedule'!F10</f>
        <v>0</v>
      </c>
      <c r="E54" s="730">
        <f>'Development Schedule'!G10</f>
        <v>54500</v>
      </c>
      <c r="F54" s="729">
        <f>'Development Schedule'!H10</f>
        <v>0</v>
      </c>
      <c r="G54" s="731">
        <f>'Development Schedule'!I10</f>
        <v>0</v>
      </c>
      <c r="H54" s="730">
        <f>'Development Schedule'!J10</f>
        <v>0</v>
      </c>
      <c r="I54" s="729">
        <f>'Development Schedule'!K10</f>
        <v>0</v>
      </c>
      <c r="J54" s="731">
        <f>'Development Schedule'!L10</f>
        <v>0</v>
      </c>
      <c r="K54" s="729">
        <f>'Development Schedule'!M10</f>
        <v>0</v>
      </c>
      <c r="L54" s="729">
        <f>'Development Schedule'!N10</f>
        <v>0</v>
      </c>
      <c r="M54" s="729">
        <f>'Development Schedule'!O10</f>
        <v>0</v>
      </c>
      <c r="N54" s="731">
        <f>'Development Schedule'!P10</f>
        <v>0</v>
      </c>
    </row>
    <row r="55" spans="1:14">
      <c r="A55" s="699" t="s">
        <v>47</v>
      </c>
      <c r="B55" s="677"/>
      <c r="C55" s="1131">
        <f>SUM('8.Structured Parking'!D87:D89)</f>
        <v>347565</v>
      </c>
      <c r="D55" s="1132">
        <f>SUM('Development Schedule'!F14,'Development Schedule'!F35,'Development Schedule'!F55,'Development Schedule'!F60)</f>
        <v>0</v>
      </c>
      <c r="E55" s="1133">
        <f>SUM('Development Schedule'!G14,'Development Schedule'!G35,'Development Schedule'!G55,'Development Schedule'!G60)</f>
        <v>10075</v>
      </c>
      <c r="F55" s="1132">
        <f>SUM('Development Schedule'!H14,'Development Schedule'!H35,'Development Schedule'!H55,'Development Schedule'!H60)</f>
        <v>0</v>
      </c>
      <c r="G55" s="1134">
        <f>SUM('Development Schedule'!I14,'Development Schedule'!I35,'Development Schedule'!I55,'Development Schedule'!I60)</f>
        <v>0</v>
      </c>
      <c r="H55" s="1133">
        <f>SUM('Development Schedule'!J14,'Development Schedule'!J35,'Development Schedule'!J55,'Development Schedule'!J60)</f>
        <v>0</v>
      </c>
      <c r="I55" s="1132">
        <f>SUM('Development Schedule'!K14,'Development Schedule'!K35,'Development Schedule'!K55,'Development Schedule'!K60)</f>
        <v>0</v>
      </c>
      <c r="J55" s="1134">
        <f>SUM('Development Schedule'!L14,'Development Schedule'!L35,'Development Schedule'!L55,'Development Schedule'!L60)</f>
        <v>71940</v>
      </c>
      <c r="K55" s="1132">
        <f>SUM('Development Schedule'!M14,'Development Schedule'!M35,'Development Schedule'!M55,'Development Schedule'!M60)</f>
        <v>0</v>
      </c>
      <c r="L55" s="1132">
        <f>SUM('Development Schedule'!N14,'Development Schedule'!N35,'Development Schedule'!N55,'Development Schedule'!N60)</f>
        <v>14000</v>
      </c>
      <c r="M55" s="1132">
        <f>SUM('Development Schedule'!O14,'Development Schedule'!O35,'Development Schedule'!O55,'Development Schedule'!O60)</f>
        <v>0</v>
      </c>
      <c r="N55" s="1134">
        <f>SUM('Development Schedule'!P14,'Development Schedule'!P35,'Development Schedule'!P55,'Development Schedule'!P60)</f>
        <v>0</v>
      </c>
    </row>
    <row r="56" spans="1:14" ht="16" thickBot="1">
      <c r="A56" s="715" t="s">
        <v>30</v>
      </c>
      <c r="B56" s="679"/>
      <c r="C56" s="1048"/>
      <c r="D56" s="717">
        <f t="shared" ref="D56:N56" si="6">SUM(D49:D55)</f>
        <v>51390</v>
      </c>
      <c r="E56" s="718">
        <f t="shared" si="6"/>
        <v>297465</v>
      </c>
      <c r="F56" s="717">
        <f t="shared" si="6"/>
        <v>38350</v>
      </c>
      <c r="G56" s="719">
        <f t="shared" si="6"/>
        <v>327885</v>
      </c>
      <c r="H56" s="718">
        <f t="shared" si="6"/>
        <v>88800</v>
      </c>
      <c r="I56" s="717">
        <f t="shared" si="6"/>
        <v>363005</v>
      </c>
      <c r="J56" s="719">
        <f t="shared" si="6"/>
        <v>173380</v>
      </c>
      <c r="K56" s="717">
        <f t="shared" si="6"/>
        <v>284600</v>
      </c>
      <c r="L56" s="717">
        <f t="shared" si="6"/>
        <v>58000</v>
      </c>
      <c r="M56" s="717">
        <f t="shared" si="6"/>
        <v>65600</v>
      </c>
      <c r="N56" s="719">
        <f t="shared" si="6"/>
        <v>0</v>
      </c>
    </row>
    <row r="57" spans="1:14" s="10" customFormat="1" ht="16" thickBot="1">
      <c r="A57" s="574"/>
      <c r="B57" s="483"/>
      <c r="C57" s="484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</row>
    <row r="58" spans="1:14" ht="16" thickBot="1">
      <c r="A58" s="81" t="s">
        <v>119</v>
      </c>
      <c r="B58" s="82"/>
      <c r="C58" s="82"/>
      <c r="D58" s="82"/>
      <c r="E58" s="82"/>
      <c r="F58" s="83"/>
      <c r="G58" s="482"/>
      <c r="H58" s="10"/>
      <c r="I58" s="84" t="s">
        <v>243</v>
      </c>
      <c r="J58" s="85"/>
      <c r="K58" s="85"/>
      <c r="L58" s="85"/>
      <c r="M58" s="85"/>
      <c r="N58" s="86"/>
    </row>
    <row r="59" spans="1:14" s="14" customFormat="1" ht="16.5" customHeight="1" thickBot="1">
      <c r="A59" s="682" t="s">
        <v>2</v>
      </c>
      <c r="B59" s="665"/>
      <c r="C59" s="683"/>
      <c r="D59" s="684"/>
      <c r="E59" s="666" t="s">
        <v>49</v>
      </c>
      <c r="F59" s="667" t="s">
        <v>32</v>
      </c>
      <c r="G59" s="8"/>
      <c r="H59" s="13"/>
      <c r="I59" s="663"/>
      <c r="J59" s="664"/>
      <c r="K59" s="664"/>
      <c r="L59" s="665"/>
      <c r="M59" s="667" t="s">
        <v>48</v>
      </c>
      <c r="N59" s="1065" t="s">
        <v>72</v>
      </c>
    </row>
    <row r="60" spans="1:14">
      <c r="A60" s="685" t="s">
        <v>60</v>
      </c>
      <c r="B60" s="686"/>
      <c r="C60" s="686"/>
      <c r="D60" s="670"/>
      <c r="E60" s="687">
        <f>F60/C42</f>
        <v>182966.71192646591</v>
      </c>
      <c r="F60" s="688">
        <f t="shared" ref="F60:F67" si="7">SUM(D14:N14)</f>
        <v>102491494.37254997</v>
      </c>
      <c r="G60" s="11"/>
      <c r="H60" s="10"/>
      <c r="I60" s="668" t="s">
        <v>73</v>
      </c>
      <c r="J60" s="669"/>
      <c r="K60" s="669"/>
      <c r="L60" s="670"/>
      <c r="M60" s="1070"/>
      <c r="N60" s="1066"/>
    </row>
    <row r="61" spans="1:14">
      <c r="A61" s="685" t="s">
        <v>61</v>
      </c>
      <c r="B61" s="686"/>
      <c r="C61" s="686"/>
      <c r="D61" s="670"/>
      <c r="E61" s="689">
        <f>F61/C43</f>
        <v>257479.95638522878</v>
      </c>
      <c r="F61" s="690">
        <f t="shared" si="7"/>
        <v>19096430.098571137</v>
      </c>
      <c r="G61" s="11"/>
      <c r="H61" s="10"/>
      <c r="I61" s="671" t="s">
        <v>557</v>
      </c>
      <c r="J61" s="670"/>
      <c r="K61" s="670"/>
      <c r="L61" s="672"/>
      <c r="M61" s="688">
        <f>Budget!C16</f>
        <v>138896609.47730154</v>
      </c>
      <c r="N61" s="1067">
        <f>M61/$M$72</f>
        <v>0.30676555399516464</v>
      </c>
    </row>
    <row r="62" spans="1:14">
      <c r="A62" s="685" t="s">
        <v>62</v>
      </c>
      <c r="B62" s="686"/>
      <c r="C62" s="686"/>
      <c r="D62" s="670"/>
      <c r="E62" s="689">
        <f>F62/C44</f>
        <v>258305.94624912826</v>
      </c>
      <c r="F62" s="690">
        <f t="shared" si="7"/>
        <v>43924926.159664266</v>
      </c>
      <c r="G62" s="11"/>
      <c r="H62" s="10"/>
      <c r="I62" s="671"/>
      <c r="J62" s="670"/>
      <c r="K62" s="670"/>
      <c r="L62" s="670"/>
      <c r="M62" s="1070"/>
      <c r="N62" s="1066"/>
    </row>
    <row r="63" spans="1:14">
      <c r="A63" s="685" t="s">
        <v>117</v>
      </c>
      <c r="B63" s="670"/>
      <c r="C63" s="686"/>
      <c r="D63" s="670"/>
      <c r="E63" s="691">
        <f>F63/SUM(E52:N52)</f>
        <v>108.43018587176469</v>
      </c>
      <c r="F63" s="690">
        <f t="shared" si="7"/>
        <v>32613631.306509383</v>
      </c>
      <c r="G63" s="11"/>
      <c r="H63" s="10"/>
      <c r="I63" s="668" t="s">
        <v>74</v>
      </c>
      <c r="J63" s="669"/>
      <c r="K63" s="669"/>
      <c r="L63" s="670"/>
      <c r="M63" s="1070"/>
      <c r="N63" s="1066"/>
    </row>
    <row r="64" spans="1:14" ht="18.5">
      <c r="A64" s="685" t="s">
        <v>64</v>
      </c>
      <c r="B64" s="670"/>
      <c r="C64" s="686"/>
      <c r="D64" s="670"/>
      <c r="E64" s="691">
        <f>F64/C53</f>
        <v>170.6636952830786</v>
      </c>
      <c r="F64" s="690">
        <f t="shared" si="7"/>
        <v>33881010.106073178</v>
      </c>
      <c r="G64" s="11"/>
      <c r="H64" s="10"/>
      <c r="I64" s="671" t="s">
        <v>589</v>
      </c>
      <c r="J64" s="670"/>
      <c r="K64" s="670"/>
      <c r="L64" s="670"/>
      <c r="M64" s="690">
        <f>Budget!C11</f>
        <v>227515174.97194135</v>
      </c>
      <c r="N64" s="1067">
        <f>M64/$M$72</f>
        <v>0.50248756218905477</v>
      </c>
    </row>
    <row r="65" spans="1:14" ht="18.5">
      <c r="A65" s="685" t="s">
        <v>46</v>
      </c>
      <c r="B65" s="670"/>
      <c r="C65" s="686"/>
      <c r="D65" s="670"/>
      <c r="E65" s="689">
        <f>F65/500</f>
        <v>94415.384157020933</v>
      </c>
      <c r="F65" s="690">
        <f t="shared" si="7"/>
        <v>47207692.078510463</v>
      </c>
      <c r="G65" s="11"/>
      <c r="H65" s="10"/>
      <c r="I65" s="671" t="s">
        <v>563</v>
      </c>
      <c r="J65" s="670"/>
      <c r="K65" s="670"/>
      <c r="L65" s="670"/>
      <c r="M65" s="690">
        <f>Budget!C12</f>
        <v>23956141.725120001</v>
      </c>
      <c r="N65" s="1067">
        <f t="shared" ref="N65:N67" si="8">M65/$M$72</f>
        <v>5.2909276299462696E-2</v>
      </c>
    </row>
    <row r="66" spans="1:14" ht="18.5">
      <c r="A66" s="685" t="s">
        <v>167</v>
      </c>
      <c r="B66" s="670"/>
      <c r="C66" s="686"/>
      <c r="D66" s="670"/>
      <c r="E66" s="689">
        <f>F66/(C46-E46)</f>
        <v>17919.436765697603</v>
      </c>
      <c r="F66" s="690">
        <f t="shared" si="7"/>
        <v>18926845.101369165</v>
      </c>
      <c r="G66" s="11"/>
      <c r="H66" s="10"/>
      <c r="I66" s="34" t="s">
        <v>590</v>
      </c>
      <c r="J66" s="10"/>
      <c r="K66" s="10"/>
      <c r="L66" s="10"/>
      <c r="M66" s="690">
        <f>Budget!C13</f>
        <v>13177477.84789928</v>
      </c>
      <c r="N66" s="1067">
        <f t="shared" si="8"/>
        <v>2.9103635484568402E-2</v>
      </c>
    </row>
    <row r="67" spans="1:14" ht="18.5">
      <c r="A67" s="685" t="s">
        <v>233</v>
      </c>
      <c r="B67" s="670"/>
      <c r="C67" s="686"/>
      <c r="D67" s="670"/>
      <c r="E67" s="691">
        <f>F67/'Land Values'!F103</f>
        <v>121.27548591856312</v>
      </c>
      <c r="F67" s="690">
        <f t="shared" si="7"/>
        <v>89688000.090922624</v>
      </c>
      <c r="G67" s="11"/>
      <c r="H67" s="10"/>
      <c r="I67" s="34" t="s">
        <v>565</v>
      </c>
      <c r="J67" s="10"/>
      <c r="K67" s="10"/>
      <c r="L67" s="10"/>
      <c r="M67" s="690">
        <f>Budget!C15</f>
        <v>17592004.541605603</v>
      </c>
      <c r="N67" s="1067">
        <f t="shared" si="8"/>
        <v>3.8853511539264828E-2</v>
      </c>
    </row>
    <row r="68" spans="1:14" ht="16" thickBot="1">
      <c r="A68" s="685" t="s">
        <v>230</v>
      </c>
      <c r="B68" s="670"/>
      <c r="C68" s="686"/>
      <c r="D68" s="670"/>
      <c r="E68" s="691">
        <v>2</v>
      </c>
      <c r="F68" s="690">
        <f>F124</f>
        <v>917142.8</v>
      </c>
      <c r="G68" s="11"/>
      <c r="H68" s="10"/>
      <c r="I68" s="34"/>
      <c r="J68" s="10"/>
      <c r="K68" s="10"/>
      <c r="L68" s="10"/>
      <c r="M68" s="1052"/>
      <c r="N68" s="1064"/>
    </row>
    <row r="69" spans="1:14" ht="16" thickBot="1">
      <c r="A69" s="682" t="s">
        <v>118</v>
      </c>
      <c r="B69" s="693"/>
      <c r="C69" s="693"/>
      <c r="D69" s="694"/>
      <c r="E69" s="1049" t="s">
        <v>50</v>
      </c>
      <c r="F69" s="667" t="s">
        <v>51</v>
      </c>
      <c r="G69" s="11"/>
      <c r="H69" s="10"/>
      <c r="I69" s="668" t="s">
        <v>75</v>
      </c>
      <c r="J69" s="669"/>
      <c r="K69" s="669"/>
      <c r="L69" s="670"/>
      <c r="M69" s="1070"/>
      <c r="N69" s="1066"/>
    </row>
    <row r="70" spans="1:14" ht="18.5">
      <c r="A70" s="685" t="s">
        <v>488</v>
      </c>
      <c r="B70" s="670"/>
      <c r="C70" s="686"/>
      <c r="D70" s="670"/>
      <c r="E70" s="1051">
        <f>F70</f>
        <v>3804310.7575443126</v>
      </c>
      <c r="F70" s="1051">
        <f>SUM('1.Inftr Costs'!D9:N9)</f>
        <v>3804310.7575443126</v>
      </c>
      <c r="G70" s="8"/>
      <c r="H70" s="10"/>
      <c r="I70" s="34" t="s">
        <v>566</v>
      </c>
      <c r="J70" s="670"/>
      <c r="K70" s="670"/>
      <c r="L70" s="670"/>
      <c r="M70" s="690">
        <f>Budget!C14</f>
        <v>31640315.885243256</v>
      </c>
      <c r="N70" s="1067">
        <f>M70/$M$72</f>
        <v>6.9880460492484767E-2</v>
      </c>
    </row>
    <row r="71" spans="1:14">
      <c r="A71" s="685" t="s">
        <v>489</v>
      </c>
      <c r="B71" s="670"/>
      <c r="C71" s="686"/>
      <c r="D71" s="670"/>
      <c r="E71" s="1073">
        <f>F71</f>
        <v>9471281.4000000004</v>
      </c>
      <c r="F71" s="690">
        <f>SUM('1.Inftr Costs'!D10:N10)</f>
        <v>9471281.4000000004</v>
      </c>
      <c r="G71" s="10"/>
      <c r="H71" s="10"/>
      <c r="I71" s="676"/>
      <c r="J71" s="677"/>
      <c r="K71" s="677"/>
      <c r="L71" s="677"/>
      <c r="M71" s="1071"/>
      <c r="N71" s="1068"/>
    </row>
    <row r="72" spans="1:14" ht="16" thickBot="1">
      <c r="A72" s="685" t="s">
        <v>499</v>
      </c>
      <c r="B72" s="670"/>
      <c r="C72" s="686"/>
      <c r="D72" s="670"/>
      <c r="E72" s="1073">
        <f>F72</f>
        <v>5337956.1728989435</v>
      </c>
      <c r="F72" s="690">
        <f>SUM('1.Inftr Costs'!D11:N11)</f>
        <v>5337956.1728989435</v>
      </c>
      <c r="G72" s="783"/>
      <c r="H72" s="10"/>
      <c r="I72" s="1156" t="s">
        <v>30</v>
      </c>
      <c r="J72" s="1157"/>
      <c r="K72" s="1157"/>
      <c r="L72" s="1158"/>
      <c r="M72" s="1159">
        <f>SUM(M61:M71)</f>
        <v>452777724.44911098</v>
      </c>
      <c r="N72" s="1160">
        <f>SUM(N61:N71)</f>
        <v>1.0000000000000002</v>
      </c>
    </row>
    <row r="73" spans="1:14">
      <c r="A73" s="685" t="s">
        <v>500</v>
      </c>
      <c r="B73" s="670"/>
      <c r="C73" s="686"/>
      <c r="D73" s="670"/>
      <c r="E73" s="1073">
        <f>F73</f>
        <v>4348671.2028000001</v>
      </c>
      <c r="F73" s="690">
        <f>SUM('1.Inftr Costs'!D12:N12)</f>
        <v>4348671.2028000001</v>
      </c>
      <c r="G73" s="10"/>
      <c r="H73" s="10"/>
      <c r="I73" s="20" t="s">
        <v>559</v>
      </c>
    </row>
    <row r="74" spans="1:14">
      <c r="A74" s="685" t="s">
        <v>490</v>
      </c>
      <c r="B74" s="670"/>
      <c r="C74" s="686"/>
      <c r="D74" s="670"/>
      <c r="E74" s="1073"/>
      <c r="F74" s="690">
        <f>SUM('1.Inftr Costs'!D13:N13)</f>
        <v>1523743.0249934464</v>
      </c>
      <c r="G74" s="10"/>
      <c r="H74" s="10"/>
      <c r="I74" s="20" t="s">
        <v>560</v>
      </c>
    </row>
    <row r="75" spans="1:14">
      <c r="A75" s="685" t="s">
        <v>505</v>
      </c>
      <c r="B75" s="670"/>
      <c r="C75" s="686"/>
      <c r="D75" s="670"/>
      <c r="E75" s="1073"/>
      <c r="F75" s="690">
        <f>SUM('1.Inftr Costs'!D14:N14)</f>
        <v>2153785.6268423996</v>
      </c>
      <c r="G75" s="10"/>
      <c r="H75" s="10"/>
      <c r="I75" s="20" t="s">
        <v>561</v>
      </c>
    </row>
    <row r="76" spans="1:14">
      <c r="A76" s="34" t="s">
        <v>537</v>
      </c>
      <c r="B76" s="10"/>
      <c r="C76" s="10"/>
      <c r="D76" s="10"/>
      <c r="E76" s="1074">
        <f>F76</f>
        <v>8678096.3520000018</v>
      </c>
      <c r="F76" s="1054">
        <f>SUM('1.Inftr Costs'!D15:N15)</f>
        <v>8678096.3520000018</v>
      </c>
      <c r="G76" s="10"/>
      <c r="H76" s="10"/>
      <c r="I76" s="1098" t="s">
        <v>576</v>
      </c>
    </row>
    <row r="77" spans="1:14">
      <c r="A77" s="34" t="s">
        <v>134</v>
      </c>
      <c r="B77" s="10"/>
      <c r="C77" s="10"/>
      <c r="D77" s="10"/>
      <c r="E77" s="1052"/>
      <c r="F77" s="1054">
        <f>SUM('1.Inftr Costs'!D16:N16)</f>
        <v>2077347.1201949322</v>
      </c>
      <c r="G77" s="10"/>
      <c r="H77" s="10"/>
      <c r="I77" s="20" t="s">
        <v>584</v>
      </c>
    </row>
    <row r="78" spans="1:14">
      <c r="A78" s="34" t="s">
        <v>497</v>
      </c>
      <c r="B78" s="10"/>
      <c r="C78" s="10"/>
      <c r="D78" s="10"/>
      <c r="E78" s="1052"/>
      <c r="F78" s="1054">
        <f>SUM('1.Inftr Costs'!D17:N17)</f>
        <v>6790730.6412895396</v>
      </c>
      <c r="G78" s="10"/>
      <c r="H78" s="10"/>
      <c r="I78" s="1098" t="s">
        <v>591</v>
      </c>
    </row>
    <row r="79" spans="1:14">
      <c r="A79" s="34" t="s">
        <v>427</v>
      </c>
      <c r="B79" s="10"/>
      <c r="C79" s="10"/>
      <c r="D79" s="10"/>
      <c r="E79" s="1052"/>
      <c r="F79" s="1054">
        <f>SUM('1.Inftr Costs'!D18:N18)</f>
        <v>3783905.7287270403</v>
      </c>
      <c r="G79" s="10"/>
      <c r="H79" s="10"/>
      <c r="I79" s="20" t="s">
        <v>567</v>
      </c>
    </row>
    <row r="80" spans="1:14" ht="16.5" customHeight="1" thickBot="1">
      <c r="A80" s="34" t="s">
        <v>492</v>
      </c>
      <c r="B80" s="10"/>
      <c r="C80" s="10"/>
      <c r="D80" s="10"/>
      <c r="E80" s="1058">
        <f>F80</f>
        <v>13808098.812878564</v>
      </c>
      <c r="F80" s="1055">
        <f>SUM('1.Inftr Costs'!D19:N19)</f>
        <v>13808098.812878564</v>
      </c>
      <c r="G80" s="10"/>
      <c r="H80" s="783"/>
    </row>
    <row r="81" spans="1:14" ht="15.5" customHeight="1" thickBot="1">
      <c r="A81" s="682" t="s">
        <v>31</v>
      </c>
      <c r="B81" s="703"/>
      <c r="C81" s="703"/>
      <c r="D81" s="694"/>
      <c r="E81" s="1050">
        <f>SUM(E70:E80)</f>
        <v>45448414.698121816</v>
      </c>
      <c r="F81" s="702">
        <f>SUM(F70:F80)</f>
        <v>61777926.840169176</v>
      </c>
      <c r="I81" s="864" t="s">
        <v>329</v>
      </c>
      <c r="J81" s="865"/>
      <c r="K81" s="865"/>
      <c r="L81" s="865"/>
      <c r="M81" s="865"/>
      <c r="N81" s="866"/>
    </row>
    <row r="82" spans="1:14" ht="16.5" customHeight="1" thickBot="1">
      <c r="A82" s="1151" t="s">
        <v>3</v>
      </c>
      <c r="B82" s="1152"/>
      <c r="C82" s="1152"/>
      <c r="D82" s="1153"/>
      <c r="E82" s="1154"/>
      <c r="F82" s="1155">
        <f>SUM(F60:F68,F81)</f>
        <v>450525098.95433933</v>
      </c>
      <c r="I82" s="784"/>
      <c r="J82" s="785"/>
      <c r="K82" s="786" t="s">
        <v>331</v>
      </c>
      <c r="L82" s="784"/>
      <c r="M82" s="785"/>
      <c r="N82" s="888"/>
    </row>
    <row r="83" spans="1:14" ht="19.5" customHeight="1" thickBot="1">
      <c r="D83" s="20"/>
      <c r="I83" s="35" t="s">
        <v>330</v>
      </c>
      <c r="J83" s="776"/>
      <c r="K83" s="887" t="s">
        <v>332</v>
      </c>
      <c r="L83" s="967" t="s">
        <v>333</v>
      </c>
      <c r="M83" s="953"/>
      <c r="N83" s="954"/>
    </row>
    <row r="84" spans="1:14" ht="16" customHeight="1">
      <c r="D84" s="20"/>
      <c r="I84" s="784" t="s">
        <v>334</v>
      </c>
      <c r="J84" s="785"/>
      <c r="K84" s="1135">
        <v>2.9</v>
      </c>
      <c r="L84" s="1167" t="s">
        <v>568</v>
      </c>
      <c r="M84" s="1166"/>
      <c r="N84" s="1168"/>
    </row>
    <row r="85" spans="1:14" ht="16" thickBot="1">
      <c r="D85" s="20"/>
      <c r="I85" s="877"/>
      <c r="J85" s="776"/>
      <c r="K85" s="776"/>
      <c r="L85" s="1169"/>
      <c r="M85" s="1170"/>
      <c r="N85" s="1171"/>
    </row>
    <row r="86" spans="1:14" ht="15" customHeight="1" thickBot="1">
      <c r="A86" s="864" t="s">
        <v>320</v>
      </c>
      <c r="B86" s="865"/>
      <c r="C86" s="865"/>
      <c r="D86" s="865"/>
      <c r="E86" s="865"/>
      <c r="F86" s="866"/>
      <c r="I86" s="31" t="s">
        <v>335</v>
      </c>
      <c r="J86" s="15"/>
      <c r="K86" s="1136">
        <v>0.04</v>
      </c>
      <c r="L86" s="31" t="s">
        <v>569</v>
      </c>
      <c r="M86" s="15"/>
      <c r="N86" s="891"/>
    </row>
    <row r="87" spans="1:14" ht="15.5" customHeight="1">
      <c r="A87" s="867"/>
      <c r="B87" s="785"/>
      <c r="C87" s="868" t="s">
        <v>121</v>
      </c>
      <c r="D87" s="868" t="s">
        <v>122</v>
      </c>
      <c r="E87" s="868" t="s">
        <v>123</v>
      </c>
      <c r="F87" s="869" t="s">
        <v>30</v>
      </c>
      <c r="I87" s="784" t="s">
        <v>336</v>
      </c>
      <c r="J87" s="785"/>
      <c r="K87" s="1135">
        <v>275</v>
      </c>
      <c r="L87" s="1167" t="s">
        <v>570</v>
      </c>
      <c r="M87" s="1166"/>
      <c r="N87" s="1168"/>
    </row>
    <row r="88" spans="1:14" ht="18" thickBot="1">
      <c r="A88" s="870" t="s">
        <v>124</v>
      </c>
      <c r="B88" s="776"/>
      <c r="C88" s="871" t="s">
        <v>321</v>
      </c>
      <c r="D88" s="871" t="s">
        <v>322</v>
      </c>
      <c r="E88" s="871" t="s">
        <v>323</v>
      </c>
      <c r="F88" s="872" t="s">
        <v>326</v>
      </c>
      <c r="I88" s="34"/>
      <c r="J88" s="10"/>
      <c r="K88" s="10"/>
      <c r="L88" s="1172"/>
      <c r="M88" s="1173"/>
      <c r="N88" s="1174"/>
    </row>
    <row r="89" spans="1:14" ht="16.5" customHeight="1" thickBot="1">
      <c r="A89" s="685" t="s">
        <v>324</v>
      </c>
      <c r="B89" s="10"/>
      <c r="C89" s="1147">
        <v>159.86000000000001</v>
      </c>
      <c r="D89" s="1147">
        <v>31.972000000000005</v>
      </c>
      <c r="E89" s="1148">
        <v>6.394400000000001</v>
      </c>
      <c r="F89" s="878">
        <f>SUM(C89:E89)</f>
        <v>198.22640000000001</v>
      </c>
      <c r="I89" s="877"/>
      <c r="J89" s="776"/>
      <c r="K89" s="776"/>
      <c r="L89" s="1169"/>
      <c r="M89" s="1170"/>
      <c r="N89" s="1171"/>
    </row>
    <row r="90" spans="1:14" ht="16.5" customHeight="1">
      <c r="A90" s="34" t="s">
        <v>486</v>
      </c>
      <c r="B90" s="10"/>
      <c r="C90" s="881">
        <v>131.94999999999999</v>
      </c>
      <c r="D90" s="880">
        <v>26.39</v>
      </c>
      <c r="E90" s="881">
        <v>5.2779999999999996</v>
      </c>
      <c r="F90" s="879">
        <f>SUM(C90:E90)</f>
        <v>163.61799999999997</v>
      </c>
      <c r="I90" s="784" t="s">
        <v>571</v>
      </c>
      <c r="J90" s="785"/>
      <c r="K90" s="1135">
        <v>45</v>
      </c>
      <c r="L90" s="1167" t="s">
        <v>573</v>
      </c>
      <c r="M90" s="1166"/>
      <c r="N90" s="1168"/>
    </row>
    <row r="91" spans="1:14" ht="16.5" customHeight="1" thickBot="1">
      <c r="A91" s="34" t="s">
        <v>487</v>
      </c>
      <c r="B91" s="10"/>
      <c r="C91" s="881">
        <v>169.95</v>
      </c>
      <c r="D91" s="880">
        <v>33.99</v>
      </c>
      <c r="E91" s="881">
        <v>6.798</v>
      </c>
      <c r="F91" s="879">
        <f>SUM(C91:E91)</f>
        <v>210.738</v>
      </c>
      <c r="I91" s="877" t="s">
        <v>572</v>
      </c>
      <c r="J91" s="776"/>
      <c r="K91" s="881">
        <v>30</v>
      </c>
      <c r="L91" s="1169"/>
      <c r="M91" s="1170"/>
      <c r="N91" s="1171"/>
    </row>
    <row r="92" spans="1:14" ht="16.5" customHeight="1" thickBot="1">
      <c r="A92" s="34" t="s">
        <v>325</v>
      </c>
      <c r="B92" s="10"/>
      <c r="C92" s="881">
        <v>99.25</v>
      </c>
      <c r="D92" s="880">
        <v>19.850000000000001</v>
      </c>
      <c r="E92" s="881">
        <v>3.97</v>
      </c>
      <c r="F92" s="879">
        <f t="shared" ref="F92:F95" si="9">SUM(C92:E92)</f>
        <v>123.07</v>
      </c>
      <c r="I92" s="31" t="s">
        <v>204</v>
      </c>
      <c r="J92" s="15"/>
      <c r="K92" s="1136">
        <v>0.25</v>
      </c>
      <c r="L92" s="31" t="s">
        <v>583</v>
      </c>
      <c r="M92" s="15"/>
      <c r="N92" s="891"/>
    </row>
    <row r="93" spans="1:14" ht="16.5" customHeight="1">
      <c r="A93" s="34" t="s">
        <v>538</v>
      </c>
      <c r="B93" s="10"/>
      <c r="C93" s="881">
        <v>158.22</v>
      </c>
      <c r="D93" s="880">
        <v>31.644000000000002</v>
      </c>
      <c r="E93" s="881">
        <v>6.3288000000000002</v>
      </c>
      <c r="F93" s="879">
        <f t="shared" si="9"/>
        <v>196.19280000000001</v>
      </c>
      <c r="I93" s="1083" t="s">
        <v>337</v>
      </c>
      <c r="J93" s="30"/>
      <c r="K93" s="1137">
        <v>55</v>
      </c>
      <c r="L93" s="1175" t="s">
        <v>577</v>
      </c>
      <c r="M93" s="1176"/>
      <c r="N93" s="1177"/>
    </row>
    <row r="94" spans="1:14" ht="16.5" customHeight="1">
      <c r="A94" s="34" t="s">
        <v>83</v>
      </c>
      <c r="B94" s="10"/>
      <c r="C94" s="881">
        <v>83.97</v>
      </c>
      <c r="D94" s="880">
        <v>16.794</v>
      </c>
      <c r="E94" s="881">
        <v>3.3588</v>
      </c>
      <c r="F94" s="879">
        <f t="shared" si="9"/>
        <v>104.1228</v>
      </c>
      <c r="I94" s="1085" t="s">
        <v>338</v>
      </c>
      <c r="J94" s="11"/>
      <c r="K94" s="1138">
        <v>55</v>
      </c>
      <c r="L94" s="1178"/>
      <c r="M94" s="1179"/>
      <c r="N94" s="1180"/>
    </row>
    <row r="95" spans="1:14" ht="16.5" customHeight="1">
      <c r="A95" s="34" t="s">
        <v>46</v>
      </c>
      <c r="B95" s="10"/>
      <c r="C95" s="881">
        <v>158.43</v>
      </c>
      <c r="D95" s="880">
        <v>31.686000000000003</v>
      </c>
      <c r="E95" s="881">
        <v>6.3372000000000002</v>
      </c>
      <c r="F95" s="879">
        <f t="shared" si="9"/>
        <v>196.45320000000001</v>
      </c>
      <c r="I95" s="1085" t="s">
        <v>339</v>
      </c>
      <c r="J95" s="11"/>
      <c r="K95" s="1138">
        <v>35</v>
      </c>
      <c r="L95" s="1099" t="s">
        <v>586</v>
      </c>
      <c r="M95" s="1100"/>
      <c r="N95" s="1101"/>
    </row>
    <row r="96" spans="1:14" ht="16.5" customHeight="1" thickBot="1">
      <c r="A96" s="34" t="s">
        <v>498</v>
      </c>
      <c r="B96" s="10"/>
      <c r="C96" s="881">
        <v>147.66999999999999</v>
      </c>
      <c r="D96" s="880">
        <v>29.533999999999999</v>
      </c>
      <c r="E96" s="881">
        <v>5.9067999999999996</v>
      </c>
      <c r="F96" s="879">
        <f>SUM(C96:E96)</f>
        <v>183.11079999999998</v>
      </c>
      <c r="I96" s="1086" t="s">
        <v>207</v>
      </c>
      <c r="J96" s="19"/>
      <c r="K96" s="1139">
        <v>9.5000000000000001E-2</v>
      </c>
      <c r="L96" s="1102" t="s">
        <v>578</v>
      </c>
      <c r="M96" s="1103"/>
      <c r="N96" s="1104"/>
    </row>
    <row r="97" spans="1:14" ht="16.5" customHeight="1">
      <c r="A97" s="34" t="s">
        <v>47</v>
      </c>
      <c r="B97" s="10"/>
      <c r="C97" s="1060"/>
      <c r="D97" s="1061"/>
      <c r="E97" s="1062"/>
      <c r="F97" s="879">
        <v>47.91</v>
      </c>
      <c r="I97" s="1083" t="s">
        <v>340</v>
      </c>
      <c r="J97" s="30"/>
      <c r="K97" s="1140">
        <v>190</v>
      </c>
      <c r="L97" s="1175" t="s">
        <v>579</v>
      </c>
      <c r="M97" s="1176"/>
      <c r="N97" s="1177"/>
    </row>
    <row r="98" spans="1:14" ht="16.5" customHeight="1">
      <c r="A98" s="34" t="s">
        <v>411</v>
      </c>
      <c r="B98" s="10"/>
      <c r="C98" s="881">
        <v>188.44</v>
      </c>
      <c r="D98" s="880">
        <v>37.688000000000002</v>
      </c>
      <c r="E98" s="881">
        <v>7.5376000000000003</v>
      </c>
      <c r="F98" s="879">
        <v>233.66559999999998</v>
      </c>
      <c r="I98" s="34" t="s">
        <v>575</v>
      </c>
      <c r="J98" s="10"/>
      <c r="K98" s="1141">
        <v>140</v>
      </c>
      <c r="L98" s="1178"/>
      <c r="M98" s="1179"/>
      <c r="N98" s="1180"/>
    </row>
    <row r="99" spans="1:14" ht="16.5" customHeight="1">
      <c r="A99" s="34" t="s">
        <v>139</v>
      </c>
      <c r="B99" s="10"/>
      <c r="C99" s="881">
        <v>136.16999999999999</v>
      </c>
      <c r="D99" s="880">
        <v>27.233999999999998</v>
      </c>
      <c r="E99" s="881">
        <v>5.4467999999999996</v>
      </c>
      <c r="F99" s="879">
        <f>SUM(C99:E99)</f>
        <v>168.85079999999999</v>
      </c>
      <c r="I99" s="1085" t="s">
        <v>341</v>
      </c>
      <c r="J99" s="11"/>
      <c r="K99" s="1142">
        <v>0.76700000000000002</v>
      </c>
      <c r="L99" s="1178"/>
      <c r="M99" s="1179"/>
      <c r="N99" s="1180"/>
    </row>
    <row r="100" spans="1:14" ht="16.5" customHeight="1" thickBot="1">
      <c r="A100" s="877" t="s">
        <v>132</v>
      </c>
      <c r="B100" s="776"/>
      <c r="C100" s="884">
        <v>127.06</v>
      </c>
      <c r="D100" s="883">
        <v>25.412000000000003</v>
      </c>
      <c r="E100" s="884">
        <v>5.0823999999999998</v>
      </c>
      <c r="F100" s="885">
        <f>SUM(C100:E100)</f>
        <v>157.55440000000002</v>
      </c>
      <c r="I100" s="1086" t="s">
        <v>342</v>
      </c>
      <c r="J100" s="19"/>
      <c r="K100" s="1143">
        <v>0.35</v>
      </c>
      <c r="L100" s="1181"/>
      <c r="M100" s="1182"/>
      <c r="N100" s="1183"/>
    </row>
    <row r="101" spans="1:14">
      <c r="A101" s="886" t="s">
        <v>403</v>
      </c>
      <c r="I101" s="784" t="s">
        <v>343</v>
      </c>
      <c r="J101" s="785"/>
      <c r="K101" s="1144">
        <v>0.05</v>
      </c>
      <c r="L101" s="1184" t="s">
        <v>594</v>
      </c>
      <c r="M101" s="1185"/>
      <c r="N101" s="1186"/>
    </row>
    <row r="102" spans="1:14">
      <c r="A102" s="1082" t="s">
        <v>327</v>
      </c>
      <c r="I102" s="34" t="s">
        <v>344</v>
      </c>
      <c r="J102" s="10"/>
      <c r="K102" s="1145">
        <v>6.5000000000000002E-2</v>
      </c>
      <c r="L102" s="1187"/>
      <c r="M102" s="1188"/>
      <c r="N102" s="1189"/>
    </row>
    <row r="103" spans="1:14">
      <c r="A103" s="1082" t="s">
        <v>328</v>
      </c>
      <c r="I103" s="34" t="s">
        <v>345</v>
      </c>
      <c r="J103" s="10"/>
      <c r="K103" s="1145">
        <v>7.0000000000000007E-2</v>
      </c>
      <c r="L103" s="1187"/>
      <c r="M103" s="1188"/>
      <c r="N103" s="1189"/>
    </row>
    <row r="104" spans="1:14">
      <c r="A104" s="892" t="s">
        <v>349</v>
      </c>
      <c r="B104" s="892"/>
      <c r="C104" s="892"/>
      <c r="D104" s="892"/>
      <c r="E104" s="892"/>
      <c r="F104" s="892"/>
      <c r="I104" s="34" t="s">
        <v>346</v>
      </c>
      <c r="J104" s="10"/>
      <c r="K104" s="1145">
        <v>7.2499999999999995E-2</v>
      </c>
      <c r="L104" s="1187"/>
      <c r="M104" s="1188"/>
      <c r="N104" s="1189"/>
    </row>
    <row r="105" spans="1:14" ht="16" thickBot="1">
      <c r="A105" s="892" t="s">
        <v>536</v>
      </c>
      <c r="I105" s="877" t="s">
        <v>347</v>
      </c>
      <c r="J105" s="776"/>
      <c r="K105" s="1146">
        <v>0.08</v>
      </c>
      <c r="L105" s="1190"/>
      <c r="M105" s="1191"/>
      <c r="N105" s="1192"/>
    </row>
    <row r="106" spans="1:14" ht="38" customHeight="1">
      <c r="I106" s="1166" t="s">
        <v>588</v>
      </c>
      <c r="J106" s="1166"/>
      <c r="K106" s="1166"/>
      <c r="L106" s="1166"/>
      <c r="M106" s="1166"/>
      <c r="N106" s="1166"/>
    </row>
    <row r="107" spans="1:14" ht="16" thickBot="1">
      <c r="I107" s="1023"/>
      <c r="J107" s="1023"/>
      <c r="K107" s="1023"/>
      <c r="L107" s="1023"/>
      <c r="M107" s="1023"/>
      <c r="N107" s="1023"/>
    </row>
    <row r="108" spans="1:14" ht="16" thickBot="1">
      <c r="B108" s="893" t="s">
        <v>229</v>
      </c>
      <c r="C108" s="894"/>
      <c r="D108" s="894"/>
      <c r="E108" s="894"/>
      <c r="F108" s="894"/>
      <c r="G108" s="894"/>
      <c r="H108" s="894"/>
      <c r="I108" s="894"/>
      <c r="J108" s="894"/>
      <c r="K108" s="894"/>
      <c r="L108" s="895"/>
    </row>
    <row r="109" spans="1:14">
      <c r="B109" s="896"/>
      <c r="C109" s="868" t="s">
        <v>214</v>
      </c>
      <c r="D109" s="868" t="s">
        <v>216</v>
      </c>
      <c r="E109" s="897" t="s">
        <v>217</v>
      </c>
      <c r="F109" s="898" t="s">
        <v>173</v>
      </c>
      <c r="G109" s="897" t="s">
        <v>197</v>
      </c>
      <c r="H109" s="898" t="s">
        <v>548</v>
      </c>
      <c r="I109" s="868" t="s">
        <v>368</v>
      </c>
      <c r="J109" s="897" t="s">
        <v>198</v>
      </c>
      <c r="K109" s="869" t="s">
        <v>30</v>
      </c>
      <c r="L109" s="869" t="s">
        <v>177</v>
      </c>
    </row>
    <row r="110" spans="1:14" ht="18" thickBot="1">
      <c r="B110" s="870" t="s">
        <v>213</v>
      </c>
      <c r="C110" s="871" t="s">
        <v>215</v>
      </c>
      <c r="D110" s="871" t="s">
        <v>177</v>
      </c>
      <c r="E110" s="899" t="s">
        <v>88</v>
      </c>
      <c r="F110" s="900" t="s">
        <v>180</v>
      </c>
      <c r="G110" s="899" t="s">
        <v>180</v>
      </c>
      <c r="H110" s="900" t="s">
        <v>596</v>
      </c>
      <c r="I110" s="871" t="s">
        <v>369</v>
      </c>
      <c r="J110" s="899" t="s">
        <v>177</v>
      </c>
      <c r="K110" s="872" t="s">
        <v>177</v>
      </c>
      <c r="L110" s="872" t="s">
        <v>183</v>
      </c>
    </row>
    <row r="111" spans="1:14">
      <c r="B111" s="901" t="s">
        <v>542</v>
      </c>
      <c r="C111" s="902" t="s">
        <v>547</v>
      </c>
      <c r="D111" s="903">
        <v>11879137</v>
      </c>
      <c r="E111" s="904">
        <v>46031</v>
      </c>
      <c r="F111" s="905">
        <v>0</v>
      </c>
      <c r="G111" s="906">
        <v>197299.872</v>
      </c>
      <c r="H111" s="949">
        <f>F111/0.11</f>
        <v>0</v>
      </c>
      <c r="I111" s="903">
        <v>75709</v>
      </c>
      <c r="J111" s="906">
        <v>3288331.2</v>
      </c>
      <c r="K111" s="907">
        <f>SUM(H111:J111)</f>
        <v>3364040.2</v>
      </c>
      <c r="L111" s="908">
        <f>K111/E111</f>
        <v>73.082057743694477</v>
      </c>
    </row>
    <row r="112" spans="1:14">
      <c r="B112" s="901" t="s">
        <v>543</v>
      </c>
      <c r="C112" s="902" t="s">
        <v>549</v>
      </c>
      <c r="D112" s="909">
        <v>12328225</v>
      </c>
      <c r="E112" s="904">
        <v>51058</v>
      </c>
      <c r="F112" s="905">
        <v>0</v>
      </c>
      <c r="G112" s="910">
        <v>932787.18799999997</v>
      </c>
      <c r="H112" s="950">
        <f t="shared" ref="H112:H115" si="10">F112/0.11</f>
        <v>0</v>
      </c>
      <c r="I112" s="909">
        <v>533988</v>
      </c>
      <c r="J112" s="910">
        <v>15451341.228571428</v>
      </c>
      <c r="K112" s="911">
        <f t="shared" ref="K112:K115" si="11">SUM(H112:J112)</f>
        <v>15985329.228571428</v>
      </c>
      <c r="L112" s="912">
        <f t="shared" ref="L112:L115" si="12">K112/E112</f>
        <v>313.08177422874826</v>
      </c>
    </row>
    <row r="113" spans="2:12">
      <c r="B113" s="901" t="s">
        <v>544</v>
      </c>
      <c r="C113" s="902" t="s">
        <v>550</v>
      </c>
      <c r="D113" s="909">
        <v>10621500</v>
      </c>
      <c r="E113" s="904">
        <v>63675</v>
      </c>
      <c r="F113" s="905">
        <v>0</v>
      </c>
      <c r="G113" s="910">
        <v>222300.79999999999</v>
      </c>
      <c r="H113" s="950">
        <f t="shared" si="10"/>
        <v>0</v>
      </c>
      <c r="I113" s="909">
        <v>78650</v>
      </c>
      <c r="J113" s="910">
        <v>3550766.1904761903</v>
      </c>
      <c r="K113" s="911">
        <f t="shared" si="11"/>
        <v>3629416.1904761903</v>
      </c>
      <c r="L113" s="912">
        <f t="shared" si="12"/>
        <v>56.999076411090542</v>
      </c>
    </row>
    <row r="114" spans="2:12">
      <c r="B114" s="901" t="s">
        <v>545</v>
      </c>
      <c r="C114" s="902" t="s">
        <v>551</v>
      </c>
      <c r="D114" s="909">
        <v>7473750</v>
      </c>
      <c r="E114" s="904">
        <v>35175</v>
      </c>
      <c r="F114" s="905">
        <v>161683.59375</v>
      </c>
      <c r="G114" s="910">
        <v>22482.432000000001</v>
      </c>
      <c r="H114" s="950">
        <f>F114/0.08</f>
        <v>2021044.921875</v>
      </c>
      <c r="I114" s="909">
        <v>24284</v>
      </c>
      <c r="J114" s="910">
        <v>374707.20000000001</v>
      </c>
      <c r="K114" s="911">
        <f t="shared" si="11"/>
        <v>2420036.1218750002</v>
      </c>
      <c r="L114" s="912">
        <f t="shared" si="12"/>
        <v>68.799889747690131</v>
      </c>
    </row>
    <row r="115" spans="2:12" ht="16" thickBot="1">
      <c r="B115" s="913" t="s">
        <v>546</v>
      </c>
      <c r="C115" s="914" t="s">
        <v>552</v>
      </c>
      <c r="D115" s="915">
        <v>11440000</v>
      </c>
      <c r="E115" s="916">
        <v>51753.4</v>
      </c>
      <c r="F115" s="917">
        <v>0</v>
      </c>
      <c r="G115" s="918">
        <v>627582.74099999992</v>
      </c>
      <c r="H115" s="951">
        <f t="shared" si="10"/>
        <v>0</v>
      </c>
      <c r="I115" s="915">
        <v>86854</v>
      </c>
      <c r="J115" s="918">
        <v>10459712.35</v>
      </c>
      <c r="K115" s="919">
        <f t="shared" si="11"/>
        <v>10546566.35</v>
      </c>
      <c r="L115" s="920">
        <f t="shared" si="12"/>
        <v>203.78499480227384</v>
      </c>
    </row>
    <row r="116" spans="2:12" ht="16" thickBot="1">
      <c r="B116" s="870" t="s">
        <v>30</v>
      </c>
      <c r="C116" s="914"/>
      <c r="D116" s="921">
        <f t="shared" ref="D116:K116" si="13">SUM(D111:D115)</f>
        <v>53742612</v>
      </c>
      <c r="E116" s="922">
        <f t="shared" si="13"/>
        <v>247692.4</v>
      </c>
      <c r="F116" s="923">
        <f t="shared" si="13"/>
        <v>161683.59375</v>
      </c>
      <c r="G116" s="924">
        <f t="shared" si="13"/>
        <v>2002453.0330000001</v>
      </c>
      <c r="H116" s="925">
        <f t="shared" si="13"/>
        <v>2021044.921875</v>
      </c>
      <c r="I116" s="921">
        <f t="shared" si="13"/>
        <v>799485</v>
      </c>
      <c r="J116" s="924">
        <f t="shared" si="13"/>
        <v>33124858.169047616</v>
      </c>
      <c r="K116" s="926">
        <f t="shared" si="13"/>
        <v>35945388.090922616</v>
      </c>
      <c r="L116" s="927">
        <f>K116/E116</f>
        <v>145.12107796170821</v>
      </c>
    </row>
    <row r="117" spans="2:12">
      <c r="B117" s="886" t="s">
        <v>212</v>
      </c>
      <c r="C117" s="928"/>
      <c r="D117" s="929"/>
      <c r="E117" s="930"/>
      <c r="F117" s="930"/>
      <c r="G117" s="929"/>
      <c r="H117" s="929"/>
      <c r="I117" s="929"/>
      <c r="J117" s="929"/>
      <c r="K117" s="931"/>
      <c r="L117" s="932"/>
    </row>
    <row r="118" spans="2:12" ht="16" thickBot="1">
      <c r="B118" s="37"/>
      <c r="C118" s="540"/>
      <c r="D118" s="543"/>
      <c r="E118" s="542"/>
      <c r="F118" s="542"/>
      <c r="G118" s="543"/>
      <c r="H118" s="543"/>
      <c r="I118" s="543"/>
      <c r="J118" s="543"/>
      <c r="K118" s="181"/>
      <c r="L118" s="544"/>
    </row>
    <row r="119" spans="2:12" ht="16" thickBot="1">
      <c r="B119" s="893" t="s">
        <v>223</v>
      </c>
      <c r="C119" s="933"/>
      <c r="D119" s="934"/>
      <c r="E119" s="935"/>
      <c r="F119" s="936"/>
      <c r="H119" s="543"/>
      <c r="I119" s="543"/>
      <c r="J119" s="543"/>
      <c r="K119" s="181"/>
      <c r="L119" s="544"/>
    </row>
    <row r="120" spans="2:12">
      <c r="B120" s="867" t="s">
        <v>80</v>
      </c>
      <c r="C120" s="937"/>
      <c r="D120" s="938"/>
      <c r="E120" s="939"/>
      <c r="F120" s="940">
        <f>'Land Values'!E106</f>
        <v>509961.4</v>
      </c>
      <c r="H120" s="543"/>
      <c r="I120" s="543"/>
      <c r="J120" s="543"/>
      <c r="K120" s="181"/>
      <c r="L120" s="544"/>
    </row>
    <row r="121" spans="2:12">
      <c r="B121" s="941" t="s">
        <v>593</v>
      </c>
      <c r="C121" s="942"/>
      <c r="D121" s="942"/>
      <c r="E121" s="942"/>
      <c r="F121" s="943">
        <f>-'Development Schedule'!E32</f>
        <v>-51390</v>
      </c>
      <c r="H121" s="36"/>
      <c r="I121" s="36"/>
      <c r="J121" s="36"/>
      <c r="K121" s="36"/>
      <c r="L121" s="36"/>
    </row>
    <row r="122" spans="2:12">
      <c r="B122" s="944" t="s">
        <v>225</v>
      </c>
      <c r="C122" s="945"/>
      <c r="D122" s="945"/>
      <c r="E122" s="945"/>
      <c r="F122" s="946">
        <f>SUM(F120:F121)</f>
        <v>458571.4</v>
      </c>
      <c r="H122" s="36"/>
      <c r="I122" s="36"/>
      <c r="J122" s="36"/>
      <c r="K122" s="36"/>
      <c r="L122" s="36"/>
    </row>
    <row r="123" spans="2:12">
      <c r="B123" s="941" t="s">
        <v>535</v>
      </c>
      <c r="C123" s="942"/>
      <c r="D123" s="942"/>
      <c r="E123" s="952"/>
      <c r="F123" s="947">
        <v>2</v>
      </c>
      <c r="H123" s="36"/>
      <c r="I123" s="36"/>
      <c r="J123" s="36"/>
      <c r="K123" s="36"/>
      <c r="L123" s="36"/>
    </row>
    <row r="124" spans="2:12" ht="18" thickBot="1">
      <c r="B124" s="870" t="s">
        <v>350</v>
      </c>
      <c r="C124" s="948"/>
      <c r="D124" s="948"/>
      <c r="E124" s="948"/>
      <c r="F124" s="924">
        <f>F122*F123</f>
        <v>917142.8</v>
      </c>
      <c r="H124" s="36"/>
      <c r="I124" s="36"/>
      <c r="J124" s="36"/>
      <c r="K124" s="36"/>
      <c r="L124" s="36"/>
    </row>
    <row r="125" spans="2:12">
      <c r="B125" s="886" t="s">
        <v>558</v>
      </c>
      <c r="C125" s="886"/>
      <c r="D125" s="886"/>
      <c r="E125" s="886"/>
      <c r="F125" s="886"/>
      <c r="G125" s="36"/>
      <c r="H125" s="36"/>
      <c r="I125" s="36"/>
      <c r="J125" s="36"/>
      <c r="K125" s="36"/>
      <c r="L125" s="36"/>
    </row>
  </sheetData>
  <mergeCells count="7">
    <mergeCell ref="I106:N106"/>
    <mergeCell ref="L84:N85"/>
    <mergeCell ref="L87:N89"/>
    <mergeCell ref="L90:N91"/>
    <mergeCell ref="L93:N94"/>
    <mergeCell ref="L97:N100"/>
    <mergeCell ref="L101:N105"/>
  </mergeCells>
  <pageMargins left="0.2" right="0.2" top="1.25" bottom="1.25" header="0.3" footer="0.3"/>
  <pageSetup paperSize="3" scale="45" orientation="portrait" r:id="rId1"/>
  <headerFooter alignWithMargins="0">
    <oddHeader>&amp;L&amp;"Arial,Bold"&amp;20 2019508&amp;R&amp;"Arial,Bold"&amp;14 2020 ULI Hines Student Urban Design Competition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8"/>
  <sheetViews>
    <sheetView view="pageBreakPreview" topLeftCell="A22" zoomScale="85" zoomScaleNormal="100" zoomScaleSheetLayoutView="85" workbookViewId="0">
      <selection activeCell="C15" sqref="C15"/>
    </sheetView>
  </sheetViews>
  <sheetFormatPr defaultColWidth="9.1796875" defaultRowHeight="12.5"/>
  <cols>
    <col min="1" max="1" width="23.1796875" style="105" customWidth="1"/>
    <col min="2" max="2" width="12.7265625" style="106" customWidth="1"/>
    <col min="3" max="3" width="13.7265625" style="106" customWidth="1"/>
    <col min="4" max="13" width="13.7265625" style="105" customWidth="1"/>
    <col min="14" max="14" width="14.26953125" style="105" bestFit="1" customWidth="1"/>
    <col min="15" max="16384" width="9.1796875" style="105"/>
  </cols>
  <sheetData>
    <row r="1" spans="1:13" ht="14.15" customHeight="1" thickBot="1">
      <c r="A1" s="37"/>
      <c r="B1" s="59"/>
      <c r="C1" s="59"/>
      <c r="D1" s="37"/>
      <c r="E1" s="37"/>
      <c r="F1" s="37"/>
      <c r="G1" s="37"/>
      <c r="H1" s="37"/>
      <c r="I1" s="37"/>
      <c r="J1" s="37"/>
      <c r="K1" s="37"/>
      <c r="L1" s="145" t="s">
        <v>86</v>
      </c>
      <c r="M1" s="343">
        <v>203666</v>
      </c>
    </row>
    <row r="2" spans="1:13" ht="14.15" customHeight="1" thickBot="1">
      <c r="A2" s="37"/>
      <c r="B2" s="59"/>
      <c r="C2" s="59"/>
      <c r="D2" s="37"/>
      <c r="E2" s="37"/>
      <c r="F2" s="37"/>
      <c r="G2" s="37"/>
      <c r="H2" s="37"/>
      <c r="I2" s="37"/>
      <c r="J2" s="37"/>
      <c r="K2" s="37"/>
      <c r="L2" s="384"/>
      <c r="M2" s="385"/>
    </row>
    <row r="3" spans="1:13" ht="14.15" customHeight="1" thickBot="1">
      <c r="A3" s="133"/>
      <c r="B3" s="213"/>
      <c r="C3" s="139" t="s">
        <v>53</v>
      </c>
      <c r="D3" s="112" t="s">
        <v>34</v>
      </c>
      <c r="E3" s="113"/>
      <c r="F3" s="44"/>
      <c r="G3" s="112" t="s">
        <v>76</v>
      </c>
      <c r="H3" s="154"/>
      <c r="I3" s="44"/>
      <c r="J3" s="42" t="s">
        <v>77</v>
      </c>
      <c r="K3" s="42"/>
      <c r="L3" s="43"/>
      <c r="M3" s="44"/>
    </row>
    <row r="4" spans="1:13" ht="14.15" customHeight="1" thickBot="1">
      <c r="A4" s="65"/>
      <c r="B4" s="66"/>
      <c r="C4" s="147">
        <v>0</v>
      </c>
      <c r="D4" s="47">
        <f>C4+1</f>
        <v>1</v>
      </c>
      <c r="E4" s="46">
        <f t="shared" ref="E4:M5" si="0">D4+1</f>
        <v>2</v>
      </c>
      <c r="F4" s="48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09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</row>
    <row r="5" spans="1:13" ht="14.15" customHeight="1" thickBot="1">
      <c r="A5" s="68"/>
      <c r="B5" s="146"/>
      <c r="C5" s="1016" t="str">
        <f>'1.Inftr Costs'!$D$5</f>
        <v>2020-2021</v>
      </c>
      <c r="D5" s="1017">
        <f>'1.Inftr Costs'!$E$5</f>
        <v>2022</v>
      </c>
      <c r="E5" s="109">
        <f>D5+1</f>
        <v>2023</v>
      </c>
      <c r="F5" s="111">
        <f t="shared" si="0"/>
        <v>2024</v>
      </c>
      <c r="G5" s="110">
        <f t="shared" si="0"/>
        <v>2025</v>
      </c>
      <c r="H5" s="109">
        <f t="shared" si="0"/>
        <v>2026</v>
      </c>
      <c r="I5" s="111">
        <f t="shared" si="0"/>
        <v>2027</v>
      </c>
      <c r="J5" s="109">
        <f t="shared" si="0"/>
        <v>2028</v>
      </c>
      <c r="K5" s="109">
        <f t="shared" si="0"/>
        <v>2029</v>
      </c>
      <c r="L5" s="109">
        <f>K5+1</f>
        <v>2030</v>
      </c>
      <c r="M5" s="111">
        <f>L5+1</f>
        <v>2031</v>
      </c>
    </row>
    <row r="6" spans="1:13" ht="18" customHeight="1" thickBot="1">
      <c r="A6" s="208" t="s">
        <v>8</v>
      </c>
      <c r="B6" s="205"/>
      <c r="C6" s="214"/>
      <c r="D6" s="217"/>
      <c r="E6" s="206"/>
      <c r="F6" s="207"/>
      <c r="G6" s="217"/>
      <c r="H6" s="206"/>
      <c r="I6" s="207"/>
      <c r="J6" s="206"/>
      <c r="K6" s="206"/>
      <c r="L6" s="206"/>
      <c r="M6" s="207"/>
    </row>
    <row r="7" spans="1:13" ht="18" customHeight="1">
      <c r="A7" s="1046" t="s">
        <v>526</v>
      </c>
      <c r="B7" s="213"/>
      <c r="C7" s="337"/>
      <c r="D7" s="338"/>
      <c r="E7" s="338"/>
      <c r="F7" s="338"/>
      <c r="G7" s="133"/>
      <c r="H7" s="338"/>
      <c r="I7" s="339"/>
      <c r="J7" s="338"/>
      <c r="K7" s="338"/>
      <c r="L7" s="338"/>
      <c r="M7" s="339"/>
    </row>
    <row r="8" spans="1:13" ht="14.15" customHeight="1">
      <c r="A8" s="183" t="s">
        <v>9</v>
      </c>
      <c r="B8" s="132">
        <v>0.02</v>
      </c>
      <c r="C8" s="140"/>
      <c r="D8" s="143"/>
      <c r="E8" s="115"/>
      <c r="F8" s="120"/>
      <c r="G8" s="143"/>
      <c r="H8" s="115"/>
      <c r="I8" s="120"/>
      <c r="J8" s="115"/>
      <c r="K8" s="115"/>
      <c r="L8" s="115"/>
      <c r="M8" s="120"/>
    </row>
    <row r="9" spans="1:13" ht="14.15" customHeight="1">
      <c r="A9" s="183" t="s">
        <v>43</v>
      </c>
      <c r="B9" s="66"/>
      <c r="C9" s="419">
        <v>0</v>
      </c>
      <c r="D9" s="420">
        <v>0</v>
      </c>
      <c r="E9" s="418">
        <v>0</v>
      </c>
      <c r="F9" s="421">
        <v>0</v>
      </c>
      <c r="G9" s="420">
        <f>C41</f>
        <v>444</v>
      </c>
      <c r="H9" s="418">
        <v>0</v>
      </c>
      <c r="I9" s="421">
        <v>0</v>
      </c>
      <c r="J9" s="418">
        <v>0</v>
      </c>
      <c r="K9" s="418">
        <v>0</v>
      </c>
      <c r="L9" s="418">
        <v>0</v>
      </c>
      <c r="M9" s="421">
        <v>0</v>
      </c>
    </row>
    <row r="10" spans="1:13" ht="14.15" customHeight="1">
      <c r="A10" s="183" t="s">
        <v>42</v>
      </c>
      <c r="B10" s="114"/>
      <c r="C10" s="404">
        <v>1</v>
      </c>
      <c r="D10" s="278">
        <f>C10</f>
        <v>1</v>
      </c>
      <c r="E10" s="132">
        <f>D10</f>
        <v>1</v>
      </c>
      <c r="F10" s="226">
        <f>E10</f>
        <v>1</v>
      </c>
      <c r="G10" s="228">
        <v>0.7</v>
      </c>
      <c r="H10" s="132">
        <v>0.5</v>
      </c>
      <c r="I10" s="226">
        <f>1-76.7%</f>
        <v>0.23299999999999998</v>
      </c>
      <c r="J10" s="117">
        <f t="shared" ref="J10:M10" si="1">I10</f>
        <v>0.23299999999999998</v>
      </c>
      <c r="K10" s="117">
        <f t="shared" si="1"/>
        <v>0.23299999999999998</v>
      </c>
      <c r="L10" s="117">
        <f t="shared" si="1"/>
        <v>0.23299999999999998</v>
      </c>
      <c r="M10" s="229">
        <f t="shared" si="1"/>
        <v>0.23299999999999998</v>
      </c>
    </row>
    <row r="11" spans="1:13" ht="14.15" customHeight="1">
      <c r="A11" s="183" t="s">
        <v>38</v>
      </c>
      <c r="B11" s="114"/>
      <c r="C11" s="142">
        <f>1-C10</f>
        <v>0</v>
      </c>
      <c r="D11" s="278">
        <f t="shared" ref="D11:M11" si="2">1-D10</f>
        <v>0</v>
      </c>
      <c r="E11" s="117">
        <f t="shared" si="2"/>
        <v>0</v>
      </c>
      <c r="F11" s="229">
        <f t="shared" si="2"/>
        <v>0</v>
      </c>
      <c r="G11" s="278">
        <f t="shared" si="2"/>
        <v>0.30000000000000004</v>
      </c>
      <c r="H11" s="117">
        <f t="shared" si="2"/>
        <v>0.5</v>
      </c>
      <c r="I11" s="229">
        <f t="shared" si="2"/>
        <v>0.76700000000000002</v>
      </c>
      <c r="J11" s="117">
        <f t="shared" si="2"/>
        <v>0.76700000000000002</v>
      </c>
      <c r="K11" s="117">
        <f t="shared" si="2"/>
        <v>0.76700000000000002</v>
      </c>
      <c r="L11" s="117">
        <f t="shared" si="2"/>
        <v>0.76700000000000002</v>
      </c>
      <c r="M11" s="229">
        <f t="shared" si="2"/>
        <v>0.76700000000000002</v>
      </c>
    </row>
    <row r="12" spans="1:13" ht="14.15" customHeight="1" thickBot="1">
      <c r="A12" s="183" t="s">
        <v>44</v>
      </c>
      <c r="B12" s="66"/>
      <c r="C12" s="230">
        <v>190</v>
      </c>
      <c r="D12" s="222">
        <f>$C$12*(1+$B$8)^D4</f>
        <v>193.8</v>
      </c>
      <c r="E12" s="209">
        <f t="shared" ref="E12:M12" si="3">$C$12*(1+$B$8)^E4</f>
        <v>197.67599999999999</v>
      </c>
      <c r="F12" s="210">
        <f t="shared" si="3"/>
        <v>201.62951999999999</v>
      </c>
      <c r="G12" s="222">
        <f t="shared" si="3"/>
        <v>205.66211039999999</v>
      </c>
      <c r="H12" s="209">
        <f t="shared" si="3"/>
        <v>209.77535260799999</v>
      </c>
      <c r="I12" s="210">
        <f t="shared" si="3"/>
        <v>213.97085966016002</v>
      </c>
      <c r="J12" s="209">
        <f t="shared" si="3"/>
        <v>218.25027685336318</v>
      </c>
      <c r="K12" s="209">
        <f t="shared" si="3"/>
        <v>222.61528239043045</v>
      </c>
      <c r="L12" s="209">
        <f t="shared" si="3"/>
        <v>227.06758803823905</v>
      </c>
      <c r="M12" s="210">
        <f t="shared" si="3"/>
        <v>231.60893979900385</v>
      </c>
    </row>
    <row r="13" spans="1:13" ht="18" customHeight="1">
      <c r="A13" s="1046" t="s">
        <v>527</v>
      </c>
      <c r="B13" s="213"/>
      <c r="C13" s="337"/>
      <c r="D13" s="338"/>
      <c r="E13" s="338"/>
      <c r="F13" s="338"/>
      <c r="G13" s="133"/>
      <c r="H13" s="338"/>
      <c r="I13" s="339"/>
      <c r="J13" s="338"/>
      <c r="K13" s="338"/>
      <c r="L13" s="338"/>
      <c r="M13" s="339"/>
    </row>
    <row r="14" spans="1:13" ht="14.15" customHeight="1">
      <c r="A14" s="183" t="s">
        <v>9</v>
      </c>
      <c r="B14" s="132">
        <v>0.02</v>
      </c>
      <c r="C14" s="140"/>
      <c r="D14" s="143"/>
      <c r="E14" s="115"/>
      <c r="F14" s="120"/>
      <c r="G14" s="143"/>
      <c r="H14" s="115"/>
      <c r="I14" s="120"/>
      <c r="J14" s="115"/>
      <c r="K14" s="115"/>
      <c r="L14" s="115"/>
      <c r="M14" s="120"/>
    </row>
    <row r="15" spans="1:13" ht="14.15" customHeight="1">
      <c r="A15" s="183" t="s">
        <v>43</v>
      </c>
      <c r="B15" s="66"/>
      <c r="C15" s="419">
        <v>0</v>
      </c>
      <c r="D15" s="420">
        <v>0</v>
      </c>
      <c r="E15" s="418">
        <v>0</v>
      </c>
      <c r="F15" s="421">
        <v>0</v>
      </c>
      <c r="G15" s="420">
        <v>0</v>
      </c>
      <c r="H15" s="418">
        <v>0</v>
      </c>
      <c r="I15" s="197">
        <f>C42</f>
        <v>54.72</v>
      </c>
      <c r="J15" s="418">
        <f>'Development Schedule'!M16/500</f>
        <v>0</v>
      </c>
      <c r="K15" s="418">
        <f>'Development Schedule'!N16/500</f>
        <v>0</v>
      </c>
      <c r="L15" s="418">
        <f>'Development Schedule'!O16/500</f>
        <v>0</v>
      </c>
      <c r="M15" s="421">
        <f>'Development Schedule'!P16/500</f>
        <v>0</v>
      </c>
    </row>
    <row r="16" spans="1:13" ht="14.15" customHeight="1">
      <c r="A16" s="183" t="s">
        <v>42</v>
      </c>
      <c r="B16" s="114"/>
      <c r="C16" s="404">
        <v>1</v>
      </c>
      <c r="D16" s="278">
        <f>C16</f>
        <v>1</v>
      </c>
      <c r="E16" s="132">
        <f>D16</f>
        <v>1</v>
      </c>
      <c r="F16" s="226">
        <f>E16</f>
        <v>1</v>
      </c>
      <c r="G16" s="278">
        <f>F16</f>
        <v>1</v>
      </c>
      <c r="H16" s="117">
        <f t="shared" ref="H16" si="4">G16</f>
        <v>1</v>
      </c>
      <c r="I16" s="229">
        <v>0.5</v>
      </c>
      <c r="J16" s="117">
        <v>0.23300000000000001</v>
      </c>
      <c r="K16" s="117">
        <v>0.1</v>
      </c>
      <c r="L16" s="117">
        <f t="shared" ref="L16" si="5">K16</f>
        <v>0.1</v>
      </c>
      <c r="M16" s="229">
        <f t="shared" ref="M16" si="6">L16</f>
        <v>0.1</v>
      </c>
    </row>
    <row r="17" spans="1:14" ht="14.15" customHeight="1">
      <c r="A17" s="183" t="s">
        <v>38</v>
      </c>
      <c r="B17" s="114"/>
      <c r="C17" s="142">
        <f>1-C16</f>
        <v>0</v>
      </c>
      <c r="D17" s="278">
        <f t="shared" ref="D17:M17" si="7">1-D16</f>
        <v>0</v>
      </c>
      <c r="E17" s="117">
        <f t="shared" si="7"/>
        <v>0</v>
      </c>
      <c r="F17" s="229">
        <f t="shared" si="7"/>
        <v>0</v>
      </c>
      <c r="G17" s="278">
        <f t="shared" si="7"/>
        <v>0</v>
      </c>
      <c r="H17" s="117">
        <f t="shared" si="7"/>
        <v>0</v>
      </c>
      <c r="I17" s="229">
        <f t="shared" si="7"/>
        <v>0.5</v>
      </c>
      <c r="J17" s="117">
        <f t="shared" si="7"/>
        <v>0.76700000000000002</v>
      </c>
      <c r="K17" s="117">
        <f t="shared" si="7"/>
        <v>0.9</v>
      </c>
      <c r="L17" s="117">
        <f t="shared" si="7"/>
        <v>0.9</v>
      </c>
      <c r="M17" s="229">
        <f t="shared" si="7"/>
        <v>0.9</v>
      </c>
    </row>
    <row r="18" spans="1:14" ht="14.15" customHeight="1" thickBot="1">
      <c r="A18" s="183" t="s">
        <v>44</v>
      </c>
      <c r="B18" s="66"/>
      <c r="C18" s="230">
        <f>35*4</f>
        <v>140</v>
      </c>
      <c r="D18" s="222">
        <f>$C$12*(1+$B$8)^D10</f>
        <v>193.8</v>
      </c>
      <c r="E18" s="209">
        <f t="shared" ref="E18:M18" si="8">$C$12*(1+$B$8)^E10</f>
        <v>193.8</v>
      </c>
      <c r="F18" s="210">
        <f t="shared" si="8"/>
        <v>193.8</v>
      </c>
      <c r="G18" s="222">
        <f t="shared" si="8"/>
        <v>192.65208837501024</v>
      </c>
      <c r="H18" s="209">
        <f t="shared" si="8"/>
        <v>191.89059382887947</v>
      </c>
      <c r="I18" s="210">
        <f t="shared" si="8"/>
        <v>190.87868788983326</v>
      </c>
      <c r="J18" s="209">
        <f t="shared" si="8"/>
        <v>190.87868788983326</v>
      </c>
      <c r="K18" s="209">
        <f t="shared" si="8"/>
        <v>190.87868788983326</v>
      </c>
      <c r="L18" s="209">
        <f t="shared" si="8"/>
        <v>190.87868788983326</v>
      </c>
      <c r="M18" s="210">
        <f t="shared" si="8"/>
        <v>190.87868788983326</v>
      </c>
    </row>
    <row r="19" spans="1:14" ht="13.5" thickBot="1">
      <c r="A19" s="208" t="s">
        <v>0</v>
      </c>
      <c r="B19" s="205"/>
      <c r="C19" s="214"/>
      <c r="D19" s="255"/>
      <c r="E19" s="211"/>
      <c r="F19" s="212"/>
      <c r="G19" s="255"/>
      <c r="H19" s="211"/>
      <c r="I19" s="212"/>
      <c r="J19" s="211"/>
      <c r="K19" s="211"/>
      <c r="L19" s="211"/>
      <c r="M19" s="212"/>
    </row>
    <row r="20" spans="1:14" ht="14.15" customHeight="1">
      <c r="A20" s="183" t="s">
        <v>16</v>
      </c>
      <c r="B20" s="66"/>
      <c r="C20" s="274">
        <f>SUM($C$9:C9)*C11*C12*365+SUM($C$15:C15)*C17*C18*365</f>
        <v>0</v>
      </c>
      <c r="D20" s="257">
        <f>SUM($C$9:D9)*D11*D12*365+SUM($C$15:D15)*D17*D18*365</f>
        <v>0</v>
      </c>
      <c r="E20" s="258">
        <f>SUM($C$9:E9)*E11*E12*365+SUM($C$15:E15)*E17*E18*365</f>
        <v>0</v>
      </c>
      <c r="F20" s="259">
        <f>SUM($C$9:F9)*F11*F12*365+SUM($C$15:F15)*F17*F18*365</f>
        <v>0</v>
      </c>
      <c r="G20" s="257">
        <f>SUM($C$9:G9)*G11*G12*365+SUM($C$15:G15)*G17*G18*365</f>
        <v>9998880.4834272005</v>
      </c>
      <c r="H20" s="258">
        <f>SUM($C$9:H9)*H11*H12*365+SUM($C$15:H15)*H17*H18*365</f>
        <v>16998096.821826242</v>
      </c>
      <c r="I20" s="259">
        <f>SUM($C$9:I9)*I11*I12*365+SUM($C$15:I15)*I17*I18*365</f>
        <v>28502773.063918117</v>
      </c>
      <c r="J20" s="240">
        <f>SUM($C$9:J9)*J11*J12*365+SUM($C$15:J15)*J17*J18*365</f>
        <v>30052610.662570387</v>
      </c>
      <c r="K20" s="240">
        <f>SUM($C$9:K9)*K11*K12*365+SUM($C$15:K15)*K17*K18*365</f>
        <v>31102227.725173607</v>
      </c>
      <c r="L20" s="240">
        <f>SUM($C$9:L9)*L11*L12*365+SUM($C$15:L15)*L17*L18*365</f>
        <v>31655649.40624233</v>
      </c>
      <c r="M20" s="244">
        <f>SUM($C$9:M9)*M11*M12*365+SUM($C$15:M15)*M17*M18*365</f>
        <v>32220139.520932429</v>
      </c>
      <c r="N20" s="414"/>
    </row>
    <row r="21" spans="1:14" s="387" customFormat="1" ht="14.15" customHeight="1">
      <c r="A21" s="245" t="s">
        <v>94</v>
      </c>
      <c r="B21" s="242">
        <v>0.65</v>
      </c>
      <c r="C21" s="276">
        <f>C20*-$B$21</f>
        <v>0</v>
      </c>
      <c r="D21" s="277">
        <f t="shared" ref="D21:M21" si="9">D20*-$B$21</f>
        <v>0</v>
      </c>
      <c r="E21" s="243">
        <f t="shared" si="9"/>
        <v>0</v>
      </c>
      <c r="F21" s="246">
        <f t="shared" si="9"/>
        <v>0</v>
      </c>
      <c r="G21" s="277">
        <f t="shared" si="9"/>
        <v>-6499272.3142276807</v>
      </c>
      <c r="H21" s="243">
        <f t="shared" si="9"/>
        <v>-11048762.934187058</v>
      </c>
      <c r="I21" s="246">
        <f t="shared" si="9"/>
        <v>-18526802.491546776</v>
      </c>
      <c r="J21" s="243">
        <f t="shared" si="9"/>
        <v>-19534196.930670753</v>
      </c>
      <c r="K21" s="243">
        <f t="shared" si="9"/>
        <v>-20216448.021362845</v>
      </c>
      <c r="L21" s="243">
        <f t="shared" si="9"/>
        <v>-20576172.114057515</v>
      </c>
      <c r="M21" s="246">
        <f t="shared" si="9"/>
        <v>-20943090.68860608</v>
      </c>
    </row>
    <row r="22" spans="1:14" s="387" customFormat="1" ht="14.15" customHeight="1" thickBot="1">
      <c r="A22" s="413" t="s">
        <v>5</v>
      </c>
      <c r="B22" s="69"/>
      <c r="C22" s="272">
        <f>SUM(C20:C21)</f>
        <v>0</v>
      </c>
      <c r="D22" s="273">
        <f t="shared" ref="D22:M22" si="10">SUM(D20:D21)</f>
        <v>0</v>
      </c>
      <c r="E22" s="247">
        <f t="shared" si="10"/>
        <v>0</v>
      </c>
      <c r="F22" s="248">
        <f t="shared" si="10"/>
        <v>0</v>
      </c>
      <c r="G22" s="273">
        <f t="shared" si="10"/>
        <v>3499608.1691995198</v>
      </c>
      <c r="H22" s="247">
        <f t="shared" si="10"/>
        <v>5949333.8876391836</v>
      </c>
      <c r="I22" s="248">
        <f t="shared" si="10"/>
        <v>9975970.5723713413</v>
      </c>
      <c r="J22" s="247">
        <f t="shared" si="10"/>
        <v>10518413.731899634</v>
      </c>
      <c r="K22" s="247">
        <f t="shared" si="10"/>
        <v>10885779.703810763</v>
      </c>
      <c r="L22" s="247">
        <f t="shared" si="10"/>
        <v>11079477.292184815</v>
      </c>
      <c r="M22" s="248">
        <f t="shared" si="10"/>
        <v>11277048.832326349</v>
      </c>
    </row>
    <row r="23" spans="1:14" ht="13.5" thickBot="1">
      <c r="A23" s="208" t="s">
        <v>2</v>
      </c>
      <c r="B23" s="205"/>
      <c r="C23" s="214"/>
      <c r="D23" s="255"/>
      <c r="E23" s="211"/>
      <c r="F23" s="212"/>
      <c r="G23" s="255"/>
      <c r="H23" s="211"/>
      <c r="I23" s="212"/>
      <c r="J23" s="255"/>
      <c r="K23" s="211"/>
      <c r="L23" s="211"/>
      <c r="M23" s="212"/>
    </row>
    <row r="24" spans="1:14" ht="14.15" customHeight="1">
      <c r="A24" s="183" t="s">
        <v>528</v>
      </c>
      <c r="B24" s="66"/>
      <c r="C24" s="1039">
        <f>'Development Schedule'!C99</f>
        <v>196.45320000000001</v>
      </c>
      <c r="D24" s="222">
        <f>$C$24*(1+$B$8)^D4</f>
        <v>200.38226400000002</v>
      </c>
      <c r="E24" s="209">
        <f t="shared" ref="E24:M24" si="11">$C$24*(1+$B$8)^E4</f>
        <v>204.38990928000001</v>
      </c>
      <c r="F24" s="210">
        <f t="shared" si="11"/>
        <v>208.47770746559999</v>
      </c>
      <c r="G24" s="222">
        <f t="shared" si="11"/>
        <v>212.647261614912</v>
      </c>
      <c r="H24" s="209">
        <f t="shared" si="11"/>
        <v>216.90020684721026</v>
      </c>
      <c r="I24" s="210">
        <f t="shared" si="11"/>
        <v>221.23821098415448</v>
      </c>
      <c r="J24" s="222">
        <f t="shared" si="11"/>
        <v>225.6629752038375</v>
      </c>
      <c r="K24" s="209">
        <f t="shared" si="11"/>
        <v>230.17623470791429</v>
      </c>
      <c r="L24" s="209">
        <f t="shared" si="11"/>
        <v>234.77975940207256</v>
      </c>
      <c r="M24" s="210">
        <f t="shared" si="11"/>
        <v>239.47535459011402</v>
      </c>
    </row>
    <row r="25" spans="1:14" ht="14.15" customHeight="1">
      <c r="A25" s="183" t="s">
        <v>529</v>
      </c>
      <c r="B25" s="66"/>
      <c r="C25" s="1039">
        <f>'Development Schedule'!C100</f>
        <v>183.11079999999998</v>
      </c>
      <c r="D25" s="222">
        <f>$C$25*(1+$B$8)^D4</f>
        <v>186.77301599999998</v>
      </c>
      <c r="E25" s="209">
        <f t="shared" ref="E25:M25" si="12">$C$25*(1+$B$8)^E4</f>
        <v>190.50847631999997</v>
      </c>
      <c r="F25" s="210">
        <f t="shared" si="12"/>
        <v>194.31864584639996</v>
      </c>
      <c r="G25" s="222">
        <f t="shared" si="12"/>
        <v>198.20501876332798</v>
      </c>
      <c r="H25" s="209">
        <f t="shared" si="12"/>
        <v>202.16911913859454</v>
      </c>
      <c r="I25" s="210">
        <f t="shared" si="12"/>
        <v>206.21250152136645</v>
      </c>
      <c r="J25" s="222">
        <f t="shared" si="12"/>
        <v>210.33675155179372</v>
      </c>
      <c r="K25" s="209">
        <f t="shared" si="12"/>
        <v>214.54348658282962</v>
      </c>
      <c r="L25" s="209">
        <f t="shared" si="12"/>
        <v>218.83435631448623</v>
      </c>
      <c r="M25" s="210">
        <f t="shared" si="12"/>
        <v>223.21104344077594</v>
      </c>
    </row>
    <row r="26" spans="1:14" ht="14.15" customHeight="1">
      <c r="A26" s="183" t="s">
        <v>11</v>
      </c>
      <c r="B26" s="66"/>
      <c r="C26" s="268"/>
      <c r="D26" s="269"/>
      <c r="E26" s="196"/>
      <c r="F26" s="252"/>
      <c r="G26" s="269"/>
      <c r="H26" s="196"/>
      <c r="I26" s="252"/>
      <c r="J26" s="269"/>
      <c r="K26" s="196"/>
      <c r="L26" s="196"/>
      <c r="M26" s="252"/>
    </row>
    <row r="27" spans="1:14" ht="14.15" customHeight="1">
      <c r="A27" s="183" t="s">
        <v>2</v>
      </c>
      <c r="B27" s="66"/>
      <c r="C27" s="169">
        <v>0</v>
      </c>
      <c r="D27" s="323">
        <v>0</v>
      </c>
      <c r="E27" s="324">
        <v>0</v>
      </c>
      <c r="F27" s="325">
        <v>0</v>
      </c>
      <c r="G27" s="323">
        <f>$D$41*G24</f>
        <v>47207692.078510463</v>
      </c>
      <c r="H27" s="324">
        <f>'Development Schedule'!K10*H24</f>
        <v>0</v>
      </c>
      <c r="I27" s="325">
        <f>'Development Schedule'!L10*I24</f>
        <v>0</v>
      </c>
      <c r="J27" s="323">
        <v>0</v>
      </c>
      <c r="K27" s="324">
        <v>0</v>
      </c>
      <c r="L27" s="324">
        <v>0</v>
      </c>
      <c r="M27" s="325">
        <v>0</v>
      </c>
    </row>
    <row r="28" spans="1:14" ht="14.15" customHeight="1">
      <c r="A28" s="245" t="s">
        <v>12</v>
      </c>
      <c r="B28" s="250"/>
      <c r="C28" s="177">
        <v>0</v>
      </c>
      <c r="D28" s="271">
        <v>0</v>
      </c>
      <c r="E28" s="251">
        <v>0</v>
      </c>
      <c r="F28" s="254">
        <v>0</v>
      </c>
      <c r="G28" s="271">
        <v>0</v>
      </c>
      <c r="H28" s="251">
        <v>0</v>
      </c>
      <c r="I28" s="254">
        <f>D42*C25</f>
        <v>5009911.4879999999</v>
      </c>
      <c r="J28" s="271">
        <v>0</v>
      </c>
      <c r="K28" s="251">
        <v>0</v>
      </c>
      <c r="L28" s="251">
        <v>0</v>
      </c>
      <c r="M28" s="254">
        <v>0</v>
      </c>
    </row>
    <row r="29" spans="1:14" ht="13.5" thickBot="1">
      <c r="A29" s="413" t="s">
        <v>3</v>
      </c>
      <c r="B29" s="69"/>
      <c r="C29" s="273">
        <f>SUM(C27:C28)</f>
        <v>0</v>
      </c>
      <c r="D29" s="273">
        <f t="shared" ref="D29:M29" si="13">SUM(D27:D28)</f>
        <v>0</v>
      </c>
      <c r="E29" s="247">
        <f t="shared" si="13"/>
        <v>0</v>
      </c>
      <c r="F29" s="248">
        <f t="shared" si="13"/>
        <v>0</v>
      </c>
      <c r="G29" s="273">
        <f t="shared" si="13"/>
        <v>47207692.078510463</v>
      </c>
      <c r="H29" s="247">
        <f t="shared" si="13"/>
        <v>0</v>
      </c>
      <c r="I29" s="248">
        <f t="shared" si="13"/>
        <v>5009911.4879999999</v>
      </c>
      <c r="J29" s="273">
        <f t="shared" si="13"/>
        <v>0</v>
      </c>
      <c r="K29" s="247">
        <f t="shared" si="13"/>
        <v>0</v>
      </c>
      <c r="L29" s="247">
        <f t="shared" si="13"/>
        <v>0</v>
      </c>
      <c r="M29" s="248">
        <f t="shared" si="13"/>
        <v>0</v>
      </c>
    </row>
    <row r="30" spans="1:14" ht="13.5" thickBot="1">
      <c r="A30" s="208" t="s">
        <v>4</v>
      </c>
      <c r="B30" s="205"/>
      <c r="C30" s="214"/>
      <c r="D30" s="255"/>
      <c r="E30" s="211"/>
      <c r="F30" s="212"/>
      <c r="G30" s="255"/>
      <c r="H30" s="211"/>
      <c r="I30" s="212"/>
      <c r="J30" s="255"/>
      <c r="K30" s="211"/>
      <c r="L30" s="211"/>
      <c r="M30" s="212"/>
    </row>
    <row r="31" spans="1:14" ht="14.15" customHeight="1">
      <c r="A31" s="183" t="s">
        <v>5</v>
      </c>
      <c r="B31" s="66"/>
      <c r="C31" s="148">
        <f>C22</f>
        <v>0</v>
      </c>
      <c r="D31" s="270">
        <f t="shared" ref="D31:M31" si="14">D22</f>
        <v>0</v>
      </c>
      <c r="E31" s="239">
        <f t="shared" si="14"/>
        <v>0</v>
      </c>
      <c r="F31" s="253">
        <f t="shared" si="14"/>
        <v>0</v>
      </c>
      <c r="G31" s="270">
        <f t="shared" si="14"/>
        <v>3499608.1691995198</v>
      </c>
      <c r="H31" s="239">
        <f t="shared" si="14"/>
        <v>5949333.8876391836</v>
      </c>
      <c r="I31" s="253">
        <f t="shared" si="14"/>
        <v>9975970.5723713413</v>
      </c>
      <c r="J31" s="270">
        <f t="shared" si="14"/>
        <v>10518413.731899634</v>
      </c>
      <c r="K31" s="239">
        <f t="shared" si="14"/>
        <v>10885779.703810763</v>
      </c>
      <c r="L31" s="239">
        <f t="shared" si="14"/>
        <v>11079477.292184815</v>
      </c>
      <c r="M31" s="253">
        <f t="shared" si="14"/>
        <v>11277048.832326349</v>
      </c>
      <c r="N31" s="417"/>
    </row>
    <row r="32" spans="1:14" ht="14.15" customHeight="1">
      <c r="A32" s="183" t="s">
        <v>55</v>
      </c>
      <c r="B32" s="117">
        <f>D45</f>
        <v>7.2499999999999995E-2</v>
      </c>
      <c r="C32" s="153">
        <v>0</v>
      </c>
      <c r="D32" s="260">
        <f>C32</f>
        <v>0</v>
      </c>
      <c r="E32" s="249">
        <f t="shared" ref="E32:L33" si="15">D32</f>
        <v>0</v>
      </c>
      <c r="F32" s="261">
        <f t="shared" si="15"/>
        <v>0</v>
      </c>
      <c r="G32" s="260">
        <f t="shared" si="15"/>
        <v>0</v>
      </c>
      <c r="H32" s="249">
        <f t="shared" si="15"/>
        <v>0</v>
      </c>
      <c r="I32" s="261">
        <f t="shared" si="15"/>
        <v>0</v>
      </c>
      <c r="J32" s="260">
        <f t="shared" si="15"/>
        <v>0</v>
      </c>
      <c r="K32" s="249">
        <f t="shared" si="15"/>
        <v>0</v>
      </c>
      <c r="L32" s="249">
        <f t="shared" si="15"/>
        <v>0</v>
      </c>
      <c r="M32" s="261">
        <f>M31/B32</f>
        <v>155545501.13553587</v>
      </c>
      <c r="N32" s="417"/>
    </row>
    <row r="33" spans="1:14" ht="14.15" customHeight="1">
      <c r="A33" s="183" t="s">
        <v>56</v>
      </c>
      <c r="B33" s="117">
        <f>D46</f>
        <v>0.03</v>
      </c>
      <c r="C33" s="153">
        <v>0</v>
      </c>
      <c r="D33" s="260">
        <f>C33</f>
        <v>0</v>
      </c>
      <c r="E33" s="249">
        <f t="shared" si="15"/>
        <v>0</v>
      </c>
      <c r="F33" s="261">
        <f t="shared" si="15"/>
        <v>0</v>
      </c>
      <c r="G33" s="260">
        <f t="shared" si="15"/>
        <v>0</v>
      </c>
      <c r="H33" s="249">
        <f t="shared" si="15"/>
        <v>0</v>
      </c>
      <c r="I33" s="261">
        <f t="shared" si="15"/>
        <v>0</v>
      </c>
      <c r="J33" s="260">
        <f t="shared" si="15"/>
        <v>0</v>
      </c>
      <c r="K33" s="249">
        <f t="shared" si="15"/>
        <v>0</v>
      </c>
      <c r="L33" s="249">
        <f t="shared" si="15"/>
        <v>0</v>
      </c>
      <c r="M33" s="261">
        <f>M32*-B33</f>
        <v>-4666365.0340660755</v>
      </c>
      <c r="N33" s="417"/>
    </row>
    <row r="34" spans="1:14" ht="14.15" customHeight="1">
      <c r="A34" s="245" t="s">
        <v>96</v>
      </c>
      <c r="B34" s="319"/>
      <c r="C34" s="276">
        <f>-C29</f>
        <v>0</v>
      </c>
      <c r="D34" s="277">
        <f t="shared" ref="D34:M34" si="16">-D29</f>
        <v>0</v>
      </c>
      <c r="E34" s="243">
        <f t="shared" si="16"/>
        <v>0</v>
      </c>
      <c r="F34" s="246">
        <f t="shared" si="16"/>
        <v>0</v>
      </c>
      <c r="G34" s="277">
        <f t="shared" si="16"/>
        <v>-47207692.078510463</v>
      </c>
      <c r="H34" s="243">
        <f t="shared" si="16"/>
        <v>0</v>
      </c>
      <c r="I34" s="246">
        <f t="shared" si="16"/>
        <v>-5009911.4879999999</v>
      </c>
      <c r="J34" s="277">
        <f t="shared" si="16"/>
        <v>0</v>
      </c>
      <c r="K34" s="243">
        <f t="shared" si="16"/>
        <v>0</v>
      </c>
      <c r="L34" s="243">
        <f t="shared" si="16"/>
        <v>0</v>
      </c>
      <c r="M34" s="246">
        <f t="shared" si="16"/>
        <v>0</v>
      </c>
      <c r="N34" s="417"/>
    </row>
    <row r="35" spans="1:14" ht="13.5" thickBot="1">
      <c r="A35" s="413" t="s">
        <v>6</v>
      </c>
      <c r="B35" s="127"/>
      <c r="C35" s="272">
        <f>SUM(C31:C34)</f>
        <v>0</v>
      </c>
      <c r="D35" s="273">
        <f t="shared" ref="D35:M35" si="17">SUM(D31:D34)</f>
        <v>0</v>
      </c>
      <c r="E35" s="247">
        <f t="shared" si="17"/>
        <v>0</v>
      </c>
      <c r="F35" s="248">
        <f t="shared" si="17"/>
        <v>0</v>
      </c>
      <c r="G35" s="273">
        <f t="shared" si="17"/>
        <v>-43708083.909310944</v>
      </c>
      <c r="H35" s="247">
        <f t="shared" si="17"/>
        <v>5949333.8876391836</v>
      </c>
      <c r="I35" s="248">
        <f t="shared" si="17"/>
        <v>4966059.0843713414</v>
      </c>
      <c r="J35" s="273">
        <f t="shared" si="17"/>
        <v>10518413.731899634</v>
      </c>
      <c r="K35" s="247">
        <f t="shared" si="17"/>
        <v>10885779.703810763</v>
      </c>
      <c r="L35" s="247">
        <f t="shared" si="17"/>
        <v>11079477.292184815</v>
      </c>
      <c r="M35" s="248">
        <f t="shared" si="17"/>
        <v>162156184.93379614</v>
      </c>
      <c r="N35" s="417"/>
    </row>
    <row r="36" spans="1:14" ht="13.5" thickBot="1">
      <c r="A36" s="124" t="s">
        <v>25</v>
      </c>
      <c r="B36" s="114"/>
      <c r="C36" s="400">
        <f>C35+NPV(D47,D35:M35)</f>
        <v>60678811.350719936</v>
      </c>
      <c r="D36" s="397"/>
      <c r="E36" s="398"/>
      <c r="F36" s="399"/>
      <c r="G36" s="397"/>
      <c r="H36" s="398"/>
      <c r="I36" s="399"/>
      <c r="J36" s="116"/>
      <c r="K36" s="116"/>
      <c r="L36" s="116"/>
      <c r="M36" s="198"/>
      <c r="N36" s="417"/>
    </row>
    <row r="37" spans="1:14" ht="13.5" thickBot="1">
      <c r="A37" s="89" t="s">
        <v>57</v>
      </c>
      <c r="B37" s="162"/>
      <c r="C37" s="283">
        <f>IRR(C35:M35,0)</f>
        <v>0.35152097065795562</v>
      </c>
      <c r="D37" s="264"/>
      <c r="E37" s="162"/>
      <c r="F37" s="182"/>
      <c r="G37" s="264"/>
      <c r="H37" s="162"/>
      <c r="I37" s="182"/>
      <c r="J37" s="162"/>
      <c r="K37" s="162"/>
      <c r="L37" s="162"/>
      <c r="M37" s="182"/>
    </row>
    <row r="38" spans="1:14" ht="13.5" thickBot="1">
      <c r="A38" s="89"/>
      <c r="B38" s="162"/>
      <c r="C38" s="422"/>
      <c r="D38" s="162"/>
      <c r="E38" s="66"/>
      <c r="F38" s="66"/>
      <c r="G38" s="66"/>
      <c r="H38" s="66"/>
      <c r="I38" s="66"/>
      <c r="J38" s="66"/>
      <c r="K38" s="66"/>
      <c r="L38" s="66"/>
      <c r="M38" s="66"/>
    </row>
    <row r="39" spans="1:14" ht="13.5" thickBot="1">
      <c r="A39" s="193" t="s">
        <v>89</v>
      </c>
      <c r="B39" s="168"/>
      <c r="C39" s="168"/>
      <c r="D39" s="192"/>
      <c r="E39" s="37"/>
      <c r="F39" s="37"/>
      <c r="G39" s="37"/>
      <c r="H39" s="37"/>
      <c r="I39" s="37"/>
      <c r="J39" s="37"/>
      <c r="K39" s="37"/>
      <c r="L39" s="37"/>
      <c r="M39" s="37"/>
    </row>
    <row r="40" spans="1:14" ht="13.5" thickBot="1">
      <c r="A40" s="87"/>
      <c r="B40" s="162"/>
      <c r="C40" s="92" t="s">
        <v>87</v>
      </c>
      <c r="D40" s="93" t="s">
        <v>88</v>
      </c>
      <c r="E40" s="37"/>
      <c r="F40" s="37"/>
      <c r="G40" s="37"/>
      <c r="H40" s="37"/>
      <c r="I40" s="37"/>
      <c r="J40" s="37"/>
      <c r="K40" s="37"/>
      <c r="L40" s="37"/>
      <c r="M40" s="37"/>
    </row>
    <row r="41" spans="1:14">
      <c r="A41" s="133" t="s">
        <v>46</v>
      </c>
      <c r="B41" s="213"/>
      <c r="C41" s="213">
        <f>D41/500</f>
        <v>444</v>
      </c>
      <c r="D41" s="464">
        <f>'Development Schedule'!J99</f>
        <v>222000</v>
      </c>
      <c r="E41" s="37"/>
      <c r="F41" s="1107">
        <f>C41+C42</f>
        <v>498.72</v>
      </c>
      <c r="G41" s="37"/>
      <c r="H41" s="37"/>
      <c r="I41" s="37"/>
      <c r="J41" s="37"/>
      <c r="K41" s="37"/>
      <c r="L41" s="37"/>
      <c r="M41" s="37"/>
    </row>
    <row r="42" spans="1:14" ht="13" thickBot="1">
      <c r="A42" s="68" t="s">
        <v>498</v>
      </c>
      <c r="B42" s="69"/>
      <c r="C42" s="1038">
        <f>D42/500</f>
        <v>54.72</v>
      </c>
      <c r="D42" s="238">
        <f>'Development Schedule'!L100</f>
        <v>27360</v>
      </c>
      <c r="E42" s="37"/>
      <c r="F42" s="37"/>
      <c r="G42" s="37"/>
      <c r="H42" s="37"/>
      <c r="I42" s="37"/>
      <c r="J42" s="37"/>
      <c r="K42" s="37"/>
      <c r="L42" s="37"/>
      <c r="M42" s="37"/>
    </row>
    <row r="43" spans="1:14" ht="13" thickBot="1">
      <c r="A43" s="37"/>
      <c r="B43" s="59"/>
      <c r="C43" s="59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4" ht="13.5" thickBot="1">
      <c r="A44" s="193" t="s">
        <v>97</v>
      </c>
      <c r="B44" s="266"/>
      <c r="C44" s="266"/>
      <c r="D44" s="267"/>
      <c r="E44" s="37"/>
      <c r="F44" s="37"/>
      <c r="G44" s="37"/>
      <c r="H44" s="37"/>
      <c r="I44" s="37"/>
      <c r="J44" s="37"/>
      <c r="K44" s="37"/>
      <c r="L44" s="37"/>
      <c r="M44" s="37"/>
    </row>
    <row r="45" spans="1:14">
      <c r="A45" s="65" t="s">
        <v>98</v>
      </c>
      <c r="B45" s="66"/>
      <c r="C45" s="66"/>
      <c r="D45" s="226">
        <v>7.2499999999999995E-2</v>
      </c>
      <c r="E45" s="37"/>
      <c r="F45" s="37"/>
      <c r="G45" s="37"/>
      <c r="H45" s="37"/>
      <c r="I45" s="37"/>
      <c r="J45" s="37"/>
      <c r="K45" s="37"/>
      <c r="L45" s="37"/>
      <c r="M45" s="37"/>
    </row>
    <row r="46" spans="1:14">
      <c r="A46" s="65" t="s">
        <v>99</v>
      </c>
      <c r="B46" s="66"/>
      <c r="C46" s="66"/>
      <c r="D46" s="226">
        <v>0.03</v>
      </c>
      <c r="E46" s="37"/>
      <c r="F46" s="37"/>
      <c r="G46" s="37"/>
      <c r="H46" s="37"/>
      <c r="I46" s="37"/>
      <c r="J46" s="37"/>
      <c r="K46" s="37"/>
      <c r="L46" s="37"/>
      <c r="M46" s="37"/>
    </row>
    <row r="47" spans="1:14" ht="13" thickBot="1">
      <c r="A47" s="68" t="s">
        <v>85</v>
      </c>
      <c r="B47" s="69"/>
      <c r="C47" s="69"/>
      <c r="D47" s="224">
        <v>0.09</v>
      </c>
      <c r="E47" s="37"/>
      <c r="F47" s="37"/>
      <c r="G47" s="37"/>
      <c r="H47" s="37"/>
      <c r="I47" s="37"/>
      <c r="J47" s="37"/>
      <c r="K47" s="37"/>
      <c r="L47" s="37"/>
      <c r="M47" s="37"/>
    </row>
    <row r="48" spans="1:14">
      <c r="A48" s="37"/>
      <c r="B48" s="59"/>
      <c r="C48" s="59"/>
      <c r="D48" s="37"/>
      <c r="E48" s="37"/>
      <c r="F48" s="37"/>
      <c r="G48" s="37"/>
      <c r="H48" s="37"/>
      <c r="I48" s="37"/>
      <c r="J48" s="37"/>
      <c r="K48" s="37"/>
      <c r="L48" s="37"/>
      <c r="M48" s="37"/>
    </row>
  </sheetData>
  <phoneticPr fontId="3" type="noConversion"/>
  <printOptions horizontalCentered="1"/>
  <pageMargins left="0.5" right="0.5" top="1" bottom="0.5" header="0.5" footer="0.5"/>
  <pageSetup scale="69" orientation="landscape" r:id="rId1"/>
  <headerFooter alignWithMargins="0">
    <oddHeader>&amp;L&amp;"Arial,Bold"7. Income Statement: Hotel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7"/>
  <sheetViews>
    <sheetView view="pageBreakPreview" zoomScale="85" zoomScaleNormal="100" zoomScaleSheetLayoutView="85" workbookViewId="0">
      <selection activeCell="D1" sqref="D1"/>
    </sheetView>
  </sheetViews>
  <sheetFormatPr defaultColWidth="9.1796875" defaultRowHeight="13" outlineLevelRow="1"/>
  <cols>
    <col min="1" max="1" width="23.1796875" style="1" customWidth="1"/>
    <col min="2" max="2" width="12.7265625" style="2" customWidth="1"/>
    <col min="3" max="3" width="13.7265625" style="2" customWidth="1"/>
    <col min="4" max="4" width="13.7265625" style="1" customWidth="1"/>
    <col min="5" max="5" width="16.54296875" style="1" bestFit="1" customWidth="1"/>
    <col min="6" max="7" width="15.54296875" style="1" bestFit="1" customWidth="1"/>
    <col min="8" max="13" width="13.7265625" style="1" customWidth="1"/>
    <col min="14" max="16384" width="9.1796875" style="1"/>
  </cols>
  <sheetData>
    <row r="1" spans="1:15" ht="14.15" customHeight="1" thickBot="1">
      <c r="A1" s="37"/>
      <c r="B1" s="59"/>
      <c r="C1" s="59"/>
      <c r="D1" s="37"/>
      <c r="E1" s="37"/>
      <c r="F1" s="37"/>
      <c r="G1" s="37"/>
      <c r="H1" s="37"/>
      <c r="I1" s="37"/>
      <c r="J1" s="37"/>
      <c r="K1" s="37"/>
      <c r="L1" s="145" t="s">
        <v>86</v>
      </c>
      <c r="M1" s="343">
        <v>203666</v>
      </c>
    </row>
    <row r="2" spans="1:15" ht="14.15" customHeight="1" thickBot="1">
      <c r="A2" s="37"/>
      <c r="B2" s="59"/>
      <c r="C2" s="59"/>
      <c r="D2" s="37"/>
      <c r="E2" s="37"/>
      <c r="F2" s="37"/>
      <c r="G2" s="37"/>
      <c r="H2" s="37"/>
      <c r="I2" s="37"/>
      <c r="J2" s="37"/>
      <c r="K2" s="37"/>
      <c r="L2" s="384"/>
      <c r="M2" s="385"/>
    </row>
    <row r="3" spans="1:15" ht="14.15" customHeight="1" thickBot="1">
      <c r="A3" s="133"/>
      <c r="B3" s="213"/>
      <c r="C3" s="139" t="s">
        <v>53</v>
      </c>
      <c r="D3" s="112" t="s">
        <v>34</v>
      </c>
      <c r="E3" s="113"/>
      <c r="F3" s="44"/>
      <c r="G3" s="112" t="s">
        <v>76</v>
      </c>
      <c r="H3" s="154"/>
      <c r="I3" s="44"/>
      <c r="J3" s="112" t="s">
        <v>77</v>
      </c>
      <c r="K3" s="42"/>
      <c r="L3" s="43"/>
      <c r="M3" s="44"/>
      <c r="N3" s="3"/>
      <c r="O3" s="3"/>
    </row>
    <row r="4" spans="1:15" ht="14.15" customHeight="1" thickBot="1">
      <c r="A4" s="65"/>
      <c r="B4" s="66"/>
      <c r="C4" s="147">
        <v>0</v>
      </c>
      <c r="D4" s="47">
        <f>C4+1</f>
        <v>1</v>
      </c>
      <c r="E4" s="46">
        <f t="shared" ref="E4:M5" si="0">D4+1</f>
        <v>2</v>
      </c>
      <c r="F4" s="48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10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  <c r="N4" s="3"/>
      <c r="O4" s="3"/>
    </row>
    <row r="5" spans="1:15" ht="14.15" customHeight="1" thickBot="1">
      <c r="A5" s="68"/>
      <c r="B5" s="146"/>
      <c r="C5" s="1016" t="str">
        <f>'1.Inftr Costs'!$D$5</f>
        <v>2020-2021</v>
      </c>
      <c r="D5" s="1017">
        <f>'1.Inftr Costs'!$E$5</f>
        <v>2022</v>
      </c>
      <c r="E5" s="109">
        <f>D5+1</f>
        <v>2023</v>
      </c>
      <c r="F5" s="111">
        <f t="shared" si="0"/>
        <v>2024</v>
      </c>
      <c r="G5" s="110">
        <f t="shared" si="0"/>
        <v>2025</v>
      </c>
      <c r="H5" s="109">
        <f t="shared" si="0"/>
        <v>2026</v>
      </c>
      <c r="I5" s="111">
        <f t="shared" si="0"/>
        <v>2027</v>
      </c>
      <c r="J5" s="110">
        <f t="shared" si="0"/>
        <v>2028</v>
      </c>
      <c r="K5" s="109">
        <f t="shared" si="0"/>
        <v>2029</v>
      </c>
      <c r="L5" s="109">
        <f>K5+1</f>
        <v>2030</v>
      </c>
      <c r="M5" s="111">
        <f>L5+1</f>
        <v>2031</v>
      </c>
      <c r="N5" s="3"/>
      <c r="O5" s="3"/>
    </row>
    <row r="6" spans="1:15" ht="13.5" thickBot="1">
      <c r="A6" s="208" t="s">
        <v>8</v>
      </c>
      <c r="B6" s="205"/>
      <c r="C6" s="214"/>
      <c r="D6" s="217"/>
      <c r="E6" s="206"/>
      <c r="F6" s="206"/>
      <c r="G6" s="217"/>
      <c r="H6" s="206"/>
      <c r="I6" s="207"/>
      <c r="J6" s="217"/>
      <c r="K6" s="206"/>
      <c r="L6" s="206"/>
      <c r="M6" s="207"/>
    </row>
    <row r="7" spans="1:15" s="288" customFormat="1">
      <c r="A7" s="1047" t="s">
        <v>531</v>
      </c>
      <c r="B7" s="66"/>
      <c r="C7" s="219"/>
      <c r="D7" s="133"/>
      <c r="E7" s="338"/>
      <c r="F7" s="338"/>
      <c r="G7" s="65"/>
      <c r="H7" s="76"/>
      <c r="I7" s="121"/>
      <c r="J7" s="65"/>
      <c r="K7" s="76"/>
      <c r="L7" s="76"/>
      <c r="M7" s="121"/>
    </row>
    <row r="8" spans="1:15">
      <c r="A8" s="65" t="s">
        <v>9</v>
      </c>
      <c r="B8" s="132">
        <v>0.02</v>
      </c>
      <c r="C8" s="305"/>
      <c r="D8" s="65"/>
      <c r="E8" s="76"/>
      <c r="F8" s="76"/>
      <c r="G8" s="65"/>
      <c r="H8" s="76"/>
      <c r="I8" s="121"/>
      <c r="J8" s="65"/>
      <c r="K8" s="76"/>
      <c r="L8" s="76"/>
      <c r="M8" s="121"/>
    </row>
    <row r="9" spans="1:15">
      <c r="A9" s="65" t="s">
        <v>26</v>
      </c>
      <c r="B9" s="66"/>
      <c r="C9" s="342">
        <v>0</v>
      </c>
      <c r="D9" s="221">
        <f>C87</f>
        <v>200</v>
      </c>
      <c r="E9" s="194">
        <f>C87</f>
        <v>200</v>
      </c>
      <c r="F9" s="194">
        <f t="shared" ref="F9:M9" si="1">E9</f>
        <v>200</v>
      </c>
      <c r="G9" s="221">
        <f t="shared" si="1"/>
        <v>200</v>
      </c>
      <c r="H9" s="194">
        <f t="shared" si="1"/>
        <v>200</v>
      </c>
      <c r="I9" s="199">
        <f t="shared" si="1"/>
        <v>200</v>
      </c>
      <c r="J9" s="221">
        <f t="shared" si="1"/>
        <v>200</v>
      </c>
      <c r="K9" s="194">
        <f t="shared" si="1"/>
        <v>200</v>
      </c>
      <c r="L9" s="194">
        <f t="shared" si="1"/>
        <v>200</v>
      </c>
      <c r="M9" s="199">
        <f t="shared" si="1"/>
        <v>200</v>
      </c>
    </row>
    <row r="10" spans="1:15">
      <c r="A10" s="65" t="s">
        <v>80</v>
      </c>
      <c r="B10" s="66"/>
      <c r="C10" s="342">
        <v>0</v>
      </c>
      <c r="D10" s="221">
        <f>D87</f>
        <v>63500</v>
      </c>
      <c r="E10" s="194">
        <f>D87</f>
        <v>63500</v>
      </c>
      <c r="F10" s="194">
        <f t="shared" ref="F10:M10" si="2">E10</f>
        <v>63500</v>
      </c>
      <c r="G10" s="221">
        <f t="shared" si="2"/>
        <v>63500</v>
      </c>
      <c r="H10" s="194">
        <f t="shared" si="2"/>
        <v>63500</v>
      </c>
      <c r="I10" s="199">
        <f t="shared" si="2"/>
        <v>63500</v>
      </c>
      <c r="J10" s="221">
        <f t="shared" si="2"/>
        <v>63500</v>
      </c>
      <c r="K10" s="194">
        <f t="shared" si="2"/>
        <v>63500</v>
      </c>
      <c r="L10" s="194">
        <f t="shared" si="2"/>
        <v>63500</v>
      </c>
      <c r="M10" s="199">
        <f t="shared" si="2"/>
        <v>63500</v>
      </c>
    </row>
    <row r="11" spans="1:15">
      <c r="A11" s="183" t="s">
        <v>17</v>
      </c>
      <c r="B11" s="66"/>
      <c r="C11" s="453">
        <v>0</v>
      </c>
      <c r="D11" s="465">
        <f>$C$11*(1+$B8)^D$4</f>
        <v>0</v>
      </c>
      <c r="E11" s="372">
        <f t="shared" ref="E11:M11" si="3">$C$11*(1+$B8)^E$4</f>
        <v>0</v>
      </c>
      <c r="F11" s="372">
        <f t="shared" si="3"/>
        <v>0</v>
      </c>
      <c r="G11" s="465">
        <f t="shared" si="3"/>
        <v>0</v>
      </c>
      <c r="H11" s="372">
        <f t="shared" si="3"/>
        <v>0</v>
      </c>
      <c r="I11" s="438">
        <f t="shared" si="3"/>
        <v>0</v>
      </c>
      <c r="J11" s="465">
        <f t="shared" si="3"/>
        <v>0</v>
      </c>
      <c r="K11" s="372">
        <f t="shared" si="3"/>
        <v>0</v>
      </c>
      <c r="L11" s="372">
        <f t="shared" si="3"/>
        <v>0</v>
      </c>
      <c r="M11" s="438">
        <f t="shared" si="3"/>
        <v>0</v>
      </c>
    </row>
    <row r="12" spans="1:15">
      <c r="A12" s="183" t="s">
        <v>18</v>
      </c>
      <c r="B12" s="66"/>
      <c r="C12" s="228">
        <v>0.1</v>
      </c>
      <c r="D12" s="278"/>
      <c r="E12" s="117"/>
      <c r="F12" s="117"/>
      <c r="G12" s="278"/>
      <c r="H12" s="117"/>
      <c r="I12" s="229"/>
      <c r="J12" s="278"/>
      <c r="K12" s="117"/>
      <c r="L12" s="117"/>
      <c r="M12" s="229"/>
    </row>
    <row r="13" spans="1:15">
      <c r="A13" s="183" t="s">
        <v>19</v>
      </c>
      <c r="B13" s="66"/>
      <c r="C13" s="228">
        <v>0.1</v>
      </c>
      <c r="D13" s="278"/>
      <c r="E13" s="117"/>
      <c r="F13" s="117"/>
      <c r="G13" s="278"/>
      <c r="H13" s="117"/>
      <c r="I13" s="229"/>
      <c r="J13" s="278"/>
      <c r="K13" s="117"/>
      <c r="L13" s="117"/>
      <c r="M13" s="229"/>
    </row>
    <row r="14" spans="1:15">
      <c r="A14" s="183" t="s">
        <v>20</v>
      </c>
      <c r="B14" s="66"/>
      <c r="C14" s="473">
        <f>52*2</f>
        <v>104</v>
      </c>
      <c r="D14" s="219"/>
      <c r="E14" s="66"/>
      <c r="F14" s="66"/>
      <c r="G14" s="219"/>
      <c r="H14" s="66"/>
      <c r="I14" s="191"/>
      <c r="J14" s="219"/>
      <c r="K14" s="66"/>
      <c r="L14" s="66"/>
      <c r="M14" s="191"/>
    </row>
    <row r="15" spans="1:15">
      <c r="A15" s="183" t="s">
        <v>21</v>
      </c>
      <c r="B15" s="66"/>
      <c r="C15" s="473">
        <v>24</v>
      </c>
      <c r="D15" s="219"/>
      <c r="E15" s="66"/>
      <c r="F15" s="66"/>
      <c r="G15" s="219"/>
      <c r="H15" s="66"/>
      <c r="I15" s="191"/>
      <c r="J15" s="219"/>
      <c r="K15" s="66"/>
      <c r="L15" s="66"/>
      <c r="M15" s="191"/>
    </row>
    <row r="16" spans="1:15">
      <c r="A16" s="183" t="s">
        <v>22</v>
      </c>
      <c r="B16" s="66"/>
      <c r="C16" s="228">
        <v>1</v>
      </c>
      <c r="D16" s="278"/>
      <c r="E16" s="117"/>
      <c r="F16" s="117"/>
      <c r="G16" s="278"/>
      <c r="H16" s="117"/>
      <c r="I16" s="229"/>
      <c r="J16" s="278"/>
      <c r="K16" s="117"/>
      <c r="L16" s="117"/>
      <c r="M16" s="229"/>
    </row>
    <row r="17" spans="1:13">
      <c r="A17" s="183" t="s">
        <v>532</v>
      </c>
      <c r="B17" s="66"/>
      <c r="C17" s="219">
        <v>365</v>
      </c>
      <c r="D17" s="219"/>
      <c r="E17" s="66"/>
      <c r="F17" s="66"/>
      <c r="G17" s="219"/>
      <c r="H17" s="66"/>
      <c r="I17" s="191"/>
      <c r="J17" s="219"/>
      <c r="K17" s="66"/>
      <c r="L17" s="66"/>
      <c r="M17" s="191"/>
    </row>
    <row r="18" spans="1:13">
      <c r="A18" s="183" t="s">
        <v>21</v>
      </c>
      <c r="B18" s="66"/>
      <c r="C18" s="473">
        <v>24</v>
      </c>
      <c r="D18" s="219"/>
      <c r="E18" s="66"/>
      <c r="F18" s="66"/>
      <c r="G18" s="219"/>
      <c r="H18" s="66"/>
      <c r="I18" s="191"/>
      <c r="J18" s="219"/>
      <c r="K18" s="66"/>
      <c r="L18" s="66"/>
      <c r="M18" s="191"/>
    </row>
    <row r="19" spans="1:13">
      <c r="A19" s="183" t="s">
        <v>22</v>
      </c>
      <c r="B19" s="66"/>
      <c r="C19" s="228">
        <f>18/24</f>
        <v>0.75</v>
      </c>
      <c r="D19" s="278"/>
      <c r="E19" s="117"/>
      <c r="F19" s="117"/>
      <c r="G19" s="278"/>
      <c r="H19" s="117"/>
      <c r="I19" s="229"/>
      <c r="J19" s="278"/>
      <c r="K19" s="117"/>
      <c r="L19" s="117"/>
      <c r="M19" s="229"/>
    </row>
    <row r="20" spans="1:13" s="462" customFormat="1">
      <c r="A20" s="183" t="s">
        <v>24</v>
      </c>
      <c r="B20" s="66"/>
      <c r="C20" s="453">
        <v>1</v>
      </c>
      <c r="D20" s="465">
        <f t="shared" ref="D20:M20" si="4">$C$20*(1+$B8)^D$4</f>
        <v>1.02</v>
      </c>
      <c r="E20" s="372">
        <f t="shared" si="4"/>
        <v>1.0404</v>
      </c>
      <c r="F20" s="372">
        <f t="shared" si="4"/>
        <v>1.0612079999999999</v>
      </c>
      <c r="G20" s="465">
        <f t="shared" si="4"/>
        <v>1.08243216</v>
      </c>
      <c r="H20" s="372">
        <f t="shared" si="4"/>
        <v>1.1040808032</v>
      </c>
      <c r="I20" s="438">
        <f t="shared" si="4"/>
        <v>1.1261624192640001</v>
      </c>
      <c r="J20" s="465">
        <f t="shared" si="4"/>
        <v>1.1486856676492798</v>
      </c>
      <c r="K20" s="372">
        <f t="shared" si="4"/>
        <v>1.1716593810022655</v>
      </c>
      <c r="L20" s="372">
        <f t="shared" si="4"/>
        <v>1.1950925686223108</v>
      </c>
      <c r="M20" s="438">
        <f t="shared" si="4"/>
        <v>1.2189944199947571</v>
      </c>
    </row>
    <row r="21" spans="1:13" ht="13.5" thickBot="1">
      <c r="A21" s="144" t="s">
        <v>161</v>
      </c>
      <c r="B21" s="69"/>
      <c r="C21" s="474">
        <v>0.5</v>
      </c>
      <c r="D21" s="467">
        <f t="shared" ref="D21:M21" si="5">$C$21*(1+$B8)^D$4</f>
        <v>0.51</v>
      </c>
      <c r="E21" s="466">
        <f t="shared" si="5"/>
        <v>0.5202</v>
      </c>
      <c r="F21" s="466">
        <f t="shared" si="5"/>
        <v>0.53060399999999996</v>
      </c>
      <c r="G21" s="467">
        <f t="shared" si="5"/>
        <v>0.54121607999999999</v>
      </c>
      <c r="H21" s="466">
        <f t="shared" si="5"/>
        <v>0.55204040160000001</v>
      </c>
      <c r="I21" s="439">
        <f t="shared" si="5"/>
        <v>0.56308120963200003</v>
      </c>
      <c r="J21" s="467">
        <f t="shared" si="5"/>
        <v>0.57434283382463991</v>
      </c>
      <c r="K21" s="466">
        <f t="shared" si="5"/>
        <v>0.58582969050113276</v>
      </c>
      <c r="L21" s="466">
        <f t="shared" si="5"/>
        <v>0.59754628431115542</v>
      </c>
      <c r="M21" s="439">
        <f t="shared" si="5"/>
        <v>0.60949720999737855</v>
      </c>
    </row>
    <row r="22" spans="1:13" hidden="1" outlineLevel="1">
      <c r="A22" s="344" t="s">
        <v>162</v>
      </c>
      <c r="B22" s="213"/>
      <c r="C22" s="256">
        <f>C9*C11*$C13*12</f>
        <v>0</v>
      </c>
      <c r="D22" s="458">
        <f t="shared" ref="D22:M22" si="6">D9*D11*$C13*12</f>
        <v>0</v>
      </c>
      <c r="E22" s="469">
        <f t="shared" si="6"/>
        <v>0</v>
      </c>
      <c r="F22" s="469">
        <f t="shared" si="6"/>
        <v>0</v>
      </c>
      <c r="G22" s="458">
        <f t="shared" si="6"/>
        <v>0</v>
      </c>
      <c r="H22" s="469">
        <f t="shared" si="6"/>
        <v>0</v>
      </c>
      <c r="I22" s="470">
        <f t="shared" si="6"/>
        <v>0</v>
      </c>
      <c r="J22" s="458">
        <f t="shared" si="6"/>
        <v>0</v>
      </c>
      <c r="K22" s="469">
        <f t="shared" si="6"/>
        <v>0</v>
      </c>
      <c r="L22" s="469">
        <f t="shared" si="6"/>
        <v>0</v>
      </c>
      <c r="M22" s="470">
        <f t="shared" si="6"/>
        <v>0</v>
      </c>
    </row>
    <row r="23" spans="1:13" hidden="1" outlineLevel="1">
      <c r="A23" s="183" t="s">
        <v>163</v>
      </c>
      <c r="B23" s="66"/>
      <c r="C23" s="149">
        <f>(C9*$C14*$C15*$C16*C20)+(C9*$C17*$C18*$C19*C20)</f>
        <v>0</v>
      </c>
      <c r="D23" s="262">
        <f t="shared" ref="D23:M23" si="7">(D9*$C$14*$C$15*$C$16*D20)+(D9*$C$17*$C$18*$C$19*D20)</f>
        <v>1849464</v>
      </c>
      <c r="E23" s="241">
        <f t="shared" si="7"/>
        <v>1886453.28</v>
      </c>
      <c r="F23" s="241">
        <f t="shared" si="7"/>
        <v>1924182.3455999999</v>
      </c>
      <c r="G23" s="262">
        <f t="shared" si="7"/>
        <v>1962665.9925119998</v>
      </c>
      <c r="H23" s="241">
        <f t="shared" si="7"/>
        <v>2001919.3123622402</v>
      </c>
      <c r="I23" s="263">
        <f t="shared" si="7"/>
        <v>2041957.6986094851</v>
      </c>
      <c r="J23" s="262">
        <f t="shared" si="7"/>
        <v>2082796.8525816742</v>
      </c>
      <c r="K23" s="241">
        <f t="shared" si="7"/>
        <v>2124452.7896333076</v>
      </c>
      <c r="L23" s="241">
        <f t="shared" si="7"/>
        <v>2166941.8454259741</v>
      </c>
      <c r="M23" s="263">
        <f t="shared" si="7"/>
        <v>2210280.6823344938</v>
      </c>
    </row>
    <row r="24" spans="1:13" hidden="1" outlineLevel="1">
      <c r="A24" s="183" t="s">
        <v>165</v>
      </c>
      <c r="B24" s="66"/>
      <c r="C24" s="153">
        <v>0</v>
      </c>
      <c r="D24" s="150">
        <f>C24</f>
        <v>0</v>
      </c>
      <c r="E24" s="468">
        <f>D24</f>
        <v>0</v>
      </c>
      <c r="F24" s="151">
        <f>E24</f>
        <v>0</v>
      </c>
      <c r="G24" s="150">
        <f t="shared" ref="G24:M24" si="8">F24</f>
        <v>0</v>
      </c>
      <c r="H24" s="151">
        <f t="shared" si="8"/>
        <v>0</v>
      </c>
      <c r="I24" s="152">
        <f t="shared" si="8"/>
        <v>0</v>
      </c>
      <c r="J24" s="150">
        <f t="shared" si="8"/>
        <v>0</v>
      </c>
      <c r="K24" s="151">
        <f t="shared" si="8"/>
        <v>0</v>
      </c>
      <c r="L24" s="151">
        <f t="shared" si="8"/>
        <v>0</v>
      </c>
      <c r="M24" s="152">
        <f t="shared" si="8"/>
        <v>0</v>
      </c>
    </row>
    <row r="25" spans="1:13" ht="13.5" hidden="1" outlineLevel="1" thickBot="1">
      <c r="A25" s="144" t="s">
        <v>158</v>
      </c>
      <c r="B25" s="69"/>
      <c r="C25" s="475">
        <f>C10*C21</f>
        <v>0</v>
      </c>
      <c r="D25" s="454">
        <f t="shared" ref="D25:M25" si="9">D10*D21</f>
        <v>32385</v>
      </c>
      <c r="E25" s="471">
        <f t="shared" si="9"/>
        <v>33032.699999999997</v>
      </c>
      <c r="F25" s="471">
        <f t="shared" si="9"/>
        <v>33693.353999999999</v>
      </c>
      <c r="G25" s="454">
        <f t="shared" si="9"/>
        <v>34367.221079999996</v>
      </c>
      <c r="H25" s="471">
        <f t="shared" si="9"/>
        <v>35054.565501600002</v>
      </c>
      <c r="I25" s="472">
        <f t="shared" si="9"/>
        <v>35755.656811632005</v>
      </c>
      <c r="J25" s="454">
        <f t="shared" si="9"/>
        <v>36470.769947864632</v>
      </c>
      <c r="K25" s="471">
        <f t="shared" si="9"/>
        <v>37200.185346821927</v>
      </c>
      <c r="L25" s="471">
        <f t="shared" si="9"/>
        <v>37944.189053758368</v>
      </c>
      <c r="M25" s="472">
        <f t="shared" si="9"/>
        <v>38703.07283483354</v>
      </c>
    </row>
    <row r="26" spans="1:13" s="288" customFormat="1" collapsed="1">
      <c r="A26" s="64" t="s">
        <v>166</v>
      </c>
      <c r="B26" s="66"/>
      <c r="C26" s="219"/>
      <c r="D26" s="133"/>
      <c r="E26" s="338"/>
      <c r="F26" s="338"/>
      <c r="G26" s="65"/>
      <c r="H26" s="76"/>
      <c r="I26" s="121"/>
      <c r="J26" s="65"/>
      <c r="K26" s="76"/>
      <c r="L26" s="76"/>
      <c r="M26" s="121"/>
    </row>
    <row r="27" spans="1:13">
      <c r="A27" s="65" t="s">
        <v>9</v>
      </c>
      <c r="B27" s="132">
        <v>0.02</v>
      </c>
      <c r="C27" s="305"/>
      <c r="D27" s="65"/>
      <c r="E27" s="76"/>
      <c r="F27" s="76"/>
      <c r="G27" s="65"/>
      <c r="H27" s="76"/>
      <c r="I27" s="121"/>
      <c r="J27" s="65"/>
      <c r="K27" s="76"/>
      <c r="L27" s="76"/>
      <c r="M27" s="121"/>
    </row>
    <row r="28" spans="1:13">
      <c r="A28" s="65" t="s">
        <v>26</v>
      </c>
      <c r="B28" s="66"/>
      <c r="C28" s="342">
        <v>0</v>
      </c>
      <c r="D28" s="221"/>
      <c r="E28" s="194"/>
      <c r="F28" s="194"/>
      <c r="G28" s="221"/>
      <c r="H28" s="194"/>
      <c r="I28" s="199"/>
      <c r="J28" s="221"/>
      <c r="K28" s="194"/>
      <c r="L28" s="194"/>
      <c r="M28" s="199"/>
    </row>
    <row r="29" spans="1:13">
      <c r="A29" s="65" t="s">
        <v>80</v>
      </c>
      <c r="B29" s="66"/>
      <c r="C29" s="342">
        <v>0</v>
      </c>
      <c r="D29" s="1041">
        <f>'Development Schedule'!G86</f>
        <v>0</v>
      </c>
      <c r="E29" s="1040">
        <f>'Development Schedule'!H86</f>
        <v>0</v>
      </c>
      <c r="F29" s="1040">
        <f>'Development Schedule'!I86</f>
        <v>57400</v>
      </c>
      <c r="G29" s="1041">
        <f>'Development Schedule'!J86</f>
        <v>0</v>
      </c>
      <c r="H29" s="1040">
        <f>'Development Schedule'!K86</f>
        <v>46500</v>
      </c>
      <c r="I29" s="1042">
        <f>'Development Schedule'!L86</f>
        <v>20400</v>
      </c>
      <c r="J29" s="1041">
        <f>'Development Schedule'!M86</f>
        <v>58750</v>
      </c>
      <c r="K29" s="1040">
        <f>'Development Schedule'!N86</f>
        <v>0</v>
      </c>
      <c r="L29" s="1040">
        <f>'Development Schedule'!O86</f>
        <v>0</v>
      </c>
      <c r="M29" s="1042">
        <f>'Development Schedule'!P86</f>
        <v>0</v>
      </c>
    </row>
    <row r="30" spans="1:13">
      <c r="A30" s="183" t="s">
        <v>17</v>
      </c>
      <c r="B30" s="66"/>
      <c r="C30" s="390">
        <f>C11</f>
        <v>0</v>
      </c>
      <c r="D30" s="465">
        <f t="shared" ref="D30:M30" si="10">D11</f>
        <v>0</v>
      </c>
      <c r="E30" s="372">
        <f t="shared" si="10"/>
        <v>0</v>
      </c>
      <c r="F30" s="372">
        <f t="shared" si="10"/>
        <v>0</v>
      </c>
      <c r="G30" s="465">
        <f t="shared" si="10"/>
        <v>0</v>
      </c>
      <c r="H30" s="372">
        <f t="shared" si="10"/>
        <v>0</v>
      </c>
      <c r="I30" s="438">
        <f t="shared" si="10"/>
        <v>0</v>
      </c>
      <c r="J30" s="465">
        <f t="shared" si="10"/>
        <v>0</v>
      </c>
      <c r="K30" s="372">
        <f t="shared" si="10"/>
        <v>0</v>
      </c>
      <c r="L30" s="372">
        <f t="shared" si="10"/>
        <v>0</v>
      </c>
      <c r="M30" s="438">
        <f t="shared" si="10"/>
        <v>0</v>
      </c>
    </row>
    <row r="31" spans="1:13">
      <c r="A31" s="183" t="s">
        <v>18</v>
      </c>
      <c r="B31" s="66"/>
      <c r="C31" s="228">
        <v>0</v>
      </c>
      <c r="D31" s="278"/>
      <c r="E31" s="117"/>
      <c r="F31" s="117"/>
      <c r="G31" s="278"/>
      <c r="H31" s="117"/>
      <c r="I31" s="229"/>
      <c r="J31" s="278"/>
      <c r="K31" s="117"/>
      <c r="L31" s="117"/>
      <c r="M31" s="229"/>
    </row>
    <row r="32" spans="1:13">
      <c r="A32" s="183" t="s">
        <v>19</v>
      </c>
      <c r="B32" s="66"/>
      <c r="C32" s="228">
        <v>0</v>
      </c>
      <c r="D32" s="278"/>
      <c r="E32" s="117"/>
      <c r="F32" s="117"/>
      <c r="G32" s="278"/>
      <c r="H32" s="117"/>
      <c r="I32" s="229"/>
      <c r="J32" s="278"/>
      <c r="K32" s="117"/>
      <c r="L32" s="117"/>
      <c r="M32" s="229"/>
    </row>
    <row r="33" spans="1:13">
      <c r="A33" s="183" t="s">
        <v>20</v>
      </c>
      <c r="B33" s="66"/>
      <c r="C33" s="473">
        <f>52*2</f>
        <v>104</v>
      </c>
      <c r="D33" s="219"/>
      <c r="E33" s="66"/>
      <c r="F33" s="66"/>
      <c r="G33" s="219"/>
      <c r="H33" s="66"/>
      <c r="I33" s="191"/>
      <c r="J33" s="219"/>
      <c r="K33" s="66"/>
      <c r="L33" s="66"/>
      <c r="M33" s="191"/>
    </row>
    <row r="34" spans="1:13">
      <c r="A34" s="183" t="s">
        <v>21</v>
      </c>
      <c r="B34" s="66"/>
      <c r="C34" s="473">
        <v>24</v>
      </c>
      <c r="D34" s="219"/>
      <c r="E34" s="66"/>
      <c r="F34" s="66"/>
      <c r="G34" s="219"/>
      <c r="H34" s="66"/>
      <c r="I34" s="191"/>
      <c r="J34" s="219"/>
      <c r="K34" s="66"/>
      <c r="L34" s="66"/>
      <c r="M34" s="191"/>
    </row>
    <row r="35" spans="1:13">
      <c r="A35" s="183" t="s">
        <v>22</v>
      </c>
      <c r="B35" s="66"/>
      <c r="C35" s="228">
        <v>0.1</v>
      </c>
      <c r="D35" s="278"/>
      <c r="E35" s="117"/>
      <c r="F35" s="117"/>
      <c r="G35" s="278"/>
      <c r="H35" s="117"/>
      <c r="I35" s="229"/>
      <c r="J35" s="278"/>
      <c r="K35" s="117"/>
      <c r="L35" s="117"/>
      <c r="M35" s="229"/>
    </row>
    <row r="36" spans="1:13">
      <c r="A36" s="183" t="s">
        <v>23</v>
      </c>
      <c r="B36" s="66"/>
      <c r="C36" s="219">
        <f>365-C33</f>
        <v>261</v>
      </c>
      <c r="D36" s="219"/>
      <c r="E36" s="66"/>
      <c r="F36" s="66"/>
      <c r="G36" s="219"/>
      <c r="H36" s="66"/>
      <c r="I36" s="191"/>
      <c r="J36" s="219"/>
      <c r="K36" s="66"/>
      <c r="L36" s="66"/>
      <c r="M36" s="191"/>
    </row>
    <row r="37" spans="1:13">
      <c r="A37" s="183" t="s">
        <v>21</v>
      </c>
      <c r="B37" s="66"/>
      <c r="C37" s="473">
        <v>24</v>
      </c>
      <c r="D37" s="219"/>
      <c r="E37" s="66"/>
      <c r="F37" s="66"/>
      <c r="G37" s="219"/>
      <c r="H37" s="66"/>
      <c r="I37" s="191"/>
      <c r="J37" s="219"/>
      <c r="K37" s="66"/>
      <c r="L37" s="66"/>
      <c r="M37" s="191"/>
    </row>
    <row r="38" spans="1:13">
      <c r="A38" s="183" t="s">
        <v>22</v>
      </c>
      <c r="B38" s="66"/>
      <c r="C38" s="228">
        <v>0.1</v>
      </c>
      <c r="D38" s="278"/>
      <c r="E38" s="117"/>
      <c r="F38" s="117"/>
      <c r="G38" s="278"/>
      <c r="H38" s="117"/>
      <c r="I38" s="229"/>
      <c r="J38" s="278"/>
      <c r="K38" s="117"/>
      <c r="L38" s="117"/>
      <c r="M38" s="229"/>
    </row>
    <row r="39" spans="1:13" s="462" customFormat="1">
      <c r="A39" s="183" t="s">
        <v>24</v>
      </c>
      <c r="B39" s="66"/>
      <c r="C39" s="453">
        <v>1.25</v>
      </c>
      <c r="D39" s="465">
        <f t="shared" ref="D39:M39" si="11">$C$20*(1+$B27)^D$4</f>
        <v>1.02</v>
      </c>
      <c r="E39" s="372">
        <f t="shared" si="11"/>
        <v>1.0404</v>
      </c>
      <c r="F39" s="372">
        <f t="shared" si="11"/>
        <v>1.0612079999999999</v>
      </c>
      <c r="G39" s="465">
        <f t="shared" si="11"/>
        <v>1.08243216</v>
      </c>
      <c r="H39" s="372">
        <f t="shared" si="11"/>
        <v>1.1040808032</v>
      </c>
      <c r="I39" s="438">
        <f t="shared" si="11"/>
        <v>1.1261624192640001</v>
      </c>
      <c r="J39" s="465">
        <f t="shared" si="11"/>
        <v>1.1486856676492798</v>
      </c>
      <c r="K39" s="372">
        <f t="shared" si="11"/>
        <v>1.1716593810022655</v>
      </c>
      <c r="L39" s="372">
        <f t="shared" si="11"/>
        <v>1.1950925686223108</v>
      </c>
      <c r="M39" s="438">
        <f t="shared" si="11"/>
        <v>1.2189944199947571</v>
      </c>
    </row>
    <row r="40" spans="1:13" ht="13.5" thickBot="1">
      <c r="A40" s="144" t="s">
        <v>161</v>
      </c>
      <c r="B40" s="69"/>
      <c r="C40" s="474">
        <v>0.5</v>
      </c>
      <c r="D40" s="467">
        <f t="shared" ref="D40:M40" si="12">$C$21*(1+$B27)^D$4</f>
        <v>0.51</v>
      </c>
      <c r="E40" s="466">
        <f t="shared" si="12"/>
        <v>0.5202</v>
      </c>
      <c r="F40" s="466">
        <f t="shared" si="12"/>
        <v>0.53060399999999996</v>
      </c>
      <c r="G40" s="467">
        <f t="shared" si="12"/>
        <v>0.54121607999999999</v>
      </c>
      <c r="H40" s="466">
        <f t="shared" si="12"/>
        <v>0.55204040160000001</v>
      </c>
      <c r="I40" s="439">
        <f t="shared" si="12"/>
        <v>0.56308120963200003</v>
      </c>
      <c r="J40" s="467">
        <f t="shared" si="12"/>
        <v>0.57434283382463991</v>
      </c>
      <c r="K40" s="466">
        <f t="shared" si="12"/>
        <v>0.58582969050113276</v>
      </c>
      <c r="L40" s="466">
        <f t="shared" si="12"/>
        <v>0.59754628431115542</v>
      </c>
      <c r="M40" s="439">
        <f t="shared" si="12"/>
        <v>0.60949720999737855</v>
      </c>
    </row>
    <row r="41" spans="1:13" hidden="1" outlineLevel="1">
      <c r="A41" s="344" t="s">
        <v>162</v>
      </c>
      <c r="B41" s="213"/>
      <c r="C41" s="256"/>
      <c r="D41" s="458"/>
      <c r="E41" s="469"/>
      <c r="F41" s="469"/>
      <c r="G41" s="458"/>
      <c r="H41" s="469"/>
      <c r="I41" s="470"/>
      <c r="J41" s="458"/>
      <c r="K41" s="469"/>
      <c r="L41" s="469"/>
      <c r="M41" s="470"/>
    </row>
    <row r="42" spans="1:13" hidden="1" outlineLevel="1">
      <c r="A42" s="183" t="s">
        <v>163</v>
      </c>
      <c r="B42" s="66"/>
      <c r="C42" s="149"/>
      <c r="D42" s="262"/>
      <c r="E42" s="241"/>
      <c r="F42" s="241"/>
      <c r="G42" s="262"/>
      <c r="H42" s="241"/>
      <c r="I42" s="263"/>
      <c r="J42" s="262"/>
      <c r="K42" s="241"/>
      <c r="L42" s="241"/>
      <c r="M42" s="263"/>
    </row>
    <row r="43" spans="1:13" hidden="1" outlineLevel="1">
      <c r="A43" s="183" t="s">
        <v>165</v>
      </c>
      <c r="B43" s="66"/>
      <c r="C43" s="153"/>
      <c r="D43" s="150"/>
      <c r="E43" s="151"/>
      <c r="F43" s="151"/>
      <c r="G43" s="150"/>
      <c r="H43" s="151"/>
      <c r="I43" s="152"/>
      <c r="J43" s="150"/>
      <c r="K43" s="151"/>
      <c r="L43" s="151"/>
      <c r="M43" s="152"/>
    </row>
    <row r="44" spans="1:13" ht="13.5" hidden="1" outlineLevel="1" thickBot="1">
      <c r="A44" s="144" t="s">
        <v>158</v>
      </c>
      <c r="B44" s="69"/>
      <c r="C44" s="475"/>
      <c r="D44" s="454"/>
      <c r="E44" s="471"/>
      <c r="F44" s="471"/>
      <c r="G44" s="454"/>
      <c r="H44" s="471"/>
      <c r="I44" s="472"/>
      <c r="J44" s="454"/>
      <c r="K44" s="471"/>
      <c r="L44" s="471"/>
      <c r="M44" s="472"/>
    </row>
    <row r="45" spans="1:13" s="288" customFormat="1" collapsed="1">
      <c r="A45" s="64" t="s">
        <v>530</v>
      </c>
      <c r="B45" s="66"/>
      <c r="C45" s="219"/>
      <c r="D45" s="133"/>
      <c r="E45" s="338"/>
      <c r="F45" s="338"/>
      <c r="G45" s="65"/>
      <c r="H45" s="76"/>
      <c r="I45" s="121"/>
      <c r="J45" s="65"/>
      <c r="K45" s="76"/>
      <c r="L45" s="76"/>
      <c r="M45" s="121"/>
    </row>
    <row r="46" spans="1:13" s="288" customFormat="1">
      <c r="A46" s="65" t="s">
        <v>9</v>
      </c>
      <c r="B46" s="132">
        <v>0.02</v>
      </c>
      <c r="C46" s="305"/>
      <c r="D46" s="65"/>
      <c r="E46" s="76"/>
      <c r="F46" s="76"/>
      <c r="G46" s="65"/>
      <c r="H46" s="76"/>
      <c r="I46" s="121"/>
      <c r="J46" s="65"/>
      <c r="K46" s="76"/>
      <c r="L46" s="76"/>
      <c r="M46" s="121"/>
    </row>
    <row r="47" spans="1:13" s="288" customFormat="1">
      <c r="A47" s="65" t="s">
        <v>26</v>
      </c>
      <c r="B47" s="66"/>
      <c r="C47" s="342">
        <v>0</v>
      </c>
      <c r="D47" s="221">
        <f>D48/$D$92</f>
        <v>79.609375</v>
      </c>
      <c r="E47" s="194">
        <f>D47</f>
        <v>79.609375</v>
      </c>
      <c r="F47" s="194">
        <f>E47</f>
        <v>79.609375</v>
      </c>
      <c r="G47" s="221">
        <f t="shared" ref="G47:H48" si="13">F47</f>
        <v>79.609375</v>
      </c>
      <c r="H47" s="194">
        <f t="shared" si="13"/>
        <v>79.609375</v>
      </c>
      <c r="I47" s="199">
        <f>H47+I48/$D$92</f>
        <v>395.28125</v>
      </c>
      <c r="J47" s="221">
        <f>I47</f>
        <v>395.28125</v>
      </c>
      <c r="K47" s="194">
        <f t="shared" ref="K47:M48" si="14">J47</f>
        <v>395.28125</v>
      </c>
      <c r="L47" s="194">
        <f t="shared" si="14"/>
        <v>395.28125</v>
      </c>
      <c r="M47" s="199">
        <f t="shared" si="14"/>
        <v>395.28125</v>
      </c>
    </row>
    <row r="48" spans="1:13" s="288" customFormat="1">
      <c r="A48" s="65" t="s">
        <v>80</v>
      </c>
      <c r="B48" s="66"/>
      <c r="C48" s="342">
        <v>0</v>
      </c>
      <c r="D48" s="221">
        <f>'Development Schedule'!G87-D10</f>
        <v>25475</v>
      </c>
      <c r="E48" s="194">
        <f>D48</f>
        <v>25475</v>
      </c>
      <c r="F48" s="194">
        <f>E48</f>
        <v>25475</v>
      </c>
      <c r="G48" s="221">
        <f t="shared" si="13"/>
        <v>25475</v>
      </c>
      <c r="H48" s="194">
        <f t="shared" si="13"/>
        <v>25475</v>
      </c>
      <c r="I48" s="199">
        <f>H48+'Development Schedule'!L87</f>
        <v>101015</v>
      </c>
      <c r="J48" s="221">
        <f>I48</f>
        <v>101015</v>
      </c>
      <c r="K48" s="194">
        <f t="shared" si="14"/>
        <v>101015</v>
      </c>
      <c r="L48" s="194">
        <f t="shared" si="14"/>
        <v>101015</v>
      </c>
      <c r="M48" s="199">
        <f t="shared" si="14"/>
        <v>101015</v>
      </c>
    </row>
    <row r="49" spans="1:13" s="288" customFormat="1">
      <c r="A49" s="183" t="s">
        <v>17</v>
      </c>
      <c r="B49" s="66"/>
      <c r="C49" s="390">
        <f>C30</f>
        <v>0</v>
      </c>
      <c r="D49" s="465">
        <f t="shared" ref="D49:M49" si="15">D30</f>
        <v>0</v>
      </c>
      <c r="E49" s="372">
        <f t="shared" si="15"/>
        <v>0</v>
      </c>
      <c r="F49" s="372">
        <f t="shared" si="15"/>
        <v>0</v>
      </c>
      <c r="G49" s="465">
        <f t="shared" si="15"/>
        <v>0</v>
      </c>
      <c r="H49" s="372">
        <f t="shared" si="15"/>
        <v>0</v>
      </c>
      <c r="I49" s="438">
        <f t="shared" si="15"/>
        <v>0</v>
      </c>
      <c r="J49" s="465">
        <f t="shared" si="15"/>
        <v>0</v>
      </c>
      <c r="K49" s="372">
        <f t="shared" si="15"/>
        <v>0</v>
      </c>
      <c r="L49" s="372">
        <f t="shared" si="15"/>
        <v>0</v>
      </c>
      <c r="M49" s="438">
        <f t="shared" si="15"/>
        <v>0</v>
      </c>
    </row>
    <row r="50" spans="1:13" s="288" customFormat="1">
      <c r="A50" s="183" t="s">
        <v>18</v>
      </c>
      <c r="B50" s="66"/>
      <c r="C50" s="228">
        <v>0.6</v>
      </c>
      <c r="D50" s="278"/>
      <c r="E50" s="117"/>
      <c r="F50" s="117"/>
      <c r="G50" s="278"/>
      <c r="H50" s="117"/>
      <c r="I50" s="229"/>
      <c r="J50" s="278"/>
      <c r="K50" s="117"/>
      <c r="L50" s="117"/>
      <c r="M50" s="229"/>
    </row>
    <row r="51" spans="1:13" s="288" customFormat="1">
      <c r="A51" s="183" t="s">
        <v>19</v>
      </c>
      <c r="B51" s="66"/>
      <c r="C51" s="228">
        <v>0.6</v>
      </c>
      <c r="D51" s="278"/>
      <c r="E51" s="117"/>
      <c r="F51" s="117"/>
      <c r="G51" s="278"/>
      <c r="H51" s="117"/>
      <c r="I51" s="229"/>
      <c r="J51" s="278"/>
      <c r="K51" s="117"/>
      <c r="L51" s="117"/>
      <c r="M51" s="229"/>
    </row>
    <row r="52" spans="1:13" s="288" customFormat="1">
      <c r="A52" s="183" t="s">
        <v>20</v>
      </c>
      <c r="B52" s="66"/>
      <c r="C52" s="473">
        <f>52*2</f>
        <v>104</v>
      </c>
      <c r="D52" s="219"/>
      <c r="E52" s="66"/>
      <c r="F52" s="66"/>
      <c r="G52" s="219"/>
      <c r="H52" s="66"/>
      <c r="I52" s="191"/>
      <c r="J52" s="219"/>
      <c r="K52" s="66"/>
      <c r="L52" s="66"/>
      <c r="M52" s="191"/>
    </row>
    <row r="53" spans="1:13" s="288" customFormat="1">
      <c r="A53" s="183" t="s">
        <v>21</v>
      </c>
      <c r="B53" s="66"/>
      <c r="C53" s="473">
        <v>24</v>
      </c>
      <c r="D53" s="219"/>
      <c r="E53" s="66"/>
      <c r="F53" s="66"/>
      <c r="G53" s="219"/>
      <c r="H53" s="66"/>
      <c r="I53" s="191"/>
      <c r="J53" s="219"/>
      <c r="K53" s="66"/>
      <c r="L53" s="66"/>
      <c r="M53" s="191"/>
    </row>
    <row r="54" spans="1:13" s="288" customFormat="1">
      <c r="A54" s="183" t="s">
        <v>22</v>
      </c>
      <c r="B54" s="66"/>
      <c r="C54" s="228">
        <v>0.3</v>
      </c>
      <c r="D54" s="278"/>
      <c r="E54" s="117"/>
      <c r="F54" s="117"/>
      <c r="G54" s="278"/>
      <c r="H54" s="117"/>
      <c r="I54" s="229"/>
      <c r="J54" s="278"/>
      <c r="K54" s="117"/>
      <c r="L54" s="117"/>
      <c r="M54" s="229"/>
    </row>
    <row r="55" spans="1:13" s="288" customFormat="1">
      <c r="A55" s="183" t="s">
        <v>23</v>
      </c>
      <c r="B55" s="66"/>
      <c r="C55" s="219">
        <f>365-C52</f>
        <v>261</v>
      </c>
      <c r="D55" s="219"/>
      <c r="E55" s="66"/>
      <c r="F55" s="66"/>
      <c r="G55" s="219"/>
      <c r="H55" s="66"/>
      <c r="I55" s="191"/>
      <c r="J55" s="219"/>
      <c r="K55" s="66"/>
      <c r="L55" s="66"/>
      <c r="M55" s="191"/>
    </row>
    <row r="56" spans="1:13" s="288" customFormat="1">
      <c r="A56" s="183" t="s">
        <v>21</v>
      </c>
      <c r="B56" s="66"/>
      <c r="C56" s="473">
        <v>24</v>
      </c>
      <c r="D56" s="219"/>
      <c r="E56" s="66"/>
      <c r="F56" s="66"/>
      <c r="G56" s="219"/>
      <c r="H56" s="66"/>
      <c r="I56" s="191"/>
      <c r="J56" s="219"/>
      <c r="K56" s="66"/>
      <c r="L56" s="66"/>
      <c r="M56" s="191"/>
    </row>
    <row r="57" spans="1:13" s="288" customFormat="1">
      <c r="A57" s="183" t="s">
        <v>22</v>
      </c>
      <c r="B57" s="66"/>
      <c r="C57" s="228">
        <v>0.3</v>
      </c>
      <c r="D57" s="278"/>
      <c r="E57" s="117"/>
      <c r="F57" s="117"/>
      <c r="G57" s="278"/>
      <c r="H57" s="117"/>
      <c r="I57" s="229"/>
      <c r="J57" s="278"/>
      <c r="K57" s="117"/>
      <c r="L57" s="117"/>
      <c r="M57" s="229"/>
    </row>
    <row r="58" spans="1:13" s="463" customFormat="1">
      <c r="A58" s="183" t="s">
        <v>24</v>
      </c>
      <c r="B58" s="66"/>
      <c r="C58" s="453">
        <v>1.25</v>
      </c>
      <c r="D58" s="465">
        <f t="shared" ref="D58:M58" si="16">$C$20*(1+$B46)^D$4</f>
        <v>1.02</v>
      </c>
      <c r="E58" s="372">
        <f t="shared" si="16"/>
        <v>1.0404</v>
      </c>
      <c r="F58" s="372">
        <f t="shared" si="16"/>
        <v>1.0612079999999999</v>
      </c>
      <c r="G58" s="465">
        <f t="shared" si="16"/>
        <v>1.08243216</v>
      </c>
      <c r="H58" s="372">
        <f t="shared" si="16"/>
        <v>1.1040808032</v>
      </c>
      <c r="I58" s="438">
        <f t="shared" si="16"/>
        <v>1.1261624192640001</v>
      </c>
      <c r="J58" s="465">
        <f t="shared" si="16"/>
        <v>1.1486856676492798</v>
      </c>
      <c r="K58" s="372">
        <f t="shared" si="16"/>
        <v>1.1716593810022655</v>
      </c>
      <c r="L58" s="372">
        <f t="shared" si="16"/>
        <v>1.1950925686223108</v>
      </c>
      <c r="M58" s="438">
        <f t="shared" si="16"/>
        <v>1.2189944199947571</v>
      </c>
    </row>
    <row r="59" spans="1:13" s="288" customFormat="1" ht="13.5" thickBot="1">
      <c r="A59" s="144" t="s">
        <v>161</v>
      </c>
      <c r="B59" s="69"/>
      <c r="C59" s="474">
        <v>0.5</v>
      </c>
      <c r="D59" s="467">
        <f t="shared" ref="D59:M59" si="17">$C$21*(1+$B46)^D$4</f>
        <v>0.51</v>
      </c>
      <c r="E59" s="466">
        <f t="shared" si="17"/>
        <v>0.5202</v>
      </c>
      <c r="F59" s="466">
        <f t="shared" si="17"/>
        <v>0.53060399999999996</v>
      </c>
      <c r="G59" s="467">
        <f t="shared" si="17"/>
        <v>0.54121607999999999</v>
      </c>
      <c r="H59" s="466">
        <f t="shared" si="17"/>
        <v>0.55204040160000001</v>
      </c>
      <c r="I59" s="439">
        <f t="shared" si="17"/>
        <v>0.56308120963200003</v>
      </c>
      <c r="J59" s="467">
        <f t="shared" si="17"/>
        <v>0.57434283382463991</v>
      </c>
      <c r="K59" s="466">
        <f t="shared" si="17"/>
        <v>0.58582969050113276</v>
      </c>
      <c r="L59" s="466">
        <f t="shared" si="17"/>
        <v>0.59754628431115542</v>
      </c>
      <c r="M59" s="439">
        <f t="shared" si="17"/>
        <v>0.60949720999737855</v>
      </c>
    </row>
    <row r="60" spans="1:13" s="288" customFormat="1" outlineLevel="1">
      <c r="A60" s="344" t="s">
        <v>162</v>
      </c>
      <c r="B60" s="213"/>
      <c r="C60" s="256">
        <f>C47*C49*$C51*12</f>
        <v>0</v>
      </c>
      <c r="D60" s="458">
        <f t="shared" ref="D60:M60" si="18">D47*D49*$C51*12</f>
        <v>0</v>
      </c>
      <c r="E60" s="469">
        <f t="shared" si="18"/>
        <v>0</v>
      </c>
      <c r="F60" s="469">
        <f t="shared" si="18"/>
        <v>0</v>
      </c>
      <c r="G60" s="458">
        <f t="shared" si="18"/>
        <v>0</v>
      </c>
      <c r="H60" s="469">
        <f t="shared" si="18"/>
        <v>0</v>
      </c>
      <c r="I60" s="470">
        <f t="shared" si="18"/>
        <v>0</v>
      </c>
      <c r="J60" s="458">
        <f t="shared" si="18"/>
        <v>0</v>
      </c>
      <c r="K60" s="469">
        <f t="shared" si="18"/>
        <v>0</v>
      </c>
      <c r="L60" s="469">
        <f t="shared" si="18"/>
        <v>0</v>
      </c>
      <c r="M60" s="470">
        <f t="shared" si="18"/>
        <v>0</v>
      </c>
    </row>
    <row r="61" spans="1:13" s="288" customFormat="1" outlineLevel="1">
      <c r="A61" s="183" t="s">
        <v>163</v>
      </c>
      <c r="B61" s="66"/>
      <c r="C61" s="149">
        <f>(C47*$C52*$C53*$C54*C58)+(C47*$C55*$C56*$C57*C58)</f>
        <v>0</v>
      </c>
      <c r="D61" s="262">
        <f t="shared" ref="D61:M61" si="19">(D47*$C52*$C53*$C54*D58)+(D47*$C55*$C56*$C57*D58)</f>
        <v>213397.70625000002</v>
      </c>
      <c r="E61" s="241">
        <f t="shared" si="19"/>
        <v>217665.66037500001</v>
      </c>
      <c r="F61" s="241">
        <f t="shared" si="19"/>
        <v>222018.97358250001</v>
      </c>
      <c r="G61" s="262">
        <f t="shared" si="19"/>
        <v>226459.35305414998</v>
      </c>
      <c r="H61" s="241">
        <f t="shared" si="19"/>
        <v>230988.54011523302</v>
      </c>
      <c r="I61" s="263">
        <f t="shared" si="19"/>
        <v>1169856.5357393264</v>
      </c>
      <c r="J61" s="262">
        <f t="shared" si="19"/>
        <v>1193253.6664541126</v>
      </c>
      <c r="K61" s="241">
        <f t="shared" si="19"/>
        <v>1217118.7397831951</v>
      </c>
      <c r="L61" s="241">
        <f t="shared" si="19"/>
        <v>1241461.1145788589</v>
      </c>
      <c r="M61" s="263">
        <f t="shared" si="19"/>
        <v>1266290.3368704361</v>
      </c>
    </row>
    <row r="62" spans="1:13" s="288" customFormat="1" outlineLevel="1">
      <c r="A62" s="183" t="s">
        <v>165</v>
      </c>
      <c r="B62" s="66"/>
      <c r="C62" s="153">
        <v>0</v>
      </c>
      <c r="D62" s="150">
        <f>C62</f>
        <v>0</v>
      </c>
      <c r="E62" s="151">
        <f>D62</f>
        <v>0</v>
      </c>
      <c r="F62" s="151">
        <f>E62</f>
        <v>0</v>
      </c>
      <c r="G62" s="150">
        <f t="shared" ref="G62:M62" si="20">F62</f>
        <v>0</v>
      </c>
      <c r="H62" s="151">
        <f t="shared" si="20"/>
        <v>0</v>
      </c>
      <c r="I62" s="152">
        <f t="shared" si="20"/>
        <v>0</v>
      </c>
      <c r="J62" s="150">
        <f t="shared" si="20"/>
        <v>0</v>
      </c>
      <c r="K62" s="151">
        <f t="shared" si="20"/>
        <v>0</v>
      </c>
      <c r="L62" s="151">
        <f t="shared" si="20"/>
        <v>0</v>
      </c>
      <c r="M62" s="152">
        <f t="shared" si="20"/>
        <v>0</v>
      </c>
    </row>
    <row r="63" spans="1:13" s="288" customFormat="1" ht="13.5" outlineLevel="1" thickBot="1">
      <c r="A63" s="144" t="s">
        <v>158</v>
      </c>
      <c r="B63" s="69"/>
      <c r="C63" s="475">
        <f>C48*C59</f>
        <v>0</v>
      </c>
      <c r="D63" s="454">
        <f t="shared" ref="D63:M63" si="21">D48*D59</f>
        <v>12992.25</v>
      </c>
      <c r="E63" s="471">
        <f t="shared" si="21"/>
        <v>13252.094999999999</v>
      </c>
      <c r="F63" s="471">
        <f t="shared" si="21"/>
        <v>13517.1369</v>
      </c>
      <c r="G63" s="454">
        <f t="shared" si="21"/>
        <v>13787.479637999999</v>
      </c>
      <c r="H63" s="471">
        <f t="shared" si="21"/>
        <v>14063.22923076</v>
      </c>
      <c r="I63" s="472">
        <f t="shared" si="21"/>
        <v>56879.648390976487</v>
      </c>
      <c r="J63" s="454">
        <f t="shared" si="21"/>
        <v>58017.241358796004</v>
      </c>
      <c r="K63" s="471">
        <f t="shared" si="21"/>
        <v>59177.586185971923</v>
      </c>
      <c r="L63" s="471">
        <f t="shared" si="21"/>
        <v>60361.137909691366</v>
      </c>
      <c r="M63" s="472">
        <f t="shared" si="21"/>
        <v>61568.360667885194</v>
      </c>
    </row>
    <row r="64" spans="1:13" s="288" customFormat="1" ht="13.5" thickBot="1">
      <c r="A64" s="208" t="s">
        <v>0</v>
      </c>
      <c r="B64" s="205"/>
      <c r="C64" s="214"/>
      <c r="D64" s="255"/>
      <c r="E64" s="211"/>
      <c r="F64" s="212"/>
      <c r="G64" s="255"/>
      <c r="H64" s="211"/>
      <c r="I64" s="212"/>
      <c r="J64" s="255"/>
      <c r="K64" s="211"/>
      <c r="L64" s="211"/>
      <c r="M64" s="212"/>
    </row>
    <row r="65" spans="1:13" s="288" customFormat="1">
      <c r="A65" s="344" t="s">
        <v>162</v>
      </c>
      <c r="B65" s="66"/>
      <c r="C65" s="148">
        <f t="shared" ref="C65:M65" si="22">SUM(C22,C41,C60)</f>
        <v>0</v>
      </c>
      <c r="D65" s="476">
        <f t="shared" si="22"/>
        <v>0</v>
      </c>
      <c r="E65" s="477">
        <f t="shared" si="22"/>
        <v>0</v>
      </c>
      <c r="F65" s="478">
        <f t="shared" si="22"/>
        <v>0</v>
      </c>
      <c r="G65" s="476">
        <f t="shared" si="22"/>
        <v>0</v>
      </c>
      <c r="H65" s="477">
        <f t="shared" si="22"/>
        <v>0</v>
      </c>
      <c r="I65" s="478">
        <f t="shared" si="22"/>
        <v>0</v>
      </c>
      <c r="J65" s="476">
        <f t="shared" si="22"/>
        <v>0</v>
      </c>
      <c r="K65" s="477">
        <f t="shared" si="22"/>
        <v>0</v>
      </c>
      <c r="L65" s="477">
        <f t="shared" si="22"/>
        <v>0</v>
      </c>
      <c r="M65" s="478">
        <f t="shared" si="22"/>
        <v>0</v>
      </c>
    </row>
    <row r="66" spans="1:13" s="288" customFormat="1">
      <c r="A66" s="183" t="s">
        <v>163</v>
      </c>
      <c r="B66" s="66"/>
      <c r="C66" s="149">
        <f t="shared" ref="C66:M66" si="23">SUM(C23,C42,C61)</f>
        <v>0</v>
      </c>
      <c r="D66" s="150">
        <f t="shared" si="23"/>
        <v>2062861.70625</v>
      </c>
      <c r="E66" s="151">
        <f t="shared" si="23"/>
        <v>2104118.9403750002</v>
      </c>
      <c r="F66" s="152">
        <f t="shared" si="23"/>
        <v>2146201.3191824998</v>
      </c>
      <c r="G66" s="150">
        <f t="shared" si="23"/>
        <v>2189125.3455661498</v>
      </c>
      <c r="H66" s="151">
        <f t="shared" si="23"/>
        <v>2232907.8524774732</v>
      </c>
      <c r="I66" s="152">
        <f t="shared" si="23"/>
        <v>3211814.2343488112</v>
      </c>
      <c r="J66" s="150">
        <f t="shared" si="23"/>
        <v>3276050.5190357869</v>
      </c>
      <c r="K66" s="151">
        <f t="shared" si="23"/>
        <v>3341571.5294165025</v>
      </c>
      <c r="L66" s="151">
        <f t="shared" si="23"/>
        <v>3408402.9600048331</v>
      </c>
      <c r="M66" s="152">
        <f t="shared" si="23"/>
        <v>3476571.0192049299</v>
      </c>
    </row>
    <row r="67" spans="1:13" s="288" customFormat="1">
      <c r="A67" s="183" t="s">
        <v>164</v>
      </c>
      <c r="B67" s="66"/>
      <c r="C67" s="149"/>
      <c r="D67" s="150"/>
      <c r="E67" s="151"/>
      <c r="F67" s="152"/>
      <c r="G67" s="150"/>
      <c r="H67" s="151"/>
      <c r="I67" s="152"/>
      <c r="J67" s="150"/>
      <c r="K67" s="151"/>
      <c r="L67" s="151"/>
      <c r="M67" s="152"/>
    </row>
    <row r="68" spans="1:13" s="288" customFormat="1">
      <c r="A68" s="479" t="s">
        <v>110</v>
      </c>
      <c r="B68" s="250"/>
      <c r="C68" s="276">
        <f t="shared" ref="C68:M68" si="24">-SUM(C25,C44,C63)</f>
        <v>0</v>
      </c>
      <c r="D68" s="159">
        <f t="shared" si="24"/>
        <v>-45377.25</v>
      </c>
      <c r="E68" s="160">
        <f t="shared" si="24"/>
        <v>-46284.794999999998</v>
      </c>
      <c r="F68" s="161">
        <f t="shared" si="24"/>
        <v>-47210.490899999997</v>
      </c>
      <c r="G68" s="159">
        <f t="shared" si="24"/>
        <v>-48154.700717999993</v>
      </c>
      <c r="H68" s="160">
        <f t="shared" si="24"/>
        <v>-49117.794732360002</v>
      </c>
      <c r="I68" s="161">
        <f t="shared" si="24"/>
        <v>-92635.305202608492</v>
      </c>
      <c r="J68" s="159">
        <f t="shared" si="24"/>
        <v>-94488.011306660628</v>
      </c>
      <c r="K68" s="160">
        <f t="shared" si="24"/>
        <v>-96377.771532793849</v>
      </c>
      <c r="L68" s="160">
        <f t="shared" si="24"/>
        <v>-98305.326963449741</v>
      </c>
      <c r="M68" s="161">
        <f t="shared" si="24"/>
        <v>-100271.43350271873</v>
      </c>
    </row>
    <row r="69" spans="1:13" s="288" customFormat="1" ht="13.5" thickBot="1">
      <c r="A69" s="125" t="s">
        <v>5</v>
      </c>
      <c r="B69" s="69"/>
      <c r="C69" s="272">
        <f>SUM(C65:C68)</f>
        <v>0</v>
      </c>
      <c r="D69" s="273">
        <f t="shared" ref="D69:M69" si="25">SUM(D65:D68)</f>
        <v>2017484.45625</v>
      </c>
      <c r="E69" s="247">
        <f t="shared" si="25"/>
        <v>2057834.1453750003</v>
      </c>
      <c r="F69" s="248">
        <f t="shared" si="25"/>
        <v>2098990.8282824997</v>
      </c>
      <c r="G69" s="273">
        <f t="shared" si="25"/>
        <v>2140970.6448481497</v>
      </c>
      <c r="H69" s="247">
        <f t="shared" si="25"/>
        <v>2183790.057745113</v>
      </c>
      <c r="I69" s="248">
        <f t="shared" si="25"/>
        <v>3119178.9291462027</v>
      </c>
      <c r="J69" s="273">
        <f t="shared" si="25"/>
        <v>3181562.5077291261</v>
      </c>
      <c r="K69" s="247">
        <f t="shared" si="25"/>
        <v>3245193.7578837085</v>
      </c>
      <c r="L69" s="247">
        <f t="shared" si="25"/>
        <v>3310097.6330413832</v>
      </c>
      <c r="M69" s="248">
        <f t="shared" si="25"/>
        <v>3376299.5857022111</v>
      </c>
    </row>
    <row r="70" spans="1:13" s="288" customFormat="1" ht="13.5" thickBot="1">
      <c r="A70" s="208" t="s">
        <v>2</v>
      </c>
      <c r="B70" s="205"/>
      <c r="C70" s="214"/>
      <c r="D70" s="255"/>
      <c r="E70" s="211"/>
      <c r="F70" s="212"/>
      <c r="G70" s="255"/>
      <c r="H70" s="211"/>
      <c r="I70" s="212"/>
      <c r="J70" s="255"/>
      <c r="K70" s="211"/>
      <c r="L70" s="211"/>
      <c r="M70" s="212"/>
    </row>
    <row r="71" spans="1:13" s="288" customFormat="1">
      <c r="A71" s="183" t="s">
        <v>95</v>
      </c>
      <c r="B71" s="66"/>
      <c r="C71" s="230">
        <v>50</v>
      </c>
      <c r="D71" s="222">
        <f t="shared" ref="D71:M71" si="26">$C$71*(1+$B$8)^D4</f>
        <v>51</v>
      </c>
      <c r="E71" s="209">
        <f t="shared" si="26"/>
        <v>52.019999999999996</v>
      </c>
      <c r="F71" s="210">
        <f t="shared" si="26"/>
        <v>53.060399999999994</v>
      </c>
      <c r="G71" s="222">
        <f t="shared" si="26"/>
        <v>54.121608000000002</v>
      </c>
      <c r="H71" s="209">
        <f t="shared" si="26"/>
        <v>55.204040159999998</v>
      </c>
      <c r="I71" s="210">
        <f t="shared" si="26"/>
        <v>56.308120963200004</v>
      </c>
      <c r="J71" s="222">
        <f t="shared" si="26"/>
        <v>57.434283382463988</v>
      </c>
      <c r="K71" s="209">
        <f t="shared" si="26"/>
        <v>58.582969050113277</v>
      </c>
      <c r="L71" s="209">
        <f t="shared" si="26"/>
        <v>59.754628431115542</v>
      </c>
      <c r="M71" s="210">
        <f t="shared" si="26"/>
        <v>60.949720999737856</v>
      </c>
    </row>
    <row r="72" spans="1:13" s="288" customFormat="1">
      <c r="A72" s="183" t="s">
        <v>11</v>
      </c>
      <c r="B72" s="66"/>
      <c r="C72" s="268">
        <f>C73/SUM($C$73:$M$73)</f>
        <v>0</v>
      </c>
      <c r="D72" s="269">
        <f t="shared" ref="D72:M72" si="27">D73/SUM($C$73:$M$73)</f>
        <v>0.2397507337169332</v>
      </c>
      <c r="E72" s="196">
        <f t="shared" si="27"/>
        <v>0</v>
      </c>
      <c r="F72" s="252">
        <f t="shared" si="27"/>
        <v>0.16091783621030831</v>
      </c>
      <c r="G72" s="269">
        <f t="shared" si="27"/>
        <v>0</v>
      </c>
      <c r="H72" s="196">
        <f t="shared" si="27"/>
        <v>0.13562682283770072</v>
      </c>
      <c r="I72" s="252">
        <f t="shared" si="27"/>
        <v>0.28542533614430088</v>
      </c>
      <c r="J72" s="269">
        <f t="shared" si="27"/>
        <v>0.17827927109075697</v>
      </c>
      <c r="K72" s="196">
        <f t="shared" si="27"/>
        <v>0</v>
      </c>
      <c r="L72" s="196">
        <f t="shared" si="27"/>
        <v>0</v>
      </c>
      <c r="M72" s="252">
        <f t="shared" si="27"/>
        <v>0</v>
      </c>
    </row>
    <row r="73" spans="1:13" s="288" customFormat="1">
      <c r="A73" s="183" t="s">
        <v>2</v>
      </c>
      <c r="B73" s="66"/>
      <c r="C73" s="169">
        <v>0</v>
      </c>
      <c r="D73" s="323">
        <f>SUM('Development Schedule'!G86:G87)*D71</f>
        <v>4537725</v>
      </c>
      <c r="E73" s="324">
        <f>SUM('Development Schedule'!H86:H87)*E71</f>
        <v>0</v>
      </c>
      <c r="F73" s="325">
        <f>SUM('Development Schedule'!I86:I87)*F71</f>
        <v>3045666.9599999995</v>
      </c>
      <c r="G73" s="323">
        <f>SUM('Development Schedule'!J86:J87)*G71</f>
        <v>0</v>
      </c>
      <c r="H73" s="324">
        <f>SUM('Development Schedule'!K86:K87)*H71</f>
        <v>2566987.8674399997</v>
      </c>
      <c r="I73" s="325">
        <f>SUM('Development Schedule'!L86:L87)*I71</f>
        <v>5402201.1252094088</v>
      </c>
      <c r="J73" s="323">
        <f>SUM('Development Schedule'!M86:M87)*J71</f>
        <v>3374264.1487197592</v>
      </c>
      <c r="K73" s="324">
        <f>SUM('Development Schedule'!N86:N87)*K71</f>
        <v>0</v>
      </c>
      <c r="L73" s="324">
        <f>SUM('Development Schedule'!O86:O87)*L71</f>
        <v>0</v>
      </c>
      <c r="M73" s="325">
        <f>SUM('Development Schedule'!P86:P87)*M71</f>
        <v>0</v>
      </c>
    </row>
    <row r="74" spans="1:13" s="288" customFormat="1">
      <c r="A74" s="245" t="s">
        <v>12</v>
      </c>
      <c r="B74" s="250"/>
      <c r="C74" s="177"/>
      <c r="D74" s="271"/>
      <c r="E74" s="251"/>
      <c r="F74" s="254"/>
      <c r="G74" s="271"/>
      <c r="H74" s="251"/>
      <c r="I74" s="254"/>
      <c r="J74" s="271"/>
      <c r="K74" s="251"/>
      <c r="L74" s="251"/>
      <c r="M74" s="254"/>
    </row>
    <row r="75" spans="1:13" s="288" customFormat="1" ht="13.5" thickBot="1">
      <c r="A75" s="416" t="s">
        <v>3</v>
      </c>
      <c r="B75" s="69"/>
      <c r="C75" s="273">
        <f>SUM(C73:C74)</f>
        <v>0</v>
      </c>
      <c r="D75" s="273">
        <f t="shared" ref="D75:M75" si="28">SUM(D73:D74)</f>
        <v>4537725</v>
      </c>
      <c r="E75" s="247">
        <f t="shared" si="28"/>
        <v>0</v>
      </c>
      <c r="F75" s="248">
        <f t="shared" si="28"/>
        <v>3045666.9599999995</v>
      </c>
      <c r="G75" s="273">
        <f t="shared" si="28"/>
        <v>0</v>
      </c>
      <c r="H75" s="247">
        <f t="shared" si="28"/>
        <v>2566987.8674399997</v>
      </c>
      <c r="I75" s="248">
        <f t="shared" si="28"/>
        <v>5402201.1252094088</v>
      </c>
      <c r="J75" s="273">
        <f t="shared" si="28"/>
        <v>3374264.1487197592</v>
      </c>
      <c r="K75" s="247">
        <f t="shared" si="28"/>
        <v>0</v>
      </c>
      <c r="L75" s="247">
        <f t="shared" si="28"/>
        <v>0</v>
      </c>
      <c r="M75" s="248">
        <f t="shared" si="28"/>
        <v>0</v>
      </c>
    </row>
    <row r="76" spans="1:13" s="288" customFormat="1" ht="13.5" thickBot="1">
      <c r="A76" s="208" t="s">
        <v>4</v>
      </c>
      <c r="B76" s="205"/>
      <c r="C76" s="214"/>
      <c r="D76" s="255"/>
      <c r="E76" s="211"/>
      <c r="F76" s="212"/>
      <c r="G76" s="255"/>
      <c r="H76" s="211"/>
      <c r="I76" s="212"/>
      <c r="J76" s="255"/>
      <c r="K76" s="211"/>
      <c r="L76" s="211"/>
      <c r="M76" s="212"/>
    </row>
    <row r="77" spans="1:13" s="288" customFormat="1">
      <c r="A77" s="183" t="s">
        <v>5</v>
      </c>
      <c r="B77" s="66"/>
      <c r="C77" s="148">
        <f>C69</f>
        <v>0</v>
      </c>
      <c r="D77" s="270">
        <f t="shared" ref="D77:M77" si="29">D69</f>
        <v>2017484.45625</v>
      </c>
      <c r="E77" s="239">
        <f t="shared" si="29"/>
        <v>2057834.1453750003</v>
      </c>
      <c r="F77" s="253">
        <f t="shared" si="29"/>
        <v>2098990.8282824997</v>
      </c>
      <c r="G77" s="270">
        <f t="shared" si="29"/>
        <v>2140970.6448481497</v>
      </c>
      <c r="H77" s="239">
        <f t="shared" si="29"/>
        <v>2183790.057745113</v>
      </c>
      <c r="I77" s="253">
        <f t="shared" si="29"/>
        <v>3119178.9291462027</v>
      </c>
      <c r="J77" s="270">
        <f t="shared" si="29"/>
        <v>3181562.5077291261</v>
      </c>
      <c r="K77" s="239">
        <f t="shared" si="29"/>
        <v>3245193.7578837085</v>
      </c>
      <c r="L77" s="239">
        <f t="shared" si="29"/>
        <v>3310097.6330413832</v>
      </c>
      <c r="M77" s="253">
        <f t="shared" si="29"/>
        <v>3376299.5857022111</v>
      </c>
    </row>
    <row r="78" spans="1:13" s="288" customFormat="1">
      <c r="A78" s="183" t="s">
        <v>55</v>
      </c>
      <c r="B78" s="117">
        <f>D93</f>
        <v>0.08</v>
      </c>
      <c r="C78" s="153">
        <v>0</v>
      </c>
      <c r="D78" s="260">
        <f>C78</f>
        <v>0</v>
      </c>
      <c r="E78" s="249">
        <f t="shared" ref="E78:L79" si="30">D78</f>
        <v>0</v>
      </c>
      <c r="F78" s="261">
        <f t="shared" si="30"/>
        <v>0</v>
      </c>
      <c r="G78" s="260">
        <f t="shared" si="30"/>
        <v>0</v>
      </c>
      <c r="H78" s="249">
        <f t="shared" si="30"/>
        <v>0</v>
      </c>
      <c r="I78" s="261">
        <f t="shared" si="30"/>
        <v>0</v>
      </c>
      <c r="J78" s="260">
        <f t="shared" si="30"/>
        <v>0</v>
      </c>
      <c r="K78" s="249">
        <f t="shared" si="30"/>
        <v>0</v>
      </c>
      <c r="L78" s="249">
        <f t="shared" si="30"/>
        <v>0</v>
      </c>
      <c r="M78" s="261">
        <f>M77/B78</f>
        <v>42203744.821277641</v>
      </c>
    </row>
    <row r="79" spans="1:13" s="288" customFormat="1">
      <c r="A79" s="183" t="s">
        <v>56</v>
      </c>
      <c r="B79" s="117">
        <f>D94</f>
        <v>0.03</v>
      </c>
      <c r="C79" s="153">
        <v>0</v>
      </c>
      <c r="D79" s="260">
        <f>C79</f>
        <v>0</v>
      </c>
      <c r="E79" s="249">
        <f t="shared" si="30"/>
        <v>0</v>
      </c>
      <c r="F79" s="261">
        <f t="shared" si="30"/>
        <v>0</v>
      </c>
      <c r="G79" s="260">
        <f t="shared" si="30"/>
        <v>0</v>
      </c>
      <c r="H79" s="249">
        <f t="shared" si="30"/>
        <v>0</v>
      </c>
      <c r="I79" s="261">
        <f t="shared" si="30"/>
        <v>0</v>
      </c>
      <c r="J79" s="260">
        <f t="shared" si="30"/>
        <v>0</v>
      </c>
      <c r="K79" s="249">
        <f t="shared" si="30"/>
        <v>0</v>
      </c>
      <c r="L79" s="249">
        <f t="shared" si="30"/>
        <v>0</v>
      </c>
      <c r="M79" s="261">
        <f>M78*-B79</f>
        <v>-1266112.3446383292</v>
      </c>
    </row>
    <row r="80" spans="1:13" s="288" customFormat="1">
      <c r="A80" s="245" t="s">
        <v>96</v>
      </c>
      <c r="B80" s="319"/>
      <c r="C80" s="276">
        <f>-C75</f>
        <v>0</v>
      </c>
      <c r="D80" s="277">
        <f t="shared" ref="D80:M80" si="31">-D75</f>
        <v>-4537725</v>
      </c>
      <c r="E80" s="243">
        <f t="shared" si="31"/>
        <v>0</v>
      </c>
      <c r="F80" s="246">
        <f t="shared" si="31"/>
        <v>-3045666.9599999995</v>
      </c>
      <c r="G80" s="277">
        <f t="shared" si="31"/>
        <v>0</v>
      </c>
      <c r="H80" s="243">
        <f t="shared" si="31"/>
        <v>-2566987.8674399997</v>
      </c>
      <c r="I80" s="246">
        <f t="shared" si="31"/>
        <v>-5402201.1252094088</v>
      </c>
      <c r="J80" s="277">
        <f t="shared" si="31"/>
        <v>-3374264.1487197592</v>
      </c>
      <c r="K80" s="243">
        <f t="shared" si="31"/>
        <v>0</v>
      </c>
      <c r="L80" s="243">
        <f t="shared" si="31"/>
        <v>0</v>
      </c>
      <c r="M80" s="246">
        <f t="shared" si="31"/>
        <v>0</v>
      </c>
    </row>
    <row r="81" spans="1:13" s="288" customFormat="1" ht="13.5" thickBot="1">
      <c r="A81" s="416" t="s">
        <v>6</v>
      </c>
      <c r="B81" s="127"/>
      <c r="C81" s="272">
        <f>SUM(C77:C80)</f>
        <v>0</v>
      </c>
      <c r="D81" s="273">
        <f t="shared" ref="D81:M81" si="32">SUM(D77:D80)</f>
        <v>-2520240.5437500002</v>
      </c>
      <c r="E81" s="247">
        <f t="shared" si="32"/>
        <v>2057834.1453750003</v>
      </c>
      <c r="F81" s="248">
        <f t="shared" si="32"/>
        <v>-946676.13171749981</v>
      </c>
      <c r="G81" s="273">
        <f t="shared" si="32"/>
        <v>2140970.6448481497</v>
      </c>
      <c r="H81" s="247">
        <f t="shared" si="32"/>
        <v>-383197.80969488667</v>
      </c>
      <c r="I81" s="248">
        <f t="shared" si="32"/>
        <v>-2283022.1960632061</v>
      </c>
      <c r="J81" s="273">
        <f t="shared" si="32"/>
        <v>-192701.64099063305</v>
      </c>
      <c r="K81" s="247">
        <f t="shared" si="32"/>
        <v>3245193.7578837085</v>
      </c>
      <c r="L81" s="247">
        <f t="shared" si="32"/>
        <v>3310097.6330413832</v>
      </c>
      <c r="M81" s="248">
        <f t="shared" si="32"/>
        <v>44313932.062341519</v>
      </c>
    </row>
    <row r="82" spans="1:13" s="288" customFormat="1" ht="13.5" thickBot="1">
      <c r="A82" s="124" t="s">
        <v>25</v>
      </c>
      <c r="B82" s="114"/>
      <c r="C82" s="400">
        <f>C81+NPV(D95,D81:M81)</f>
        <v>20361240.250890292</v>
      </c>
      <c r="D82" s="397"/>
      <c r="E82" s="398"/>
      <c r="F82" s="399"/>
      <c r="G82" s="397"/>
      <c r="H82" s="398"/>
      <c r="I82" s="399"/>
      <c r="J82" s="116"/>
      <c r="K82" s="116"/>
      <c r="L82" s="116"/>
      <c r="M82" s="198"/>
    </row>
    <row r="83" spans="1:13" ht="13.5" thickBot="1">
      <c r="A83" s="89" t="s">
        <v>57</v>
      </c>
      <c r="B83" s="162"/>
      <c r="C83" s="283">
        <f>IRR(C81:M81)</f>
        <v>0.51711416176951053</v>
      </c>
      <c r="D83" s="264"/>
      <c r="E83" s="162"/>
      <c r="F83" s="182"/>
      <c r="G83" s="264"/>
      <c r="H83" s="162"/>
      <c r="I83" s="182"/>
      <c r="J83" s="162"/>
      <c r="K83" s="162"/>
      <c r="L83" s="162"/>
      <c r="M83" s="182"/>
    </row>
    <row r="84" spans="1:13" ht="13.5" thickBot="1">
      <c r="A84" s="89"/>
      <c r="B84" s="162"/>
      <c r="C84" s="422"/>
      <c r="D84" s="162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3.5" thickBot="1">
      <c r="A85" s="193" t="s">
        <v>89</v>
      </c>
      <c r="B85" s="168"/>
      <c r="C85" s="168"/>
      <c r="D85" s="192"/>
      <c r="E85" s="288"/>
      <c r="F85" s="288"/>
      <c r="G85" s="288"/>
      <c r="H85" s="288"/>
      <c r="I85" s="288"/>
      <c r="J85" s="288"/>
      <c r="K85" s="288"/>
      <c r="L85" s="288"/>
      <c r="M85" s="288"/>
    </row>
    <row r="86" spans="1:13" ht="13.5" thickBot="1">
      <c r="A86" s="87"/>
      <c r="B86" s="162"/>
      <c r="C86" s="92" t="s">
        <v>159</v>
      </c>
      <c r="D86" s="93" t="s">
        <v>88</v>
      </c>
      <c r="E86" s="288"/>
      <c r="F86" s="288"/>
      <c r="G86" s="288"/>
      <c r="H86" s="288"/>
      <c r="I86" s="288"/>
      <c r="J86" s="288"/>
      <c r="K86" s="288"/>
      <c r="L86" s="288"/>
      <c r="M86" s="288"/>
    </row>
    <row r="87" spans="1:13">
      <c r="A87" s="65" t="s">
        <v>531</v>
      </c>
      <c r="B87" s="66"/>
      <c r="C87" s="1022">
        <v>200</v>
      </c>
      <c r="D87" s="464">
        <f>'Development Schedule'!G9</f>
        <v>63500</v>
      </c>
      <c r="E87" s="288"/>
      <c r="F87" s="288"/>
      <c r="G87" s="288"/>
      <c r="H87" s="288"/>
      <c r="I87" s="288"/>
      <c r="J87" s="288"/>
      <c r="K87" s="288"/>
      <c r="L87" s="288"/>
      <c r="M87" s="288"/>
    </row>
    <row r="88" spans="1:13">
      <c r="A88" s="65" t="s">
        <v>166</v>
      </c>
      <c r="B88" s="66"/>
      <c r="C88" s="194">
        <f>D88/$D$92</f>
        <v>572.03125</v>
      </c>
      <c r="D88" s="237">
        <f>'Development Schedule'!E86</f>
        <v>183050</v>
      </c>
      <c r="E88" s="288"/>
      <c r="F88" s="288"/>
      <c r="G88" s="288"/>
      <c r="H88" s="288"/>
      <c r="I88" s="288"/>
      <c r="J88" s="288"/>
      <c r="K88" s="288"/>
      <c r="L88" s="288"/>
      <c r="M88" s="288"/>
    </row>
    <row r="89" spans="1:13" ht="13.5" thickBot="1">
      <c r="A89" s="68" t="s">
        <v>530</v>
      </c>
      <c r="B89" s="69"/>
      <c r="C89" s="286">
        <f>D89/$D$92</f>
        <v>315.671875</v>
      </c>
      <c r="D89" s="238">
        <f>'Development Schedule'!E87-D87</f>
        <v>101015</v>
      </c>
      <c r="E89" s="288"/>
      <c r="F89" s="288"/>
      <c r="G89" s="288"/>
      <c r="H89" s="288"/>
      <c r="I89" s="288"/>
      <c r="J89" s="288"/>
      <c r="K89" s="288"/>
      <c r="L89" s="288"/>
      <c r="M89" s="288"/>
    </row>
    <row r="90" spans="1:13" ht="13.5" thickBot="1">
      <c r="A90" s="37"/>
      <c r="B90" s="59"/>
      <c r="C90" s="59"/>
      <c r="D90" s="37"/>
      <c r="E90" s="288"/>
      <c r="F90" s="288"/>
      <c r="G90" s="288"/>
      <c r="H90" s="288"/>
      <c r="I90" s="288"/>
      <c r="J90" s="288"/>
      <c r="K90" s="288"/>
      <c r="L90" s="288"/>
      <c r="M90" s="288"/>
    </row>
    <row r="91" spans="1:13" ht="13.5" thickBot="1">
      <c r="A91" s="193" t="s">
        <v>97</v>
      </c>
      <c r="B91" s="266"/>
      <c r="C91" s="266"/>
      <c r="D91" s="267"/>
      <c r="E91" s="288"/>
      <c r="F91" s="288"/>
      <c r="G91" s="288"/>
      <c r="H91" s="288"/>
      <c r="I91" s="288"/>
      <c r="J91" s="288"/>
      <c r="K91" s="288"/>
      <c r="L91" s="288"/>
      <c r="M91" s="288"/>
    </row>
    <row r="92" spans="1:13">
      <c r="A92" s="65" t="s">
        <v>160</v>
      </c>
      <c r="B92" s="66"/>
      <c r="C92" s="66"/>
      <c r="D92" s="134">
        <v>320</v>
      </c>
      <c r="E92" s="288"/>
      <c r="F92" s="288"/>
      <c r="G92" s="288"/>
      <c r="H92" s="288"/>
      <c r="I92" s="288"/>
      <c r="J92" s="288"/>
      <c r="K92" s="288"/>
      <c r="L92" s="288"/>
      <c r="M92" s="288"/>
    </row>
    <row r="93" spans="1:13">
      <c r="A93" s="65" t="s">
        <v>98</v>
      </c>
      <c r="B93" s="66"/>
      <c r="C93" s="66"/>
      <c r="D93" s="391">
        <v>0.08</v>
      </c>
      <c r="E93" s="288"/>
      <c r="F93" s="288"/>
      <c r="G93" s="288"/>
      <c r="H93" s="288"/>
      <c r="I93" s="288"/>
      <c r="J93" s="288"/>
      <c r="K93" s="288"/>
      <c r="L93" s="288"/>
      <c r="M93" s="288"/>
    </row>
    <row r="94" spans="1:13">
      <c r="A94" s="65" t="s">
        <v>99</v>
      </c>
      <c r="B94" s="66"/>
      <c r="C94" s="66"/>
      <c r="D94" s="391">
        <v>0.03</v>
      </c>
      <c r="E94" s="288"/>
      <c r="F94" s="288"/>
      <c r="G94" s="288"/>
      <c r="H94" s="288"/>
      <c r="I94" s="288"/>
      <c r="J94" s="288"/>
      <c r="K94" s="288"/>
      <c r="L94" s="288"/>
      <c r="M94" s="288"/>
    </row>
    <row r="95" spans="1:13" ht="13.5" thickBot="1">
      <c r="A95" s="68" t="s">
        <v>85</v>
      </c>
      <c r="B95" s="69"/>
      <c r="C95" s="69"/>
      <c r="D95" s="135">
        <v>0.09</v>
      </c>
      <c r="E95" s="288"/>
      <c r="F95" s="288"/>
      <c r="G95" s="288"/>
      <c r="H95" s="288"/>
      <c r="I95" s="288"/>
      <c r="J95" s="288"/>
      <c r="K95" s="288"/>
      <c r="L95" s="288"/>
      <c r="M95" s="288"/>
    </row>
    <row r="96" spans="1:13">
      <c r="A96" s="288"/>
      <c r="B96" s="289"/>
      <c r="C96" s="289"/>
      <c r="D96" s="288"/>
      <c r="E96" s="288"/>
      <c r="F96" s="288"/>
      <c r="G96" s="288"/>
      <c r="H96" s="288"/>
      <c r="I96" s="288"/>
      <c r="J96" s="288"/>
      <c r="K96" s="288"/>
      <c r="L96" s="288"/>
      <c r="M96" s="288"/>
    </row>
    <row r="97" spans="1:1">
      <c r="A97" s="288"/>
    </row>
  </sheetData>
  <phoneticPr fontId="3" type="noConversion"/>
  <printOptions horizontalCentered="1"/>
  <pageMargins left="0.5" right="0.5" top="1" bottom="0.5" header="0.5" footer="0.5"/>
  <pageSetup scale="59" orientation="landscape" r:id="rId1"/>
  <headerFooter alignWithMargins="0">
    <oddHeader>&amp;L&amp;"Arial,Bold"8. Income Statement: Structured Parking</oddHeader>
  </headerFooter>
  <rowBreaks count="1" manualBreakCount="1">
    <brk id="40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3"/>
  <sheetViews>
    <sheetView view="pageBreakPreview" zoomScale="85" zoomScaleNormal="100" zoomScaleSheetLayoutView="85" workbookViewId="0">
      <selection activeCell="M1" sqref="M1"/>
    </sheetView>
  </sheetViews>
  <sheetFormatPr defaultColWidth="9.1796875" defaultRowHeight="13" outlineLevelRow="1"/>
  <cols>
    <col min="1" max="1" width="23.1796875" style="1" customWidth="1"/>
    <col min="2" max="2" width="12.7265625" style="2" customWidth="1"/>
    <col min="3" max="3" width="13.7265625" style="2" customWidth="1"/>
    <col min="4" max="4" width="13.7265625" style="1" customWidth="1"/>
    <col min="5" max="5" width="16.54296875" style="1" bestFit="1" customWidth="1"/>
    <col min="6" max="7" width="15.54296875" style="1" bestFit="1" customWidth="1"/>
    <col min="8" max="13" width="13.7265625" style="1" customWidth="1"/>
    <col min="14" max="16384" width="9.1796875" style="1"/>
  </cols>
  <sheetData>
    <row r="1" spans="1:15" ht="14.15" customHeight="1" thickBot="1">
      <c r="A1" s="37"/>
      <c r="B1" s="59"/>
      <c r="C1" s="59"/>
      <c r="D1" s="37"/>
      <c r="E1" s="37"/>
      <c r="F1" s="37"/>
      <c r="G1" s="37"/>
      <c r="H1" s="37"/>
      <c r="I1" s="37"/>
      <c r="J1" s="37"/>
      <c r="K1" s="37"/>
      <c r="L1" s="145" t="s">
        <v>86</v>
      </c>
      <c r="M1" s="343">
        <v>203666</v>
      </c>
    </row>
    <row r="2" spans="1:15" ht="14.15" customHeight="1" thickBot="1">
      <c r="A2" s="37"/>
      <c r="B2" s="59"/>
      <c r="C2" s="59"/>
      <c r="D2" s="37"/>
      <c r="E2" s="37"/>
      <c r="F2" s="37"/>
      <c r="G2" s="37"/>
      <c r="H2" s="37"/>
      <c r="I2" s="37"/>
      <c r="J2" s="37"/>
      <c r="K2" s="37"/>
      <c r="L2" s="384"/>
      <c r="M2" s="385"/>
    </row>
    <row r="3" spans="1:15" ht="14.15" customHeight="1" thickBot="1">
      <c r="A3" s="133"/>
      <c r="B3" s="213"/>
      <c r="C3" s="139" t="s">
        <v>53</v>
      </c>
      <c r="D3" s="112" t="s">
        <v>34</v>
      </c>
      <c r="E3" s="113"/>
      <c r="F3" s="44"/>
      <c r="G3" s="112" t="s">
        <v>76</v>
      </c>
      <c r="H3" s="154"/>
      <c r="I3" s="44"/>
      <c r="J3" s="112" t="s">
        <v>77</v>
      </c>
      <c r="K3" s="42"/>
      <c r="L3" s="43"/>
      <c r="M3" s="44"/>
      <c r="N3" s="3"/>
      <c r="O3" s="3"/>
    </row>
    <row r="4" spans="1:15" ht="14.15" customHeight="1" thickBot="1">
      <c r="A4" s="65"/>
      <c r="B4" s="66"/>
      <c r="C4" s="147">
        <v>0</v>
      </c>
      <c r="D4" s="47">
        <f>C4+1</f>
        <v>1</v>
      </c>
      <c r="E4" s="46">
        <f t="shared" ref="E4:M5" si="0">D4+1</f>
        <v>2</v>
      </c>
      <c r="F4" s="48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10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  <c r="N4" s="3"/>
      <c r="O4" s="3"/>
    </row>
    <row r="5" spans="1:15" ht="14.15" customHeight="1" thickBot="1">
      <c r="A5" s="68"/>
      <c r="B5" s="146"/>
      <c r="C5" s="1016" t="str">
        <f>'1.Inftr Costs'!$D$5</f>
        <v>2020-2021</v>
      </c>
      <c r="D5" s="1017">
        <f>'1.Inftr Costs'!$E$5</f>
        <v>2022</v>
      </c>
      <c r="E5" s="109">
        <f>D5+1</f>
        <v>2023</v>
      </c>
      <c r="F5" s="111">
        <f t="shared" si="0"/>
        <v>2024</v>
      </c>
      <c r="G5" s="110">
        <f t="shared" si="0"/>
        <v>2025</v>
      </c>
      <c r="H5" s="109">
        <f t="shared" si="0"/>
        <v>2026</v>
      </c>
      <c r="I5" s="111">
        <f t="shared" si="0"/>
        <v>2027</v>
      </c>
      <c r="J5" s="110">
        <f t="shared" si="0"/>
        <v>2028</v>
      </c>
      <c r="K5" s="109">
        <f t="shared" si="0"/>
        <v>2029</v>
      </c>
      <c r="L5" s="109">
        <f>K5+1</f>
        <v>2030</v>
      </c>
      <c r="M5" s="111">
        <f>L5+1</f>
        <v>2031</v>
      </c>
      <c r="N5" s="3"/>
      <c r="O5" s="3"/>
    </row>
    <row r="6" spans="1:15" ht="13.5" thickBot="1">
      <c r="A6" s="208" t="s">
        <v>8</v>
      </c>
      <c r="B6" s="205"/>
      <c r="C6" s="214"/>
      <c r="D6" s="217"/>
      <c r="E6" s="206"/>
      <c r="F6" s="206"/>
      <c r="G6" s="217"/>
      <c r="H6" s="206"/>
      <c r="I6" s="207"/>
      <c r="J6" s="217"/>
      <c r="K6" s="206"/>
      <c r="L6" s="206"/>
      <c r="M6" s="207"/>
    </row>
    <row r="7" spans="1:15" s="288" customFormat="1">
      <c r="A7" s="64" t="s">
        <v>168</v>
      </c>
      <c r="B7" s="66"/>
      <c r="C7" s="219"/>
      <c r="D7" s="133"/>
      <c r="E7" s="338"/>
      <c r="F7" s="338"/>
      <c r="G7" s="65"/>
      <c r="H7" s="76"/>
      <c r="I7" s="121"/>
      <c r="J7" s="65"/>
      <c r="K7" s="76"/>
      <c r="L7" s="76"/>
      <c r="M7" s="121"/>
    </row>
    <row r="8" spans="1:15">
      <c r="A8" s="65" t="s">
        <v>9</v>
      </c>
      <c r="B8" s="132">
        <v>0.02</v>
      </c>
      <c r="C8" s="305"/>
      <c r="D8" s="65"/>
      <c r="E8" s="76"/>
      <c r="F8" s="76"/>
      <c r="G8" s="65"/>
      <c r="H8" s="76"/>
      <c r="I8" s="121"/>
      <c r="J8" s="65"/>
      <c r="K8" s="76"/>
      <c r="L8" s="76"/>
      <c r="M8" s="121"/>
    </row>
    <row r="9" spans="1:15">
      <c r="A9" s="65" t="s">
        <v>26</v>
      </c>
      <c r="B9" s="66"/>
      <c r="C9" s="342">
        <v>0</v>
      </c>
      <c r="D9" s="221" t="e">
        <f>C83</f>
        <v>#REF!</v>
      </c>
      <c r="E9" s="194" t="e">
        <f>D9</f>
        <v>#REF!</v>
      </c>
      <c r="F9" s="194" t="e">
        <f t="shared" ref="F9:M9" si="1">E9</f>
        <v>#REF!</v>
      </c>
      <c r="G9" s="221" t="e">
        <f t="shared" si="1"/>
        <v>#REF!</v>
      </c>
      <c r="H9" s="194" t="e">
        <f t="shared" si="1"/>
        <v>#REF!</v>
      </c>
      <c r="I9" s="199" t="e">
        <f t="shared" si="1"/>
        <v>#REF!</v>
      </c>
      <c r="J9" s="221" t="e">
        <f t="shared" si="1"/>
        <v>#REF!</v>
      </c>
      <c r="K9" s="194" t="e">
        <f t="shared" si="1"/>
        <v>#REF!</v>
      </c>
      <c r="L9" s="194" t="e">
        <f t="shared" si="1"/>
        <v>#REF!</v>
      </c>
      <c r="M9" s="199" t="e">
        <f t="shared" si="1"/>
        <v>#REF!</v>
      </c>
    </row>
    <row r="10" spans="1:15">
      <c r="A10" s="65" t="s">
        <v>80</v>
      </c>
      <c r="B10" s="66"/>
      <c r="C10" s="342">
        <v>0</v>
      </c>
      <c r="D10" s="221" t="e">
        <f>D83</f>
        <v>#REF!</v>
      </c>
      <c r="E10" s="194" t="e">
        <f>D10</f>
        <v>#REF!</v>
      </c>
      <c r="F10" s="194" t="e">
        <f t="shared" ref="F10:M10" si="2">E10</f>
        <v>#REF!</v>
      </c>
      <c r="G10" s="221" t="e">
        <f t="shared" si="2"/>
        <v>#REF!</v>
      </c>
      <c r="H10" s="194" t="e">
        <f t="shared" si="2"/>
        <v>#REF!</v>
      </c>
      <c r="I10" s="199" t="e">
        <f t="shared" si="2"/>
        <v>#REF!</v>
      </c>
      <c r="J10" s="221" t="e">
        <f t="shared" si="2"/>
        <v>#REF!</v>
      </c>
      <c r="K10" s="194" t="e">
        <f t="shared" si="2"/>
        <v>#REF!</v>
      </c>
      <c r="L10" s="194" t="e">
        <f t="shared" si="2"/>
        <v>#REF!</v>
      </c>
      <c r="M10" s="199" t="e">
        <f t="shared" si="2"/>
        <v>#REF!</v>
      </c>
    </row>
    <row r="11" spans="1:15">
      <c r="A11" s="183" t="s">
        <v>17</v>
      </c>
      <c r="B11" s="66"/>
      <c r="C11" s="453">
        <v>100</v>
      </c>
      <c r="D11" s="465">
        <f>$C$11*(1+$B8)^D$4</f>
        <v>102</v>
      </c>
      <c r="E11" s="372">
        <f t="shared" ref="E11:M11" si="3">$C$11*(1+$B8)^E$4</f>
        <v>104.03999999999999</v>
      </c>
      <c r="F11" s="372">
        <f t="shared" si="3"/>
        <v>106.12079999999999</v>
      </c>
      <c r="G11" s="465">
        <f t="shared" si="3"/>
        <v>108.243216</v>
      </c>
      <c r="H11" s="372">
        <f t="shared" si="3"/>
        <v>110.40808032</v>
      </c>
      <c r="I11" s="438">
        <f t="shared" si="3"/>
        <v>112.61624192640001</v>
      </c>
      <c r="J11" s="465">
        <f t="shared" si="3"/>
        <v>114.86856676492798</v>
      </c>
      <c r="K11" s="372">
        <f t="shared" si="3"/>
        <v>117.16593810022655</v>
      </c>
      <c r="L11" s="372">
        <f t="shared" si="3"/>
        <v>119.50925686223108</v>
      </c>
      <c r="M11" s="438">
        <f t="shared" si="3"/>
        <v>121.89944199947571</v>
      </c>
    </row>
    <row r="12" spans="1:15">
      <c r="A12" s="183" t="s">
        <v>18</v>
      </c>
      <c r="B12" s="66"/>
      <c r="C12" s="228">
        <v>0</v>
      </c>
      <c r="D12" s="278"/>
      <c r="E12" s="117"/>
      <c r="F12" s="117"/>
      <c r="G12" s="278"/>
      <c r="H12" s="117"/>
      <c r="I12" s="229"/>
      <c r="J12" s="278"/>
      <c r="K12" s="117"/>
      <c r="L12" s="117"/>
      <c r="M12" s="229"/>
    </row>
    <row r="13" spans="1:15">
      <c r="A13" s="183" t="s">
        <v>19</v>
      </c>
      <c r="B13" s="66"/>
      <c r="C13" s="228">
        <v>0</v>
      </c>
      <c r="D13" s="278"/>
      <c r="E13" s="117"/>
      <c r="F13" s="117"/>
      <c r="G13" s="278"/>
      <c r="H13" s="117"/>
      <c r="I13" s="229"/>
      <c r="J13" s="278"/>
      <c r="K13" s="117"/>
      <c r="L13" s="117"/>
      <c r="M13" s="229"/>
    </row>
    <row r="14" spans="1:15">
      <c r="A14" s="183" t="s">
        <v>20</v>
      </c>
      <c r="B14" s="66"/>
      <c r="C14" s="473">
        <f>52*2</f>
        <v>104</v>
      </c>
      <c r="D14" s="219"/>
      <c r="E14" s="66"/>
      <c r="F14" s="66"/>
      <c r="G14" s="219"/>
      <c r="H14" s="66"/>
      <c r="I14" s="191"/>
      <c r="J14" s="219"/>
      <c r="K14" s="66"/>
      <c r="L14" s="66"/>
      <c r="M14" s="191"/>
    </row>
    <row r="15" spans="1:15">
      <c r="A15" s="183" t="s">
        <v>21</v>
      </c>
      <c r="B15" s="66"/>
      <c r="C15" s="473">
        <v>24</v>
      </c>
      <c r="D15" s="219"/>
      <c r="E15" s="66"/>
      <c r="F15" s="66"/>
      <c r="G15" s="219"/>
      <c r="H15" s="66"/>
      <c r="I15" s="191"/>
      <c r="J15" s="219"/>
      <c r="K15" s="66"/>
      <c r="L15" s="66"/>
      <c r="M15" s="191"/>
    </row>
    <row r="16" spans="1:15">
      <c r="A16" s="183" t="s">
        <v>22</v>
      </c>
      <c r="B16" s="66"/>
      <c r="C16" s="228">
        <v>0.75</v>
      </c>
      <c r="D16" s="278"/>
      <c r="E16" s="117"/>
      <c r="F16" s="117"/>
      <c r="G16" s="278"/>
      <c r="H16" s="117"/>
      <c r="I16" s="229"/>
      <c r="J16" s="278"/>
      <c r="K16" s="117"/>
      <c r="L16" s="117"/>
      <c r="M16" s="229"/>
    </row>
    <row r="17" spans="1:13">
      <c r="A17" s="183" t="s">
        <v>23</v>
      </c>
      <c r="B17" s="66"/>
      <c r="C17" s="219">
        <f>365-C14</f>
        <v>261</v>
      </c>
      <c r="D17" s="219"/>
      <c r="E17" s="66"/>
      <c r="F17" s="66"/>
      <c r="G17" s="219"/>
      <c r="H17" s="66"/>
      <c r="I17" s="191"/>
      <c r="J17" s="219"/>
      <c r="K17" s="66"/>
      <c r="L17" s="66"/>
      <c r="M17" s="191"/>
    </row>
    <row r="18" spans="1:13">
      <c r="A18" s="183" t="s">
        <v>21</v>
      </c>
      <c r="B18" s="66"/>
      <c r="C18" s="473">
        <v>24</v>
      </c>
      <c r="D18" s="219"/>
      <c r="E18" s="66"/>
      <c r="F18" s="66"/>
      <c r="G18" s="219"/>
      <c r="H18" s="66"/>
      <c r="I18" s="191"/>
      <c r="J18" s="219"/>
      <c r="K18" s="66"/>
      <c r="L18" s="66"/>
      <c r="M18" s="191"/>
    </row>
    <row r="19" spans="1:13">
      <c r="A19" s="183" t="s">
        <v>22</v>
      </c>
      <c r="B19" s="66"/>
      <c r="C19" s="228">
        <v>0.75</v>
      </c>
      <c r="D19" s="278"/>
      <c r="E19" s="117"/>
      <c r="F19" s="117"/>
      <c r="G19" s="278"/>
      <c r="H19" s="117"/>
      <c r="I19" s="229"/>
      <c r="J19" s="278"/>
      <c r="K19" s="117"/>
      <c r="L19" s="117"/>
      <c r="M19" s="229"/>
    </row>
    <row r="20" spans="1:13" s="462" customFormat="1">
      <c r="A20" s="183" t="s">
        <v>24</v>
      </c>
      <c r="B20" s="66"/>
      <c r="C20" s="453">
        <v>0.5</v>
      </c>
      <c r="D20" s="465">
        <f t="shared" ref="D20:M20" si="4">$C$20*(1+$B8)^D$4</f>
        <v>0.51</v>
      </c>
      <c r="E20" s="372">
        <f t="shared" si="4"/>
        <v>0.5202</v>
      </c>
      <c r="F20" s="372">
        <f t="shared" si="4"/>
        <v>0.53060399999999996</v>
      </c>
      <c r="G20" s="465">
        <f t="shared" si="4"/>
        <v>0.54121607999999999</v>
      </c>
      <c r="H20" s="372">
        <f t="shared" si="4"/>
        <v>0.55204040160000001</v>
      </c>
      <c r="I20" s="438">
        <f t="shared" si="4"/>
        <v>0.56308120963200003</v>
      </c>
      <c r="J20" s="465">
        <f t="shared" si="4"/>
        <v>0.57434283382463991</v>
      </c>
      <c r="K20" s="372">
        <f t="shared" si="4"/>
        <v>0.58582969050113276</v>
      </c>
      <c r="L20" s="372">
        <f t="shared" si="4"/>
        <v>0.59754628431115542</v>
      </c>
      <c r="M20" s="438">
        <f t="shared" si="4"/>
        <v>0.60949720999737855</v>
      </c>
    </row>
    <row r="21" spans="1:13" ht="13.5" thickBot="1">
      <c r="A21" s="144" t="s">
        <v>161</v>
      </c>
      <c r="B21" s="69"/>
      <c r="C21" s="474">
        <v>0.25</v>
      </c>
      <c r="D21" s="467">
        <f t="shared" ref="D21:M21" si="5">$C$21*(1+$B8)^D$4</f>
        <v>0.255</v>
      </c>
      <c r="E21" s="466">
        <f t="shared" si="5"/>
        <v>0.2601</v>
      </c>
      <c r="F21" s="466">
        <f t="shared" si="5"/>
        <v>0.26530199999999998</v>
      </c>
      <c r="G21" s="467">
        <f t="shared" si="5"/>
        <v>0.27060803999999999</v>
      </c>
      <c r="H21" s="466">
        <f t="shared" si="5"/>
        <v>0.2760202008</v>
      </c>
      <c r="I21" s="439">
        <f t="shared" si="5"/>
        <v>0.28154060481600002</v>
      </c>
      <c r="J21" s="467">
        <f t="shared" si="5"/>
        <v>0.28717141691231995</v>
      </c>
      <c r="K21" s="466">
        <f t="shared" si="5"/>
        <v>0.29291484525056638</v>
      </c>
      <c r="L21" s="466">
        <f t="shared" si="5"/>
        <v>0.29877314215557771</v>
      </c>
      <c r="M21" s="439">
        <f t="shared" si="5"/>
        <v>0.30474860499868928</v>
      </c>
    </row>
    <row r="22" spans="1:13" hidden="1" outlineLevel="1">
      <c r="A22" s="344" t="s">
        <v>162</v>
      </c>
      <c r="B22" s="213"/>
      <c r="C22" s="256">
        <f>C9*C11*$C13*12</f>
        <v>0</v>
      </c>
      <c r="D22" s="458" t="e">
        <f t="shared" ref="D22:M22" si="6">D9*D11*$C13*12</f>
        <v>#REF!</v>
      </c>
      <c r="E22" s="469" t="e">
        <f t="shared" si="6"/>
        <v>#REF!</v>
      </c>
      <c r="F22" s="469" t="e">
        <f t="shared" si="6"/>
        <v>#REF!</v>
      </c>
      <c r="G22" s="458" t="e">
        <f t="shared" si="6"/>
        <v>#REF!</v>
      </c>
      <c r="H22" s="469" t="e">
        <f t="shared" si="6"/>
        <v>#REF!</v>
      </c>
      <c r="I22" s="470" t="e">
        <f t="shared" si="6"/>
        <v>#REF!</v>
      </c>
      <c r="J22" s="458" t="e">
        <f t="shared" si="6"/>
        <v>#REF!</v>
      </c>
      <c r="K22" s="469" t="e">
        <f t="shared" si="6"/>
        <v>#REF!</v>
      </c>
      <c r="L22" s="469" t="e">
        <f t="shared" si="6"/>
        <v>#REF!</v>
      </c>
      <c r="M22" s="470" t="e">
        <f t="shared" si="6"/>
        <v>#REF!</v>
      </c>
    </row>
    <row r="23" spans="1:13" hidden="1" outlineLevel="1">
      <c r="A23" s="183" t="s">
        <v>163</v>
      </c>
      <c r="B23" s="66"/>
      <c r="C23" s="149">
        <f>(C9*$C14*$C15*$C16*C20)+(C9*$C17*$C18*$C19*C20)</f>
        <v>0</v>
      </c>
      <c r="D23" s="262" t="e">
        <f t="shared" ref="D23:M23" si="7">(D9*$C$14*$C$15*$C$16*D20)+(D9*$C$17*$C$18*$C$19*D20)</f>
        <v>#REF!</v>
      </c>
      <c r="E23" s="241" t="e">
        <f t="shared" si="7"/>
        <v>#REF!</v>
      </c>
      <c r="F23" s="241" t="e">
        <f t="shared" si="7"/>
        <v>#REF!</v>
      </c>
      <c r="G23" s="262" t="e">
        <f t="shared" si="7"/>
        <v>#REF!</v>
      </c>
      <c r="H23" s="241" t="e">
        <f t="shared" si="7"/>
        <v>#REF!</v>
      </c>
      <c r="I23" s="263" t="e">
        <f t="shared" si="7"/>
        <v>#REF!</v>
      </c>
      <c r="J23" s="262" t="e">
        <f t="shared" si="7"/>
        <v>#REF!</v>
      </c>
      <c r="K23" s="241" t="e">
        <f t="shared" si="7"/>
        <v>#REF!</v>
      </c>
      <c r="L23" s="241" t="e">
        <f t="shared" si="7"/>
        <v>#REF!</v>
      </c>
      <c r="M23" s="263" t="e">
        <f t="shared" si="7"/>
        <v>#REF!</v>
      </c>
    </row>
    <row r="24" spans="1:13" ht="13.5" hidden="1" outlineLevel="1" thickBot="1">
      <c r="A24" s="144" t="s">
        <v>158</v>
      </c>
      <c r="B24" s="69"/>
      <c r="C24" s="475">
        <f>C10*C21</f>
        <v>0</v>
      </c>
      <c r="D24" s="454" t="e">
        <f t="shared" ref="D24:M24" si="8">D10*D21</f>
        <v>#REF!</v>
      </c>
      <c r="E24" s="471" t="e">
        <f t="shared" si="8"/>
        <v>#REF!</v>
      </c>
      <c r="F24" s="471" t="e">
        <f t="shared" si="8"/>
        <v>#REF!</v>
      </c>
      <c r="G24" s="454" t="e">
        <f t="shared" si="8"/>
        <v>#REF!</v>
      </c>
      <c r="H24" s="471" t="e">
        <f t="shared" si="8"/>
        <v>#REF!</v>
      </c>
      <c r="I24" s="472" t="e">
        <f t="shared" si="8"/>
        <v>#REF!</v>
      </c>
      <c r="J24" s="454" t="e">
        <f t="shared" si="8"/>
        <v>#REF!</v>
      </c>
      <c r="K24" s="471" t="e">
        <f t="shared" si="8"/>
        <v>#REF!</v>
      </c>
      <c r="L24" s="471" t="e">
        <f t="shared" si="8"/>
        <v>#REF!</v>
      </c>
      <c r="M24" s="472" t="e">
        <f t="shared" si="8"/>
        <v>#REF!</v>
      </c>
    </row>
    <row r="25" spans="1:13" s="288" customFormat="1" collapsed="1">
      <c r="A25" s="64" t="s">
        <v>169</v>
      </c>
      <c r="B25" s="66"/>
      <c r="C25" s="219"/>
      <c r="D25" s="133"/>
      <c r="E25" s="338"/>
      <c r="F25" s="338"/>
      <c r="G25" s="65"/>
      <c r="H25" s="76"/>
      <c r="I25" s="121"/>
      <c r="J25" s="65"/>
      <c r="K25" s="76"/>
      <c r="L25" s="76"/>
      <c r="M25" s="121"/>
    </row>
    <row r="26" spans="1:13">
      <c r="A26" s="65" t="s">
        <v>9</v>
      </c>
      <c r="B26" s="132">
        <v>0.02</v>
      </c>
      <c r="C26" s="305"/>
      <c r="D26" s="65"/>
      <c r="E26" s="76"/>
      <c r="F26" s="76"/>
      <c r="G26" s="65"/>
      <c r="H26" s="76"/>
      <c r="I26" s="121"/>
      <c r="J26" s="65"/>
      <c r="K26" s="76"/>
      <c r="L26" s="76"/>
      <c r="M26" s="121"/>
    </row>
    <row r="27" spans="1:13">
      <c r="A27" s="65" t="s">
        <v>26</v>
      </c>
      <c r="B27" s="66"/>
      <c r="C27" s="342">
        <v>0</v>
      </c>
      <c r="D27" s="221">
        <f t="shared" ref="D27:F28" si="9">C27</f>
        <v>0</v>
      </c>
      <c r="E27" s="194">
        <f t="shared" si="9"/>
        <v>0</v>
      </c>
      <c r="F27" s="194">
        <f t="shared" si="9"/>
        <v>0</v>
      </c>
      <c r="G27" s="221">
        <f t="shared" ref="G27:M28" si="10">F27</f>
        <v>0</v>
      </c>
      <c r="H27" s="194" t="e">
        <f>C84</f>
        <v>#REF!</v>
      </c>
      <c r="I27" s="199" t="e">
        <f t="shared" si="10"/>
        <v>#REF!</v>
      </c>
      <c r="J27" s="221" t="e">
        <f t="shared" si="10"/>
        <v>#REF!</v>
      </c>
      <c r="K27" s="194" t="e">
        <f t="shared" si="10"/>
        <v>#REF!</v>
      </c>
      <c r="L27" s="194" t="e">
        <f t="shared" si="10"/>
        <v>#REF!</v>
      </c>
      <c r="M27" s="199" t="e">
        <f t="shared" si="10"/>
        <v>#REF!</v>
      </c>
    </row>
    <row r="28" spans="1:13">
      <c r="A28" s="65" t="s">
        <v>80</v>
      </c>
      <c r="B28" s="66"/>
      <c r="C28" s="342">
        <v>0</v>
      </c>
      <c r="D28" s="221">
        <f t="shared" si="9"/>
        <v>0</v>
      </c>
      <c r="E28" s="194">
        <f t="shared" si="9"/>
        <v>0</v>
      </c>
      <c r="F28" s="194">
        <f t="shared" si="9"/>
        <v>0</v>
      </c>
      <c r="G28" s="221">
        <f t="shared" si="10"/>
        <v>0</v>
      </c>
      <c r="H28" s="194" t="e">
        <f>D84</f>
        <v>#REF!</v>
      </c>
      <c r="I28" s="199" t="e">
        <f t="shared" si="10"/>
        <v>#REF!</v>
      </c>
      <c r="J28" s="221" t="e">
        <f t="shared" si="10"/>
        <v>#REF!</v>
      </c>
      <c r="K28" s="194" t="e">
        <f t="shared" si="10"/>
        <v>#REF!</v>
      </c>
      <c r="L28" s="194" t="e">
        <f t="shared" si="10"/>
        <v>#REF!</v>
      </c>
      <c r="M28" s="199" t="e">
        <f t="shared" si="10"/>
        <v>#REF!</v>
      </c>
    </row>
    <row r="29" spans="1:13">
      <c r="A29" s="183" t="s">
        <v>17</v>
      </c>
      <c r="B29" s="66"/>
      <c r="C29" s="390">
        <f>C11</f>
        <v>100</v>
      </c>
      <c r="D29" s="465">
        <f t="shared" ref="D29:M29" si="11">D11</f>
        <v>102</v>
      </c>
      <c r="E29" s="372">
        <f t="shared" si="11"/>
        <v>104.03999999999999</v>
      </c>
      <c r="F29" s="372">
        <f t="shared" si="11"/>
        <v>106.12079999999999</v>
      </c>
      <c r="G29" s="465">
        <f t="shared" si="11"/>
        <v>108.243216</v>
      </c>
      <c r="H29" s="372">
        <f t="shared" si="11"/>
        <v>110.40808032</v>
      </c>
      <c r="I29" s="438">
        <f t="shared" si="11"/>
        <v>112.61624192640001</v>
      </c>
      <c r="J29" s="465">
        <f t="shared" si="11"/>
        <v>114.86856676492798</v>
      </c>
      <c r="K29" s="372">
        <f t="shared" si="11"/>
        <v>117.16593810022655</v>
      </c>
      <c r="L29" s="372">
        <f t="shared" si="11"/>
        <v>119.50925686223108</v>
      </c>
      <c r="M29" s="438">
        <f t="shared" si="11"/>
        <v>121.89944199947571</v>
      </c>
    </row>
    <row r="30" spans="1:13">
      <c r="A30" s="183" t="s">
        <v>18</v>
      </c>
      <c r="B30" s="66"/>
      <c r="C30" s="228">
        <v>0</v>
      </c>
      <c r="D30" s="278"/>
      <c r="E30" s="117"/>
      <c r="F30" s="117"/>
      <c r="G30" s="278"/>
      <c r="H30" s="117"/>
      <c r="I30" s="229"/>
      <c r="J30" s="278"/>
      <c r="K30" s="117"/>
      <c r="L30" s="117"/>
      <c r="M30" s="229"/>
    </row>
    <row r="31" spans="1:13">
      <c r="A31" s="183" t="s">
        <v>19</v>
      </c>
      <c r="B31" s="66"/>
      <c r="C31" s="228">
        <v>0</v>
      </c>
      <c r="D31" s="278"/>
      <c r="E31" s="117"/>
      <c r="F31" s="117"/>
      <c r="G31" s="278"/>
      <c r="H31" s="117"/>
      <c r="I31" s="229"/>
      <c r="J31" s="278"/>
      <c r="K31" s="117"/>
      <c r="L31" s="117"/>
      <c r="M31" s="229"/>
    </row>
    <row r="32" spans="1:13">
      <c r="A32" s="183" t="s">
        <v>20</v>
      </c>
      <c r="B32" s="66"/>
      <c r="C32" s="473">
        <f>52*2</f>
        <v>104</v>
      </c>
      <c r="D32" s="219"/>
      <c r="E32" s="66"/>
      <c r="F32" s="66"/>
      <c r="G32" s="219"/>
      <c r="H32" s="66"/>
      <c r="I32" s="191"/>
      <c r="J32" s="219"/>
      <c r="K32" s="66"/>
      <c r="L32" s="66"/>
      <c r="M32" s="191"/>
    </row>
    <row r="33" spans="1:13">
      <c r="A33" s="183" t="s">
        <v>21</v>
      </c>
      <c r="B33" s="66"/>
      <c r="C33" s="473">
        <v>24</v>
      </c>
      <c r="D33" s="219"/>
      <c r="E33" s="66"/>
      <c r="F33" s="66"/>
      <c r="G33" s="219"/>
      <c r="H33" s="66"/>
      <c r="I33" s="191"/>
      <c r="J33" s="219"/>
      <c r="K33" s="66"/>
      <c r="L33" s="66"/>
      <c r="M33" s="191"/>
    </row>
    <row r="34" spans="1:13">
      <c r="A34" s="183" t="s">
        <v>22</v>
      </c>
      <c r="B34" s="66"/>
      <c r="C34" s="228">
        <v>0.75</v>
      </c>
      <c r="D34" s="278"/>
      <c r="E34" s="117"/>
      <c r="F34" s="117"/>
      <c r="G34" s="278"/>
      <c r="H34" s="117"/>
      <c r="I34" s="229"/>
      <c r="J34" s="278"/>
      <c r="K34" s="117"/>
      <c r="L34" s="117"/>
      <c r="M34" s="229"/>
    </row>
    <row r="35" spans="1:13">
      <c r="A35" s="183" t="s">
        <v>23</v>
      </c>
      <c r="B35" s="66"/>
      <c r="C35" s="219">
        <f>365-C32</f>
        <v>261</v>
      </c>
      <c r="D35" s="219"/>
      <c r="E35" s="66"/>
      <c r="F35" s="66"/>
      <c r="G35" s="219"/>
      <c r="H35" s="66"/>
      <c r="I35" s="191"/>
      <c r="J35" s="219"/>
      <c r="K35" s="66"/>
      <c r="L35" s="66"/>
      <c r="M35" s="191"/>
    </row>
    <row r="36" spans="1:13">
      <c r="A36" s="183" t="s">
        <v>21</v>
      </c>
      <c r="B36" s="66"/>
      <c r="C36" s="473">
        <v>24</v>
      </c>
      <c r="D36" s="219"/>
      <c r="E36" s="66"/>
      <c r="F36" s="66"/>
      <c r="G36" s="219"/>
      <c r="H36" s="66"/>
      <c r="I36" s="191"/>
      <c r="J36" s="219"/>
      <c r="K36" s="66"/>
      <c r="L36" s="66"/>
      <c r="M36" s="191"/>
    </row>
    <row r="37" spans="1:13">
      <c r="A37" s="183" t="s">
        <v>22</v>
      </c>
      <c r="B37" s="66"/>
      <c r="C37" s="228">
        <v>0.75</v>
      </c>
      <c r="D37" s="278"/>
      <c r="E37" s="117"/>
      <c r="F37" s="117"/>
      <c r="G37" s="278"/>
      <c r="H37" s="117"/>
      <c r="I37" s="229"/>
      <c r="J37" s="278"/>
      <c r="K37" s="117"/>
      <c r="L37" s="117"/>
      <c r="M37" s="229"/>
    </row>
    <row r="38" spans="1:13" s="462" customFormat="1">
      <c r="A38" s="183" t="s">
        <v>24</v>
      </c>
      <c r="B38" s="66"/>
      <c r="C38" s="453">
        <v>0.5</v>
      </c>
      <c r="D38" s="465">
        <f t="shared" ref="D38:M38" si="12">$C$20*(1+$B26)^D$4</f>
        <v>0.51</v>
      </c>
      <c r="E38" s="372">
        <f t="shared" si="12"/>
        <v>0.5202</v>
      </c>
      <c r="F38" s="372">
        <f t="shared" si="12"/>
        <v>0.53060399999999996</v>
      </c>
      <c r="G38" s="465">
        <f t="shared" si="12"/>
        <v>0.54121607999999999</v>
      </c>
      <c r="H38" s="372">
        <f t="shared" si="12"/>
        <v>0.55204040160000001</v>
      </c>
      <c r="I38" s="438">
        <f t="shared" si="12"/>
        <v>0.56308120963200003</v>
      </c>
      <c r="J38" s="465">
        <f t="shared" si="12"/>
        <v>0.57434283382463991</v>
      </c>
      <c r="K38" s="372">
        <f t="shared" si="12"/>
        <v>0.58582969050113276</v>
      </c>
      <c r="L38" s="372">
        <f t="shared" si="12"/>
        <v>0.59754628431115542</v>
      </c>
      <c r="M38" s="438">
        <f t="shared" si="12"/>
        <v>0.60949720999737855</v>
      </c>
    </row>
    <row r="39" spans="1:13" ht="13.5" thickBot="1">
      <c r="A39" s="144" t="s">
        <v>161</v>
      </c>
      <c r="B39" s="69"/>
      <c r="C39" s="474">
        <v>0.25</v>
      </c>
      <c r="D39" s="467">
        <f t="shared" ref="D39:M39" si="13">$C$21*(1+$B26)^D$4</f>
        <v>0.255</v>
      </c>
      <c r="E39" s="466">
        <f t="shared" si="13"/>
        <v>0.2601</v>
      </c>
      <c r="F39" s="466">
        <f t="shared" si="13"/>
        <v>0.26530199999999998</v>
      </c>
      <c r="G39" s="467">
        <f t="shared" si="13"/>
        <v>0.27060803999999999</v>
      </c>
      <c r="H39" s="466">
        <f t="shared" si="13"/>
        <v>0.2760202008</v>
      </c>
      <c r="I39" s="439">
        <f t="shared" si="13"/>
        <v>0.28154060481600002</v>
      </c>
      <c r="J39" s="467">
        <f t="shared" si="13"/>
        <v>0.28717141691231995</v>
      </c>
      <c r="K39" s="466">
        <f t="shared" si="13"/>
        <v>0.29291484525056638</v>
      </c>
      <c r="L39" s="466">
        <f t="shared" si="13"/>
        <v>0.29877314215557771</v>
      </c>
      <c r="M39" s="439">
        <f t="shared" si="13"/>
        <v>0.30474860499868928</v>
      </c>
    </row>
    <row r="40" spans="1:13" hidden="1" outlineLevel="1">
      <c r="A40" s="344" t="s">
        <v>162</v>
      </c>
      <c r="B40" s="213"/>
      <c r="C40" s="256">
        <f>C27*C29*$C31*12</f>
        <v>0</v>
      </c>
      <c r="D40" s="458">
        <f t="shared" ref="D40:M40" si="14">D27*D29*$C31*12</f>
        <v>0</v>
      </c>
      <c r="E40" s="469">
        <f t="shared" si="14"/>
        <v>0</v>
      </c>
      <c r="F40" s="469">
        <f t="shared" si="14"/>
        <v>0</v>
      </c>
      <c r="G40" s="458">
        <f t="shared" si="14"/>
        <v>0</v>
      </c>
      <c r="H40" s="469" t="e">
        <f t="shared" si="14"/>
        <v>#REF!</v>
      </c>
      <c r="I40" s="470" t="e">
        <f t="shared" si="14"/>
        <v>#REF!</v>
      </c>
      <c r="J40" s="458" t="e">
        <f t="shared" si="14"/>
        <v>#REF!</v>
      </c>
      <c r="K40" s="469" t="e">
        <f t="shared" si="14"/>
        <v>#REF!</v>
      </c>
      <c r="L40" s="469" t="e">
        <f t="shared" si="14"/>
        <v>#REF!</v>
      </c>
      <c r="M40" s="470" t="e">
        <f t="shared" si="14"/>
        <v>#REF!</v>
      </c>
    </row>
    <row r="41" spans="1:13" hidden="1" outlineLevel="1">
      <c r="A41" s="183" t="s">
        <v>163</v>
      </c>
      <c r="B41" s="66"/>
      <c r="C41" s="149">
        <f>(C27*$C32*$C33*$C34*C38)+(C27*$C35*$C36*$C37*C38)</f>
        <v>0</v>
      </c>
      <c r="D41" s="262">
        <f t="shared" ref="D41:M41" si="15">(D27*$C32*$C33*$C34*D38)+(D27*$C35*$C36*$C37*D38)</f>
        <v>0</v>
      </c>
      <c r="E41" s="241">
        <f t="shared" si="15"/>
        <v>0</v>
      </c>
      <c r="F41" s="241">
        <f t="shared" si="15"/>
        <v>0</v>
      </c>
      <c r="G41" s="262">
        <f t="shared" si="15"/>
        <v>0</v>
      </c>
      <c r="H41" s="241" t="e">
        <f t="shared" si="15"/>
        <v>#REF!</v>
      </c>
      <c r="I41" s="263" t="e">
        <f t="shared" si="15"/>
        <v>#REF!</v>
      </c>
      <c r="J41" s="262" t="e">
        <f t="shared" si="15"/>
        <v>#REF!</v>
      </c>
      <c r="K41" s="241" t="e">
        <f t="shared" si="15"/>
        <v>#REF!</v>
      </c>
      <c r="L41" s="241" t="e">
        <f t="shared" si="15"/>
        <v>#REF!</v>
      </c>
      <c r="M41" s="263" t="e">
        <f t="shared" si="15"/>
        <v>#REF!</v>
      </c>
    </row>
    <row r="42" spans="1:13" ht="13.5" hidden="1" outlineLevel="1" thickBot="1">
      <c r="A42" s="144" t="s">
        <v>158</v>
      </c>
      <c r="B42" s="69"/>
      <c r="C42" s="475">
        <f>C28*C39</f>
        <v>0</v>
      </c>
      <c r="D42" s="454">
        <f t="shared" ref="D42:M42" si="16">D28*D39</f>
        <v>0</v>
      </c>
      <c r="E42" s="471">
        <f t="shared" si="16"/>
        <v>0</v>
      </c>
      <c r="F42" s="471">
        <f t="shared" si="16"/>
        <v>0</v>
      </c>
      <c r="G42" s="454">
        <f t="shared" si="16"/>
        <v>0</v>
      </c>
      <c r="H42" s="471" t="e">
        <f t="shared" si="16"/>
        <v>#REF!</v>
      </c>
      <c r="I42" s="472" t="e">
        <f t="shared" si="16"/>
        <v>#REF!</v>
      </c>
      <c r="J42" s="454" t="e">
        <f t="shared" si="16"/>
        <v>#REF!</v>
      </c>
      <c r="K42" s="471" t="e">
        <f t="shared" si="16"/>
        <v>#REF!</v>
      </c>
      <c r="L42" s="471" t="e">
        <f t="shared" si="16"/>
        <v>#REF!</v>
      </c>
      <c r="M42" s="472" t="e">
        <f t="shared" si="16"/>
        <v>#REF!</v>
      </c>
    </row>
    <row r="43" spans="1:13" s="288" customFormat="1" collapsed="1">
      <c r="A43" s="64" t="s">
        <v>170</v>
      </c>
      <c r="B43" s="66"/>
      <c r="C43" s="219"/>
      <c r="D43" s="133"/>
      <c r="E43" s="338"/>
      <c r="F43" s="338"/>
      <c r="G43" s="65"/>
      <c r="H43" s="76"/>
      <c r="I43" s="121"/>
      <c r="J43" s="65"/>
      <c r="K43" s="76"/>
      <c r="L43" s="76"/>
      <c r="M43" s="121"/>
    </row>
    <row r="44" spans="1:13">
      <c r="A44" s="65" t="s">
        <v>9</v>
      </c>
      <c r="B44" s="132">
        <v>0.02</v>
      </c>
      <c r="C44" s="305"/>
      <c r="D44" s="65"/>
      <c r="E44" s="76"/>
      <c r="F44" s="76"/>
      <c r="G44" s="65"/>
      <c r="H44" s="76"/>
      <c r="I44" s="121"/>
      <c r="J44" s="65"/>
      <c r="K44" s="76"/>
      <c r="L44" s="76"/>
      <c r="M44" s="121"/>
    </row>
    <row r="45" spans="1:13">
      <c r="A45" s="65" t="s">
        <v>26</v>
      </c>
      <c r="B45" s="66"/>
      <c r="C45" s="342">
        <v>0</v>
      </c>
      <c r="D45" s="221">
        <f t="shared" ref="D45:F46" si="17">C45</f>
        <v>0</v>
      </c>
      <c r="E45" s="194">
        <f t="shared" si="17"/>
        <v>0</v>
      </c>
      <c r="F45" s="194">
        <f t="shared" si="17"/>
        <v>0</v>
      </c>
      <c r="G45" s="221">
        <f t="shared" ref="G45:M46" si="18">F45</f>
        <v>0</v>
      </c>
      <c r="H45" s="194">
        <f t="shared" si="18"/>
        <v>0</v>
      </c>
      <c r="I45" s="199" t="e">
        <f>C85</f>
        <v>#REF!</v>
      </c>
      <c r="J45" s="221" t="e">
        <f t="shared" si="18"/>
        <v>#REF!</v>
      </c>
      <c r="K45" s="194" t="e">
        <f t="shared" si="18"/>
        <v>#REF!</v>
      </c>
      <c r="L45" s="194" t="e">
        <f t="shared" si="18"/>
        <v>#REF!</v>
      </c>
      <c r="M45" s="199" t="e">
        <f t="shared" si="18"/>
        <v>#REF!</v>
      </c>
    </row>
    <row r="46" spans="1:13">
      <c r="A46" s="65" t="s">
        <v>80</v>
      </c>
      <c r="B46" s="66"/>
      <c r="C46" s="342">
        <v>0</v>
      </c>
      <c r="D46" s="221">
        <f t="shared" si="17"/>
        <v>0</v>
      </c>
      <c r="E46" s="194">
        <f t="shared" si="17"/>
        <v>0</v>
      </c>
      <c r="F46" s="194">
        <f t="shared" si="17"/>
        <v>0</v>
      </c>
      <c r="G46" s="221">
        <f t="shared" si="18"/>
        <v>0</v>
      </c>
      <c r="H46" s="194">
        <f t="shared" si="18"/>
        <v>0</v>
      </c>
      <c r="I46" s="199" t="e">
        <f>D85</f>
        <v>#REF!</v>
      </c>
      <c r="J46" s="221" t="e">
        <f t="shared" si="18"/>
        <v>#REF!</v>
      </c>
      <c r="K46" s="194" t="e">
        <f t="shared" si="18"/>
        <v>#REF!</v>
      </c>
      <c r="L46" s="194" t="e">
        <f t="shared" si="18"/>
        <v>#REF!</v>
      </c>
      <c r="M46" s="199" t="e">
        <f t="shared" si="18"/>
        <v>#REF!</v>
      </c>
    </row>
    <row r="47" spans="1:13">
      <c r="A47" s="183" t="s">
        <v>17</v>
      </c>
      <c r="B47" s="66"/>
      <c r="C47" s="390">
        <f>C29</f>
        <v>100</v>
      </c>
      <c r="D47" s="465">
        <f t="shared" ref="D47:M47" si="19">D29</f>
        <v>102</v>
      </c>
      <c r="E47" s="372">
        <f t="shared" si="19"/>
        <v>104.03999999999999</v>
      </c>
      <c r="F47" s="372">
        <f t="shared" si="19"/>
        <v>106.12079999999999</v>
      </c>
      <c r="G47" s="465">
        <f t="shared" si="19"/>
        <v>108.243216</v>
      </c>
      <c r="H47" s="372">
        <f t="shared" si="19"/>
        <v>110.40808032</v>
      </c>
      <c r="I47" s="438">
        <f t="shared" si="19"/>
        <v>112.61624192640001</v>
      </c>
      <c r="J47" s="465">
        <f t="shared" si="19"/>
        <v>114.86856676492798</v>
      </c>
      <c r="K47" s="372">
        <f t="shared" si="19"/>
        <v>117.16593810022655</v>
      </c>
      <c r="L47" s="372">
        <f t="shared" si="19"/>
        <v>119.50925686223108</v>
      </c>
      <c r="M47" s="438">
        <f t="shared" si="19"/>
        <v>121.89944199947571</v>
      </c>
    </row>
    <row r="48" spans="1:13">
      <c r="A48" s="183" t="s">
        <v>18</v>
      </c>
      <c r="B48" s="66"/>
      <c r="C48" s="228">
        <v>0</v>
      </c>
      <c r="D48" s="278"/>
      <c r="E48" s="117"/>
      <c r="F48" s="117"/>
      <c r="G48" s="278"/>
      <c r="H48" s="117"/>
      <c r="I48" s="229"/>
      <c r="J48" s="278"/>
      <c r="K48" s="117"/>
      <c r="L48" s="117"/>
      <c r="M48" s="229"/>
    </row>
    <row r="49" spans="1:13">
      <c r="A49" s="183" t="s">
        <v>19</v>
      </c>
      <c r="B49" s="66"/>
      <c r="C49" s="228">
        <v>0</v>
      </c>
      <c r="D49" s="278"/>
      <c r="E49" s="117"/>
      <c r="F49" s="117"/>
      <c r="G49" s="278"/>
      <c r="H49" s="117"/>
      <c r="I49" s="229"/>
      <c r="J49" s="278"/>
      <c r="K49" s="117"/>
      <c r="L49" s="117"/>
      <c r="M49" s="229"/>
    </row>
    <row r="50" spans="1:13">
      <c r="A50" s="183" t="s">
        <v>20</v>
      </c>
      <c r="B50" s="66"/>
      <c r="C50" s="473">
        <f>52*2</f>
        <v>104</v>
      </c>
      <c r="D50" s="219"/>
      <c r="E50" s="66"/>
      <c r="F50" s="66"/>
      <c r="G50" s="219"/>
      <c r="H50" s="66"/>
      <c r="I50" s="191"/>
      <c r="J50" s="219"/>
      <c r="K50" s="66"/>
      <c r="L50" s="66"/>
      <c r="M50" s="191"/>
    </row>
    <row r="51" spans="1:13">
      <c r="A51" s="183" t="s">
        <v>21</v>
      </c>
      <c r="B51" s="66"/>
      <c r="C51" s="473">
        <v>24</v>
      </c>
      <c r="D51" s="219"/>
      <c r="E51" s="66"/>
      <c r="F51" s="66"/>
      <c r="G51" s="219"/>
      <c r="H51" s="66"/>
      <c r="I51" s="191"/>
      <c r="J51" s="219"/>
      <c r="K51" s="66"/>
      <c r="L51" s="66"/>
      <c r="M51" s="191"/>
    </row>
    <row r="52" spans="1:13">
      <c r="A52" s="183" t="s">
        <v>22</v>
      </c>
      <c r="B52" s="66"/>
      <c r="C52" s="228">
        <v>0.75</v>
      </c>
      <c r="D52" s="278"/>
      <c r="E52" s="117"/>
      <c r="F52" s="117"/>
      <c r="G52" s="278"/>
      <c r="H52" s="117"/>
      <c r="I52" s="229"/>
      <c r="J52" s="278"/>
      <c r="K52" s="117"/>
      <c r="L52" s="117"/>
      <c r="M52" s="229"/>
    </row>
    <row r="53" spans="1:13">
      <c r="A53" s="183" t="s">
        <v>23</v>
      </c>
      <c r="B53" s="66"/>
      <c r="C53" s="219">
        <f>365-C50</f>
        <v>261</v>
      </c>
      <c r="D53" s="219"/>
      <c r="E53" s="66"/>
      <c r="F53" s="66"/>
      <c r="G53" s="219"/>
      <c r="H53" s="66"/>
      <c r="I53" s="191"/>
      <c r="J53" s="219"/>
      <c r="K53" s="66"/>
      <c r="L53" s="66"/>
      <c r="M53" s="191"/>
    </row>
    <row r="54" spans="1:13">
      <c r="A54" s="183" t="s">
        <v>21</v>
      </c>
      <c r="B54" s="66"/>
      <c r="C54" s="473">
        <v>24</v>
      </c>
      <c r="D54" s="390"/>
      <c r="E54" s="66"/>
      <c r="F54" s="66"/>
      <c r="G54" s="219"/>
      <c r="H54" s="66"/>
      <c r="I54" s="191"/>
      <c r="J54" s="219"/>
      <c r="K54" s="66"/>
      <c r="L54" s="66"/>
      <c r="M54" s="191"/>
    </row>
    <row r="55" spans="1:13">
      <c r="A55" s="183" t="s">
        <v>22</v>
      </c>
      <c r="B55" s="66"/>
      <c r="C55" s="228">
        <v>0.75</v>
      </c>
      <c r="D55" s="278"/>
      <c r="E55" s="117"/>
      <c r="F55" s="117"/>
      <c r="G55" s="278"/>
      <c r="H55" s="117"/>
      <c r="I55" s="229"/>
      <c r="J55" s="278"/>
      <c r="K55" s="117"/>
      <c r="L55" s="117"/>
      <c r="M55" s="229"/>
    </row>
    <row r="56" spans="1:13" s="462" customFormat="1">
      <c r="A56" s="183" t="s">
        <v>24</v>
      </c>
      <c r="B56" s="66"/>
      <c r="C56" s="453">
        <v>0.5</v>
      </c>
      <c r="D56" s="465">
        <f t="shared" ref="D56:M56" si="20">$C$20*(1+$B44)^D$4</f>
        <v>0.51</v>
      </c>
      <c r="E56" s="372">
        <f t="shared" si="20"/>
        <v>0.5202</v>
      </c>
      <c r="F56" s="372">
        <f t="shared" si="20"/>
        <v>0.53060399999999996</v>
      </c>
      <c r="G56" s="465">
        <f t="shared" si="20"/>
        <v>0.54121607999999999</v>
      </c>
      <c r="H56" s="372">
        <f t="shared" si="20"/>
        <v>0.55204040160000001</v>
      </c>
      <c r="I56" s="438">
        <f t="shared" si="20"/>
        <v>0.56308120963200003</v>
      </c>
      <c r="J56" s="465">
        <f t="shared" si="20"/>
        <v>0.57434283382463991</v>
      </c>
      <c r="K56" s="372">
        <f t="shared" si="20"/>
        <v>0.58582969050113276</v>
      </c>
      <c r="L56" s="372">
        <f t="shared" si="20"/>
        <v>0.59754628431115542</v>
      </c>
      <c r="M56" s="438">
        <f t="shared" si="20"/>
        <v>0.60949720999737855</v>
      </c>
    </row>
    <row r="57" spans="1:13" ht="13.5" thickBot="1">
      <c r="A57" s="144" t="s">
        <v>161</v>
      </c>
      <c r="B57" s="69"/>
      <c r="C57" s="474">
        <v>0.25</v>
      </c>
      <c r="D57" s="467">
        <f t="shared" ref="D57:M57" si="21">$C$21*(1+$B44)^D$4</f>
        <v>0.255</v>
      </c>
      <c r="E57" s="466">
        <f t="shared" si="21"/>
        <v>0.2601</v>
      </c>
      <c r="F57" s="466">
        <f t="shared" si="21"/>
        <v>0.26530199999999998</v>
      </c>
      <c r="G57" s="467">
        <f t="shared" si="21"/>
        <v>0.27060803999999999</v>
      </c>
      <c r="H57" s="466">
        <f t="shared" si="21"/>
        <v>0.2760202008</v>
      </c>
      <c r="I57" s="439">
        <f t="shared" si="21"/>
        <v>0.28154060481600002</v>
      </c>
      <c r="J57" s="467">
        <f t="shared" si="21"/>
        <v>0.28717141691231995</v>
      </c>
      <c r="K57" s="466">
        <f t="shared" si="21"/>
        <v>0.29291484525056638</v>
      </c>
      <c r="L57" s="466">
        <f t="shared" si="21"/>
        <v>0.29877314215557771</v>
      </c>
      <c r="M57" s="439">
        <f t="shared" si="21"/>
        <v>0.30474860499868928</v>
      </c>
    </row>
    <row r="58" spans="1:13" hidden="1" outlineLevel="1">
      <c r="A58" s="344" t="s">
        <v>162</v>
      </c>
      <c r="B58" s="213"/>
      <c r="C58" s="256">
        <f>C45*C47*$C49*12</f>
        <v>0</v>
      </c>
      <c r="D58" s="458">
        <f t="shared" ref="D58:M58" si="22">D45*D47*$C49*12</f>
        <v>0</v>
      </c>
      <c r="E58" s="469">
        <f t="shared" si="22"/>
        <v>0</v>
      </c>
      <c r="F58" s="469">
        <f t="shared" si="22"/>
        <v>0</v>
      </c>
      <c r="G58" s="458">
        <f t="shared" si="22"/>
        <v>0</v>
      </c>
      <c r="H58" s="469">
        <f t="shared" si="22"/>
        <v>0</v>
      </c>
      <c r="I58" s="470" t="e">
        <f t="shared" si="22"/>
        <v>#REF!</v>
      </c>
      <c r="J58" s="458" t="e">
        <f t="shared" si="22"/>
        <v>#REF!</v>
      </c>
      <c r="K58" s="469" t="e">
        <f t="shared" si="22"/>
        <v>#REF!</v>
      </c>
      <c r="L58" s="469" t="e">
        <f t="shared" si="22"/>
        <v>#REF!</v>
      </c>
      <c r="M58" s="470" t="e">
        <f t="shared" si="22"/>
        <v>#REF!</v>
      </c>
    </row>
    <row r="59" spans="1:13" hidden="1" outlineLevel="1">
      <c r="A59" s="183" t="s">
        <v>163</v>
      </c>
      <c r="B59" s="66"/>
      <c r="C59" s="149">
        <f>(C45*$C50*$C51*$C52*C56)+(C45*$C53*$C54*$C55*C56)</f>
        <v>0</v>
      </c>
      <c r="D59" s="262">
        <f t="shared" ref="D59:M59" si="23">(D45*$C50*$C51*$C52*D56)+(D45*$C53*$C54*$C55*D56)</f>
        <v>0</v>
      </c>
      <c r="E59" s="241">
        <f t="shared" si="23"/>
        <v>0</v>
      </c>
      <c r="F59" s="241">
        <f t="shared" si="23"/>
        <v>0</v>
      </c>
      <c r="G59" s="262">
        <f t="shared" si="23"/>
        <v>0</v>
      </c>
      <c r="H59" s="241">
        <f t="shared" si="23"/>
        <v>0</v>
      </c>
      <c r="I59" s="263" t="e">
        <f t="shared" si="23"/>
        <v>#REF!</v>
      </c>
      <c r="J59" s="262" t="e">
        <f t="shared" si="23"/>
        <v>#REF!</v>
      </c>
      <c r="K59" s="241" t="e">
        <f t="shared" si="23"/>
        <v>#REF!</v>
      </c>
      <c r="L59" s="241" t="e">
        <f t="shared" si="23"/>
        <v>#REF!</v>
      </c>
      <c r="M59" s="263" t="e">
        <f t="shared" si="23"/>
        <v>#REF!</v>
      </c>
    </row>
    <row r="60" spans="1:13" ht="13.5" hidden="1" outlineLevel="1" thickBot="1">
      <c r="A60" s="144" t="s">
        <v>158</v>
      </c>
      <c r="B60" s="69"/>
      <c r="C60" s="475">
        <f>C46*C57</f>
        <v>0</v>
      </c>
      <c r="D60" s="454">
        <f t="shared" ref="D60:M60" si="24">D46*D57</f>
        <v>0</v>
      </c>
      <c r="E60" s="471">
        <f t="shared" si="24"/>
        <v>0</v>
      </c>
      <c r="F60" s="471">
        <f t="shared" si="24"/>
        <v>0</v>
      </c>
      <c r="G60" s="454">
        <f t="shared" si="24"/>
        <v>0</v>
      </c>
      <c r="H60" s="471">
        <f t="shared" si="24"/>
        <v>0</v>
      </c>
      <c r="I60" s="472" t="e">
        <f t="shared" si="24"/>
        <v>#REF!</v>
      </c>
      <c r="J60" s="454" t="e">
        <f t="shared" si="24"/>
        <v>#REF!</v>
      </c>
      <c r="K60" s="471" t="e">
        <f t="shared" si="24"/>
        <v>#REF!</v>
      </c>
      <c r="L60" s="471" t="e">
        <f t="shared" si="24"/>
        <v>#REF!</v>
      </c>
      <c r="M60" s="472" t="e">
        <f t="shared" si="24"/>
        <v>#REF!</v>
      </c>
    </row>
    <row r="61" spans="1:13" s="288" customFormat="1" ht="13.5" collapsed="1" thickBot="1">
      <c r="A61" s="208" t="s">
        <v>0</v>
      </c>
      <c r="B61" s="205"/>
      <c r="C61" s="214"/>
      <c r="D61" s="255"/>
      <c r="E61" s="211"/>
      <c r="F61" s="212"/>
      <c r="G61" s="255"/>
      <c r="H61" s="211"/>
      <c r="I61" s="212"/>
      <c r="J61" s="255"/>
      <c r="K61" s="211"/>
      <c r="L61" s="211"/>
      <c r="M61" s="212"/>
    </row>
    <row r="62" spans="1:13" s="288" customFormat="1">
      <c r="A62" s="344" t="s">
        <v>162</v>
      </c>
      <c r="B62" s="66"/>
      <c r="C62" s="148">
        <f>SUM(C22,C40,C58)</f>
        <v>0</v>
      </c>
      <c r="D62" s="476" t="e">
        <f t="shared" ref="D62:M62" si="25">SUM(D22,D40,D58)</f>
        <v>#REF!</v>
      </c>
      <c r="E62" s="477" t="e">
        <f t="shared" si="25"/>
        <v>#REF!</v>
      </c>
      <c r="F62" s="478" t="e">
        <f t="shared" si="25"/>
        <v>#REF!</v>
      </c>
      <c r="G62" s="476" t="e">
        <f t="shared" si="25"/>
        <v>#REF!</v>
      </c>
      <c r="H62" s="477" t="e">
        <f t="shared" si="25"/>
        <v>#REF!</v>
      </c>
      <c r="I62" s="478" t="e">
        <f t="shared" si="25"/>
        <v>#REF!</v>
      </c>
      <c r="J62" s="476" t="e">
        <f t="shared" si="25"/>
        <v>#REF!</v>
      </c>
      <c r="K62" s="477" t="e">
        <f t="shared" si="25"/>
        <v>#REF!</v>
      </c>
      <c r="L62" s="477" t="e">
        <f t="shared" si="25"/>
        <v>#REF!</v>
      </c>
      <c r="M62" s="478" t="e">
        <f t="shared" si="25"/>
        <v>#REF!</v>
      </c>
    </row>
    <row r="63" spans="1:13" s="288" customFormat="1">
      <c r="A63" s="183" t="s">
        <v>163</v>
      </c>
      <c r="B63" s="66"/>
      <c r="C63" s="149">
        <f>SUM(C23,C41,C59)</f>
        <v>0</v>
      </c>
      <c r="D63" s="150" t="e">
        <f t="shared" ref="D63:M63" si="26">SUM(D23,D41,D59)</f>
        <v>#REF!</v>
      </c>
      <c r="E63" s="151" t="e">
        <f t="shared" si="26"/>
        <v>#REF!</v>
      </c>
      <c r="F63" s="152" t="e">
        <f t="shared" si="26"/>
        <v>#REF!</v>
      </c>
      <c r="G63" s="150" t="e">
        <f t="shared" si="26"/>
        <v>#REF!</v>
      </c>
      <c r="H63" s="151" t="e">
        <f t="shared" si="26"/>
        <v>#REF!</v>
      </c>
      <c r="I63" s="152" t="e">
        <f t="shared" si="26"/>
        <v>#REF!</v>
      </c>
      <c r="J63" s="150" t="e">
        <f t="shared" si="26"/>
        <v>#REF!</v>
      </c>
      <c r="K63" s="151" t="e">
        <f t="shared" si="26"/>
        <v>#REF!</v>
      </c>
      <c r="L63" s="151" t="e">
        <f t="shared" si="26"/>
        <v>#REF!</v>
      </c>
      <c r="M63" s="152" t="e">
        <f t="shared" si="26"/>
        <v>#REF!</v>
      </c>
    </row>
    <row r="64" spans="1:13" s="288" customFormat="1">
      <c r="A64" s="479" t="s">
        <v>110</v>
      </c>
      <c r="B64" s="250"/>
      <c r="C64" s="276">
        <f>-SUM(C24,C42,C60)</f>
        <v>0</v>
      </c>
      <c r="D64" s="159" t="e">
        <f t="shared" ref="D64:M64" si="27">-SUM(D24,D42,D60)</f>
        <v>#REF!</v>
      </c>
      <c r="E64" s="160" t="e">
        <f t="shared" si="27"/>
        <v>#REF!</v>
      </c>
      <c r="F64" s="161" t="e">
        <f t="shared" si="27"/>
        <v>#REF!</v>
      </c>
      <c r="G64" s="159" t="e">
        <f t="shared" si="27"/>
        <v>#REF!</v>
      </c>
      <c r="H64" s="160" t="e">
        <f t="shared" si="27"/>
        <v>#REF!</v>
      </c>
      <c r="I64" s="161" t="e">
        <f t="shared" si="27"/>
        <v>#REF!</v>
      </c>
      <c r="J64" s="159" t="e">
        <f t="shared" si="27"/>
        <v>#REF!</v>
      </c>
      <c r="K64" s="160" t="e">
        <f t="shared" si="27"/>
        <v>#REF!</v>
      </c>
      <c r="L64" s="160" t="e">
        <f t="shared" si="27"/>
        <v>#REF!</v>
      </c>
      <c r="M64" s="161" t="e">
        <f t="shared" si="27"/>
        <v>#REF!</v>
      </c>
    </row>
    <row r="65" spans="1:13" s="288" customFormat="1" ht="13.5" thickBot="1">
      <c r="A65" s="125" t="s">
        <v>5</v>
      </c>
      <c r="B65" s="69"/>
      <c r="C65" s="272">
        <f t="shared" ref="C65:M65" si="28">SUM(C62:C64)</f>
        <v>0</v>
      </c>
      <c r="D65" s="273" t="e">
        <f t="shared" si="28"/>
        <v>#REF!</v>
      </c>
      <c r="E65" s="247" t="e">
        <f t="shared" si="28"/>
        <v>#REF!</v>
      </c>
      <c r="F65" s="248" t="e">
        <f t="shared" si="28"/>
        <v>#REF!</v>
      </c>
      <c r="G65" s="273" t="e">
        <f t="shared" si="28"/>
        <v>#REF!</v>
      </c>
      <c r="H65" s="247" t="e">
        <f t="shared" si="28"/>
        <v>#REF!</v>
      </c>
      <c r="I65" s="248" t="e">
        <f t="shared" si="28"/>
        <v>#REF!</v>
      </c>
      <c r="J65" s="273" t="e">
        <f t="shared" si="28"/>
        <v>#REF!</v>
      </c>
      <c r="K65" s="247" t="e">
        <f t="shared" si="28"/>
        <v>#REF!</v>
      </c>
      <c r="L65" s="247" t="e">
        <f t="shared" si="28"/>
        <v>#REF!</v>
      </c>
      <c r="M65" s="248" t="e">
        <f t="shared" si="28"/>
        <v>#REF!</v>
      </c>
    </row>
    <row r="66" spans="1:13" s="288" customFormat="1" ht="13.5" thickBot="1">
      <c r="A66" s="208" t="s">
        <v>2</v>
      </c>
      <c r="B66" s="205"/>
      <c r="C66" s="214"/>
      <c r="D66" s="255"/>
      <c r="E66" s="211"/>
      <c r="F66" s="212"/>
      <c r="G66" s="255"/>
      <c r="H66" s="211"/>
      <c r="I66" s="212"/>
      <c r="J66" s="255"/>
      <c r="K66" s="211"/>
      <c r="L66" s="211"/>
      <c r="M66" s="212"/>
    </row>
    <row r="67" spans="1:13" s="288" customFormat="1">
      <c r="A67" s="183" t="s">
        <v>95</v>
      </c>
      <c r="B67" s="66"/>
      <c r="C67" s="230">
        <v>25</v>
      </c>
      <c r="D67" s="222">
        <f t="shared" ref="D67:M67" si="29">$C$67*(1+$B$8)^D4</f>
        <v>25.5</v>
      </c>
      <c r="E67" s="209">
        <f t="shared" si="29"/>
        <v>26.009999999999998</v>
      </c>
      <c r="F67" s="210">
        <f t="shared" si="29"/>
        <v>26.530199999999997</v>
      </c>
      <c r="G67" s="222">
        <f t="shared" si="29"/>
        <v>27.060804000000001</v>
      </c>
      <c r="H67" s="209">
        <f t="shared" si="29"/>
        <v>27.602020079999999</v>
      </c>
      <c r="I67" s="210">
        <f t="shared" si="29"/>
        <v>28.154060481600002</v>
      </c>
      <c r="J67" s="222">
        <f t="shared" si="29"/>
        <v>28.717141691231994</v>
      </c>
      <c r="K67" s="209">
        <f t="shared" si="29"/>
        <v>29.291484525056639</v>
      </c>
      <c r="L67" s="209">
        <f t="shared" si="29"/>
        <v>29.877314215557771</v>
      </c>
      <c r="M67" s="210">
        <f t="shared" si="29"/>
        <v>30.474860499868928</v>
      </c>
    </row>
    <row r="68" spans="1:13" s="288" customFormat="1">
      <c r="A68" s="183" t="s">
        <v>11</v>
      </c>
      <c r="B68" s="66"/>
      <c r="C68" s="268" t="e">
        <f>C69/SUM($C$69:$M$69)</f>
        <v>#REF!</v>
      </c>
      <c r="D68" s="269" t="e">
        <f t="shared" ref="D68:M68" si="30">D69/SUM($C$69:$M$69)</f>
        <v>#REF!</v>
      </c>
      <c r="E68" s="196" t="e">
        <f t="shared" si="30"/>
        <v>#REF!</v>
      </c>
      <c r="F68" s="252" t="e">
        <f t="shared" si="30"/>
        <v>#REF!</v>
      </c>
      <c r="G68" s="269" t="e">
        <f t="shared" si="30"/>
        <v>#REF!</v>
      </c>
      <c r="H68" s="196" t="e">
        <f t="shared" si="30"/>
        <v>#REF!</v>
      </c>
      <c r="I68" s="252" t="e">
        <f t="shared" si="30"/>
        <v>#REF!</v>
      </c>
      <c r="J68" s="269" t="e">
        <f t="shared" si="30"/>
        <v>#REF!</v>
      </c>
      <c r="K68" s="196" t="e">
        <f t="shared" si="30"/>
        <v>#REF!</v>
      </c>
      <c r="L68" s="196" t="e">
        <f t="shared" si="30"/>
        <v>#REF!</v>
      </c>
      <c r="M68" s="252" t="e">
        <f t="shared" si="30"/>
        <v>#REF!</v>
      </c>
    </row>
    <row r="69" spans="1:13" s="288" customFormat="1">
      <c r="A69" s="183" t="s">
        <v>2</v>
      </c>
      <c r="B69" s="66"/>
      <c r="C69" s="169" t="e">
        <f>SUM('Development Schedule'!F15,'Development Schedule'!#REF!,'Development Schedule'!#REF!)*C67</f>
        <v>#REF!</v>
      </c>
      <c r="D69" s="323" t="e">
        <f>SUM('Development Schedule'!G15,'Development Schedule'!#REF!,'Development Schedule'!#REF!)*D67</f>
        <v>#REF!</v>
      </c>
      <c r="E69" s="324" t="e">
        <f>SUM('Development Schedule'!H15,'Development Schedule'!#REF!,'Development Schedule'!#REF!)*E67</f>
        <v>#REF!</v>
      </c>
      <c r="F69" s="325" t="e">
        <f>SUM('Development Schedule'!I15,'Development Schedule'!#REF!,'Development Schedule'!#REF!)*F67</f>
        <v>#REF!</v>
      </c>
      <c r="G69" s="323" t="e">
        <f>SUM('Development Schedule'!J15,'Development Schedule'!#REF!,'Development Schedule'!#REF!)*G67</f>
        <v>#REF!</v>
      </c>
      <c r="H69" s="324" t="e">
        <f>SUM('Development Schedule'!K15,'Development Schedule'!#REF!,'Development Schedule'!#REF!)*H67</f>
        <v>#REF!</v>
      </c>
      <c r="I69" s="325" t="e">
        <f>SUM('Development Schedule'!L15,'Development Schedule'!#REF!,'Development Schedule'!#REF!)*I67</f>
        <v>#REF!</v>
      </c>
      <c r="J69" s="323" t="e">
        <f>SUM('Development Schedule'!M15,'Development Schedule'!#REF!,'Development Schedule'!#REF!)*J67</f>
        <v>#REF!</v>
      </c>
      <c r="K69" s="324" t="e">
        <f>SUM('Development Schedule'!N15,'Development Schedule'!#REF!,'Development Schedule'!#REF!)*K67</f>
        <v>#REF!</v>
      </c>
      <c r="L69" s="324" t="e">
        <f>SUM('Development Schedule'!O15,'Development Schedule'!#REF!,'Development Schedule'!#REF!)*L67</f>
        <v>#REF!</v>
      </c>
      <c r="M69" s="325" t="e">
        <f>SUM('Development Schedule'!P15,'Development Schedule'!#REF!,'Development Schedule'!#REF!)*M67</f>
        <v>#REF!</v>
      </c>
    </row>
    <row r="70" spans="1:13" s="288" customFormat="1">
      <c r="A70" s="245" t="s">
        <v>12</v>
      </c>
      <c r="B70" s="250"/>
      <c r="C70" s="177">
        <f>'1.Inftr Costs'!D17</f>
        <v>0</v>
      </c>
      <c r="D70" s="271">
        <f>'1.Inftr Costs'!E17</f>
        <v>0</v>
      </c>
      <c r="E70" s="251">
        <f>'1.Inftr Costs'!F17</f>
        <v>0</v>
      </c>
      <c r="F70" s="254">
        <f>'1.Inftr Costs'!G17</f>
        <v>0</v>
      </c>
      <c r="G70" s="271">
        <f>'1.Inftr Costs'!H17</f>
        <v>0</v>
      </c>
      <c r="H70" s="251">
        <f>'1.Inftr Costs'!I17</f>
        <v>0</v>
      </c>
      <c r="I70" s="254">
        <f>'1.Inftr Costs'!J17</f>
        <v>0</v>
      </c>
      <c r="J70" s="271">
        <f>'1.Inftr Costs'!K17</f>
        <v>6790730.6412895396</v>
      </c>
      <c r="K70" s="251">
        <f>'1.Inftr Costs'!L17</f>
        <v>0</v>
      </c>
      <c r="L70" s="251">
        <f>'1.Inftr Costs'!M17</f>
        <v>0</v>
      </c>
      <c r="M70" s="254">
        <f>'1.Inftr Costs'!N17</f>
        <v>0</v>
      </c>
    </row>
    <row r="71" spans="1:13" s="288" customFormat="1" ht="13.5" thickBot="1">
      <c r="A71" s="480" t="s">
        <v>3</v>
      </c>
      <c r="B71" s="69"/>
      <c r="C71" s="273" t="e">
        <f>SUM(C69:C70)</f>
        <v>#REF!</v>
      </c>
      <c r="D71" s="273" t="e">
        <f t="shared" ref="D71:M71" si="31">SUM(D69:D70)</f>
        <v>#REF!</v>
      </c>
      <c r="E71" s="247" t="e">
        <f t="shared" si="31"/>
        <v>#REF!</v>
      </c>
      <c r="F71" s="248" t="e">
        <f t="shared" si="31"/>
        <v>#REF!</v>
      </c>
      <c r="G71" s="273" t="e">
        <f t="shared" si="31"/>
        <v>#REF!</v>
      </c>
      <c r="H71" s="247" t="e">
        <f t="shared" si="31"/>
        <v>#REF!</v>
      </c>
      <c r="I71" s="248" t="e">
        <f t="shared" si="31"/>
        <v>#REF!</v>
      </c>
      <c r="J71" s="273" t="e">
        <f t="shared" si="31"/>
        <v>#REF!</v>
      </c>
      <c r="K71" s="247" t="e">
        <f t="shared" si="31"/>
        <v>#REF!</v>
      </c>
      <c r="L71" s="247" t="e">
        <f t="shared" si="31"/>
        <v>#REF!</v>
      </c>
      <c r="M71" s="248" t="e">
        <f t="shared" si="31"/>
        <v>#REF!</v>
      </c>
    </row>
    <row r="72" spans="1:13" s="288" customFormat="1" ht="13.5" thickBot="1">
      <c r="A72" s="208" t="s">
        <v>4</v>
      </c>
      <c r="B72" s="205"/>
      <c r="C72" s="214"/>
      <c r="D72" s="255"/>
      <c r="E72" s="211"/>
      <c r="F72" s="212"/>
      <c r="G72" s="255"/>
      <c r="H72" s="211"/>
      <c r="I72" s="212"/>
      <c r="J72" s="255"/>
      <c r="K72" s="211"/>
      <c r="L72" s="211"/>
      <c r="M72" s="212"/>
    </row>
    <row r="73" spans="1:13" s="288" customFormat="1">
      <c r="A73" s="183" t="s">
        <v>5</v>
      </c>
      <c r="B73" s="66"/>
      <c r="C73" s="148">
        <f>C65</f>
        <v>0</v>
      </c>
      <c r="D73" s="270" t="e">
        <f t="shared" ref="D73:M73" si="32">D65</f>
        <v>#REF!</v>
      </c>
      <c r="E73" s="239" t="e">
        <f t="shared" si="32"/>
        <v>#REF!</v>
      </c>
      <c r="F73" s="253" t="e">
        <f t="shared" si="32"/>
        <v>#REF!</v>
      </c>
      <c r="G73" s="270" t="e">
        <f t="shared" si="32"/>
        <v>#REF!</v>
      </c>
      <c r="H73" s="239" t="e">
        <f t="shared" si="32"/>
        <v>#REF!</v>
      </c>
      <c r="I73" s="253" t="e">
        <f t="shared" si="32"/>
        <v>#REF!</v>
      </c>
      <c r="J73" s="270" t="e">
        <f t="shared" si="32"/>
        <v>#REF!</v>
      </c>
      <c r="K73" s="239" t="e">
        <f t="shared" si="32"/>
        <v>#REF!</v>
      </c>
      <c r="L73" s="239" t="e">
        <f t="shared" si="32"/>
        <v>#REF!</v>
      </c>
      <c r="M73" s="253" t="e">
        <f t="shared" si="32"/>
        <v>#REF!</v>
      </c>
    </row>
    <row r="74" spans="1:13" s="288" customFormat="1">
      <c r="A74" s="183" t="s">
        <v>55</v>
      </c>
      <c r="B74" s="117">
        <f>D89</f>
        <v>0.11</v>
      </c>
      <c r="C74" s="153">
        <v>0</v>
      </c>
      <c r="D74" s="260">
        <f>C74</f>
        <v>0</v>
      </c>
      <c r="E74" s="249">
        <f t="shared" ref="E74:L75" si="33">D74</f>
        <v>0</v>
      </c>
      <c r="F74" s="261">
        <f t="shared" si="33"/>
        <v>0</v>
      </c>
      <c r="G74" s="260">
        <f t="shared" si="33"/>
        <v>0</v>
      </c>
      <c r="H74" s="249">
        <f t="shared" si="33"/>
        <v>0</v>
      </c>
      <c r="I74" s="261">
        <f t="shared" si="33"/>
        <v>0</v>
      </c>
      <c r="J74" s="260">
        <f t="shared" si="33"/>
        <v>0</v>
      </c>
      <c r="K74" s="249">
        <f t="shared" si="33"/>
        <v>0</v>
      </c>
      <c r="L74" s="249">
        <f t="shared" si="33"/>
        <v>0</v>
      </c>
      <c r="M74" s="261" t="e">
        <f>M73/B74</f>
        <v>#REF!</v>
      </c>
    </row>
    <row r="75" spans="1:13" s="288" customFormat="1">
      <c r="A75" s="183" t="s">
        <v>56</v>
      </c>
      <c r="B75" s="117">
        <f>D90</f>
        <v>0.03</v>
      </c>
      <c r="C75" s="153">
        <v>0</v>
      </c>
      <c r="D75" s="260">
        <f>C75</f>
        <v>0</v>
      </c>
      <c r="E75" s="249">
        <f t="shared" si="33"/>
        <v>0</v>
      </c>
      <c r="F75" s="261">
        <f t="shared" si="33"/>
        <v>0</v>
      </c>
      <c r="G75" s="260">
        <f t="shared" si="33"/>
        <v>0</v>
      </c>
      <c r="H75" s="249">
        <f t="shared" si="33"/>
        <v>0</v>
      </c>
      <c r="I75" s="261">
        <f t="shared" si="33"/>
        <v>0</v>
      </c>
      <c r="J75" s="260">
        <f t="shared" si="33"/>
        <v>0</v>
      </c>
      <c r="K75" s="249">
        <f t="shared" si="33"/>
        <v>0</v>
      </c>
      <c r="L75" s="249">
        <f t="shared" si="33"/>
        <v>0</v>
      </c>
      <c r="M75" s="261" t="e">
        <f>M74*-B75</f>
        <v>#REF!</v>
      </c>
    </row>
    <row r="76" spans="1:13" s="288" customFormat="1">
      <c r="A76" s="245" t="s">
        <v>96</v>
      </c>
      <c r="B76" s="319"/>
      <c r="C76" s="276" t="e">
        <f>-C71</f>
        <v>#REF!</v>
      </c>
      <c r="D76" s="277" t="e">
        <f t="shared" ref="D76:M76" si="34">-D71</f>
        <v>#REF!</v>
      </c>
      <c r="E76" s="243" t="e">
        <f t="shared" si="34"/>
        <v>#REF!</v>
      </c>
      <c r="F76" s="246" t="e">
        <f t="shared" si="34"/>
        <v>#REF!</v>
      </c>
      <c r="G76" s="277" t="e">
        <f t="shared" si="34"/>
        <v>#REF!</v>
      </c>
      <c r="H76" s="243" t="e">
        <f t="shared" si="34"/>
        <v>#REF!</v>
      </c>
      <c r="I76" s="246" t="e">
        <f t="shared" si="34"/>
        <v>#REF!</v>
      </c>
      <c r="J76" s="277" t="e">
        <f t="shared" si="34"/>
        <v>#REF!</v>
      </c>
      <c r="K76" s="243" t="e">
        <f t="shared" si="34"/>
        <v>#REF!</v>
      </c>
      <c r="L76" s="243" t="e">
        <f t="shared" si="34"/>
        <v>#REF!</v>
      </c>
      <c r="M76" s="246" t="e">
        <f t="shared" si="34"/>
        <v>#REF!</v>
      </c>
    </row>
    <row r="77" spans="1:13" s="288" customFormat="1" ht="13.5" thickBot="1">
      <c r="A77" s="480" t="s">
        <v>6</v>
      </c>
      <c r="B77" s="127"/>
      <c r="C77" s="272" t="e">
        <f>SUM(C73:C76)</f>
        <v>#REF!</v>
      </c>
      <c r="D77" s="273" t="e">
        <f t="shared" ref="D77:M77" si="35">SUM(D73:D76)</f>
        <v>#REF!</v>
      </c>
      <c r="E77" s="247" t="e">
        <f t="shared" si="35"/>
        <v>#REF!</v>
      </c>
      <c r="F77" s="248" t="e">
        <f t="shared" si="35"/>
        <v>#REF!</v>
      </c>
      <c r="G77" s="273" t="e">
        <f t="shared" si="35"/>
        <v>#REF!</v>
      </c>
      <c r="H77" s="247" t="e">
        <f t="shared" si="35"/>
        <v>#REF!</v>
      </c>
      <c r="I77" s="248" t="e">
        <f t="shared" si="35"/>
        <v>#REF!</v>
      </c>
      <c r="J77" s="273" t="e">
        <f t="shared" si="35"/>
        <v>#REF!</v>
      </c>
      <c r="K77" s="247" t="e">
        <f t="shared" si="35"/>
        <v>#REF!</v>
      </c>
      <c r="L77" s="247" t="e">
        <f t="shared" si="35"/>
        <v>#REF!</v>
      </c>
      <c r="M77" s="248" t="e">
        <f t="shared" si="35"/>
        <v>#REF!</v>
      </c>
    </row>
    <row r="78" spans="1:13" s="288" customFormat="1" ht="13.5" thickBot="1">
      <c r="A78" s="124" t="s">
        <v>25</v>
      </c>
      <c r="B78" s="114"/>
      <c r="C78" s="400" t="e">
        <f>C77+NPV(D91,D77:M77)</f>
        <v>#REF!</v>
      </c>
      <c r="D78" s="397"/>
      <c r="E78" s="398"/>
      <c r="F78" s="399"/>
      <c r="G78" s="397"/>
      <c r="H78" s="398"/>
      <c r="I78" s="399"/>
      <c r="J78" s="116"/>
      <c r="K78" s="116"/>
      <c r="L78" s="116"/>
      <c r="M78" s="198"/>
    </row>
    <row r="79" spans="1:13" ht="13.5" thickBot="1">
      <c r="A79" s="89" t="s">
        <v>57</v>
      </c>
      <c r="B79" s="162"/>
      <c r="C79" s="283" t="e">
        <f>IRR(C77:M77,0)</f>
        <v>#VALUE!</v>
      </c>
      <c r="D79" s="264"/>
      <c r="E79" s="162"/>
      <c r="F79" s="182"/>
      <c r="G79" s="264"/>
      <c r="H79" s="162"/>
      <c r="I79" s="182"/>
      <c r="J79" s="162"/>
      <c r="K79" s="162"/>
      <c r="L79" s="162"/>
      <c r="M79" s="182"/>
    </row>
    <row r="80" spans="1:13" ht="13.5" thickBot="1">
      <c r="A80" s="89"/>
      <c r="B80" s="162"/>
      <c r="C80" s="422"/>
      <c r="D80" s="162"/>
      <c r="E80" s="66"/>
      <c r="F80" s="66"/>
      <c r="G80" s="66"/>
      <c r="H80" s="66"/>
      <c r="I80" s="66"/>
      <c r="J80" s="66"/>
      <c r="K80" s="66"/>
      <c r="L80" s="66"/>
      <c r="M80" s="66"/>
    </row>
    <row r="81" spans="1:13" ht="13.5" thickBot="1">
      <c r="A81" s="193" t="s">
        <v>89</v>
      </c>
      <c r="B81" s="168"/>
      <c r="C81" s="168"/>
      <c r="D81" s="192"/>
      <c r="E81" s="288"/>
      <c r="F81" s="288"/>
      <c r="G81" s="288"/>
      <c r="H81" s="288"/>
      <c r="I81" s="288"/>
      <c r="J81" s="288"/>
      <c r="K81" s="288"/>
      <c r="L81" s="288"/>
      <c r="M81" s="288"/>
    </row>
    <row r="82" spans="1:13" ht="13.5" thickBot="1">
      <c r="A82" s="87"/>
      <c r="B82" s="162"/>
      <c r="C82" s="92" t="s">
        <v>159</v>
      </c>
      <c r="D82" s="93" t="s">
        <v>88</v>
      </c>
      <c r="E82" s="288"/>
      <c r="F82" s="288"/>
      <c r="G82" s="288"/>
      <c r="H82" s="288"/>
      <c r="I82" s="288"/>
      <c r="J82" s="288"/>
      <c r="K82" s="288"/>
      <c r="L82" s="288"/>
      <c r="M82" s="288"/>
    </row>
    <row r="83" spans="1:13">
      <c r="A83" s="65" t="s">
        <v>168</v>
      </c>
      <c r="B83" s="66"/>
      <c r="C83" s="194" t="e">
        <f>D83/$D$88</f>
        <v>#REF!</v>
      </c>
      <c r="D83" s="464" t="e">
        <f>'Development Schedule'!#REF!</f>
        <v>#REF!</v>
      </c>
      <c r="E83" s="288"/>
      <c r="F83" s="288"/>
      <c r="G83" s="288"/>
      <c r="H83" s="288"/>
      <c r="I83" s="288"/>
      <c r="J83" s="288"/>
      <c r="K83" s="288"/>
      <c r="L83" s="288"/>
      <c r="M83" s="288"/>
    </row>
    <row r="84" spans="1:13">
      <c r="A84" s="65" t="s">
        <v>169</v>
      </c>
      <c r="B84" s="66"/>
      <c r="C84" s="194" t="e">
        <f>D84/$D$88</f>
        <v>#REF!</v>
      </c>
      <c r="D84" s="237" t="e">
        <f>'Development Schedule'!#REF!</f>
        <v>#REF!</v>
      </c>
      <c r="E84" s="288"/>
      <c r="F84" s="288"/>
      <c r="G84" s="288"/>
      <c r="H84" s="288"/>
      <c r="I84" s="288"/>
      <c r="J84" s="288"/>
      <c r="K84" s="288"/>
      <c r="L84" s="288"/>
      <c r="M84" s="288"/>
    </row>
    <row r="85" spans="1:13" ht="13.5" thickBot="1">
      <c r="A85" s="68" t="s">
        <v>170</v>
      </c>
      <c r="B85" s="69"/>
      <c r="C85" s="286" t="e">
        <f>D85/$D$88</f>
        <v>#REF!</v>
      </c>
      <c r="D85" s="238" t="e">
        <f>'Development Schedule'!#REF!</f>
        <v>#REF!</v>
      </c>
      <c r="E85" s="288"/>
      <c r="F85" s="288"/>
      <c r="G85" s="288"/>
      <c r="H85" s="288"/>
      <c r="I85" s="288"/>
      <c r="J85" s="288"/>
      <c r="K85" s="288"/>
      <c r="L85" s="288"/>
      <c r="M85" s="288"/>
    </row>
    <row r="86" spans="1:13" ht="13.5" thickBot="1">
      <c r="A86" s="37"/>
      <c r="B86" s="59"/>
      <c r="C86" s="59"/>
      <c r="D86" s="37"/>
      <c r="E86" s="288"/>
      <c r="F86" s="288"/>
      <c r="G86" s="288"/>
      <c r="H86" s="288"/>
      <c r="I86" s="288"/>
      <c r="J86" s="288"/>
      <c r="K86" s="288"/>
      <c r="L86" s="288"/>
      <c r="M86" s="288"/>
    </row>
    <row r="87" spans="1:13" ht="13.5" thickBot="1">
      <c r="A87" s="193" t="s">
        <v>97</v>
      </c>
      <c r="B87" s="266"/>
      <c r="C87" s="266"/>
      <c r="D87" s="267"/>
      <c r="E87" s="288"/>
      <c r="F87" s="288"/>
      <c r="G87" s="288"/>
      <c r="H87" s="288"/>
      <c r="I87" s="288"/>
      <c r="J87" s="288"/>
      <c r="K87" s="288"/>
      <c r="L87" s="288"/>
      <c r="M87" s="288"/>
    </row>
    <row r="88" spans="1:13">
      <c r="A88" s="65" t="s">
        <v>160</v>
      </c>
      <c r="B88" s="66"/>
      <c r="C88" s="66"/>
      <c r="D88" s="134">
        <v>320</v>
      </c>
      <c r="E88" s="288"/>
      <c r="F88" s="288"/>
      <c r="G88" s="288"/>
      <c r="H88" s="288"/>
      <c r="I88" s="288"/>
      <c r="J88" s="288"/>
      <c r="K88" s="288"/>
      <c r="L88" s="288"/>
      <c r="M88" s="288"/>
    </row>
    <row r="89" spans="1:13">
      <c r="A89" s="65" t="s">
        <v>98</v>
      </c>
      <c r="B89" s="66"/>
      <c r="C89" s="66"/>
      <c r="D89" s="391">
        <v>0.11</v>
      </c>
      <c r="E89" s="288"/>
      <c r="F89" s="288"/>
      <c r="G89" s="288"/>
      <c r="H89" s="288"/>
      <c r="I89" s="288"/>
      <c r="J89" s="288"/>
      <c r="K89" s="288"/>
      <c r="L89" s="288"/>
      <c r="M89" s="288"/>
    </row>
    <row r="90" spans="1:13">
      <c r="A90" s="65" t="s">
        <v>99</v>
      </c>
      <c r="B90" s="66"/>
      <c r="C90" s="66"/>
      <c r="D90" s="391">
        <v>0.03</v>
      </c>
      <c r="E90" s="288"/>
      <c r="F90" s="288"/>
      <c r="G90" s="288"/>
      <c r="H90" s="288"/>
      <c r="I90" s="288"/>
      <c r="J90" s="288"/>
      <c r="K90" s="288"/>
      <c r="L90" s="288"/>
      <c r="M90" s="288"/>
    </row>
    <row r="91" spans="1:13" ht="13.5" thickBot="1">
      <c r="A91" s="68" t="s">
        <v>85</v>
      </c>
      <c r="B91" s="69"/>
      <c r="C91" s="69"/>
      <c r="D91" s="135">
        <v>0.09</v>
      </c>
      <c r="E91" s="288"/>
      <c r="F91" s="288"/>
      <c r="G91" s="288"/>
      <c r="H91" s="288"/>
      <c r="I91" s="288"/>
      <c r="J91" s="288"/>
      <c r="K91" s="288"/>
      <c r="L91" s="288"/>
      <c r="M91" s="288"/>
    </row>
    <row r="92" spans="1:13">
      <c r="A92" s="288"/>
      <c r="B92" s="289"/>
      <c r="C92" s="289"/>
      <c r="D92" s="288"/>
      <c r="E92" s="288"/>
      <c r="F92" s="288"/>
      <c r="G92" s="288"/>
      <c r="H92" s="288"/>
      <c r="I92" s="288"/>
      <c r="J92" s="288"/>
      <c r="K92" s="288"/>
      <c r="L92" s="288"/>
      <c r="M92" s="288"/>
    </row>
    <row r="93" spans="1:13">
      <c r="A93" s="288"/>
    </row>
  </sheetData>
  <printOptions horizontalCentered="1"/>
  <pageMargins left="0.5" right="0.5" top="1" bottom="0.5" header="0.5" footer="0.5"/>
  <pageSetup scale="48" orientation="landscape" r:id="rId1"/>
  <headerFooter alignWithMargins="0">
    <oddHeader>&amp;L&amp;"Arial,Bold"8. Income Statement: Structured Parking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D13" sqref="D13"/>
    </sheetView>
  </sheetViews>
  <sheetFormatPr defaultColWidth="9.1796875" defaultRowHeight="12.5"/>
  <cols>
    <col min="1" max="16384" width="9.1796875" style="36"/>
  </cols>
  <sheetData>
    <row r="1" spans="1:1">
      <c r="A1" s="3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26"/>
  <sheetViews>
    <sheetView view="pageBreakPreview" topLeftCell="E1" zoomScale="70" zoomScaleNormal="55" zoomScaleSheetLayoutView="70" workbookViewId="0">
      <selection activeCell="V36" sqref="V36"/>
    </sheetView>
  </sheetViews>
  <sheetFormatPr defaultColWidth="9.1796875" defaultRowHeight="12.5"/>
  <cols>
    <col min="1" max="1" width="9.1796875" style="36"/>
    <col min="2" max="2" width="42.90625" style="36" bestFit="1" customWidth="1"/>
    <col min="3" max="4" width="24.54296875" style="36" customWidth="1"/>
    <col min="5" max="5" width="12.81640625" style="36" customWidth="1"/>
    <col min="6" max="16" width="13.7265625" style="36" customWidth="1"/>
    <col min="17" max="16384" width="9.1796875" style="36"/>
  </cols>
  <sheetData>
    <row r="1" spans="1:16" ht="13">
      <c r="B1" s="52" t="s">
        <v>79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13.5" thickBot="1">
      <c r="B2" s="55" t="s">
        <v>78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3.5" thickBot="1">
      <c r="B3" s="49"/>
      <c r="C3" s="50"/>
      <c r="D3" s="50"/>
      <c r="E3" s="50"/>
      <c r="F3" s="51" t="s">
        <v>53</v>
      </c>
      <c r="G3" s="112" t="s">
        <v>34</v>
      </c>
      <c r="H3" s="39"/>
      <c r="I3" s="40"/>
      <c r="J3" s="38" t="s">
        <v>76</v>
      </c>
      <c r="K3" s="77"/>
      <c r="L3" s="41"/>
      <c r="M3" s="38" t="s">
        <v>77</v>
      </c>
      <c r="N3" s="42"/>
      <c r="O3" s="43"/>
      <c r="P3" s="44"/>
    </row>
    <row r="4" spans="1:16" ht="13.5" thickBot="1">
      <c r="B4" s="45"/>
      <c r="C4" s="46" t="s">
        <v>81</v>
      </c>
      <c r="D4" s="46" t="s">
        <v>493</v>
      </c>
      <c r="E4" s="46" t="s">
        <v>80</v>
      </c>
      <c r="F4" s="1016" t="str">
        <f>'1.Inftr Costs'!$D$5</f>
        <v>2020-2021</v>
      </c>
      <c r="G4" s="1017">
        <f>'1.Inftr Costs'!$E$5</f>
        <v>2022</v>
      </c>
      <c r="H4" s="46">
        <f>G4+1</f>
        <v>2023</v>
      </c>
      <c r="I4" s="46">
        <f t="shared" ref="I4:N4" si="0">H4+1</f>
        <v>2024</v>
      </c>
      <c r="J4" s="47">
        <f t="shared" si="0"/>
        <v>2025</v>
      </c>
      <c r="K4" s="46">
        <f t="shared" si="0"/>
        <v>2026</v>
      </c>
      <c r="L4" s="48">
        <f t="shared" si="0"/>
        <v>2027</v>
      </c>
      <c r="M4" s="47">
        <f t="shared" si="0"/>
        <v>2028</v>
      </c>
      <c r="N4" s="46">
        <f t="shared" si="0"/>
        <v>2029</v>
      </c>
      <c r="O4" s="46">
        <f>N4+1</f>
        <v>2030</v>
      </c>
      <c r="P4" s="48">
        <f>O4+1</f>
        <v>2031</v>
      </c>
    </row>
    <row r="5" spans="1:16" ht="4.5" customHeight="1">
      <c r="B5" s="65"/>
      <c r="C5" s="62"/>
      <c r="D5" s="62"/>
      <c r="E5" s="62"/>
      <c r="F5" s="62"/>
      <c r="G5" s="61"/>
      <c r="H5" s="62"/>
      <c r="I5" s="62"/>
      <c r="J5" s="61"/>
      <c r="K5" s="62"/>
      <c r="L5" s="63"/>
      <c r="M5" s="61"/>
      <c r="N5" s="62"/>
      <c r="O5" s="62"/>
      <c r="P5" s="63"/>
    </row>
    <row r="6" spans="1:16" ht="13">
      <c r="B6" s="64" t="s">
        <v>34</v>
      </c>
      <c r="C6" s="62"/>
      <c r="D6" s="62"/>
      <c r="E6" s="62"/>
      <c r="F6" s="96"/>
      <c r="G6" s="97"/>
      <c r="H6" s="96"/>
      <c r="I6" s="96"/>
      <c r="J6" s="97"/>
      <c r="K6" s="96"/>
      <c r="L6" s="98"/>
      <c r="M6" s="97"/>
      <c r="N6" s="96"/>
      <c r="O6" s="96"/>
      <c r="P6" s="98"/>
    </row>
    <row r="7" spans="1:16">
      <c r="A7" s="36">
        <v>1</v>
      </c>
      <c r="B7" s="65" t="s">
        <v>475</v>
      </c>
      <c r="C7" s="66" t="s">
        <v>145</v>
      </c>
      <c r="D7" s="66" t="s">
        <v>435</v>
      </c>
      <c r="E7" s="60">
        <v>20600</v>
      </c>
      <c r="F7" s="96"/>
      <c r="G7" s="72">
        <f t="shared" ref="G7:G15" si="1">E7</f>
        <v>20600</v>
      </c>
      <c r="H7" s="96"/>
      <c r="I7" s="96"/>
      <c r="J7" s="97"/>
      <c r="K7" s="96"/>
      <c r="L7" s="98"/>
      <c r="M7" s="97"/>
      <c r="N7" s="96"/>
      <c r="O7" s="96"/>
      <c r="P7" s="98"/>
    </row>
    <row r="8" spans="1:16">
      <c r="A8" s="36">
        <v>2</v>
      </c>
      <c r="B8" s="65" t="s">
        <v>476</v>
      </c>
      <c r="C8" s="66" t="s">
        <v>494</v>
      </c>
      <c r="D8" s="66" t="s">
        <v>45</v>
      </c>
      <c r="E8" s="60">
        <v>23000</v>
      </c>
      <c r="F8" s="96"/>
      <c r="G8" s="72">
        <f t="shared" si="1"/>
        <v>23000</v>
      </c>
      <c r="H8" s="96"/>
      <c r="I8" s="96"/>
      <c r="J8" s="97"/>
      <c r="K8" s="96"/>
      <c r="L8" s="98"/>
      <c r="M8" s="97"/>
      <c r="N8" s="96"/>
      <c r="O8" s="96"/>
      <c r="P8" s="98"/>
    </row>
    <row r="9" spans="1:16">
      <c r="B9" s="65" t="s">
        <v>477</v>
      </c>
      <c r="C9" s="66" t="s">
        <v>530</v>
      </c>
      <c r="D9" s="66" t="s">
        <v>47</v>
      </c>
      <c r="E9" s="60">
        <v>63500</v>
      </c>
      <c r="F9" s="96"/>
      <c r="G9" s="72">
        <f t="shared" si="1"/>
        <v>63500</v>
      </c>
      <c r="H9" s="96"/>
      <c r="I9" s="96"/>
      <c r="J9" s="97"/>
      <c r="K9" s="96"/>
      <c r="L9" s="98"/>
      <c r="M9" s="97"/>
      <c r="N9" s="96"/>
      <c r="O9" s="96"/>
      <c r="P9" s="98"/>
    </row>
    <row r="10" spans="1:16">
      <c r="A10" s="36">
        <v>3</v>
      </c>
      <c r="B10" s="65" t="s">
        <v>472</v>
      </c>
      <c r="C10" s="66" t="s">
        <v>359</v>
      </c>
      <c r="D10" s="66" t="s">
        <v>359</v>
      </c>
      <c r="E10" s="60">
        <v>54500</v>
      </c>
      <c r="F10" s="96"/>
      <c r="G10" s="72">
        <f t="shared" si="1"/>
        <v>54500</v>
      </c>
      <c r="H10" s="67"/>
      <c r="I10" s="96"/>
      <c r="J10" s="97"/>
      <c r="K10" s="96"/>
      <c r="L10" s="98"/>
      <c r="M10" s="97"/>
      <c r="N10" s="96"/>
      <c r="O10" s="96"/>
      <c r="P10" s="98"/>
    </row>
    <row r="11" spans="1:16">
      <c r="B11" s="65" t="s">
        <v>473</v>
      </c>
      <c r="C11" s="66" t="s">
        <v>530</v>
      </c>
      <c r="D11" s="66" t="s">
        <v>47</v>
      </c>
      <c r="E11" s="60">
        <v>15400</v>
      </c>
      <c r="F11" s="96"/>
      <c r="G11" s="72">
        <f t="shared" si="1"/>
        <v>15400</v>
      </c>
      <c r="H11" s="67"/>
      <c r="I11" s="96"/>
      <c r="J11" s="97"/>
      <c r="K11" s="96"/>
      <c r="L11" s="98"/>
      <c r="M11" s="97"/>
      <c r="N11" s="96"/>
      <c r="O11" s="96"/>
      <c r="P11" s="98"/>
    </row>
    <row r="12" spans="1:16">
      <c r="B12" s="65" t="s">
        <v>474</v>
      </c>
      <c r="C12" s="66" t="s">
        <v>45</v>
      </c>
      <c r="D12" s="66" t="s">
        <v>45</v>
      </c>
      <c r="E12" s="60">
        <v>2800</v>
      </c>
      <c r="F12" s="96"/>
      <c r="G12" s="72">
        <f t="shared" si="1"/>
        <v>2800</v>
      </c>
      <c r="H12" s="67"/>
      <c r="I12" s="96"/>
      <c r="J12" s="97"/>
      <c r="K12" s="96"/>
      <c r="L12" s="98"/>
      <c r="M12" s="97"/>
      <c r="N12" s="96"/>
      <c r="O12" s="96"/>
      <c r="P12" s="98"/>
    </row>
    <row r="13" spans="1:16">
      <c r="A13" s="36">
        <v>4</v>
      </c>
      <c r="B13" s="65" t="s">
        <v>469</v>
      </c>
      <c r="C13" s="66" t="s">
        <v>359</v>
      </c>
      <c r="D13" s="66" t="s">
        <v>359</v>
      </c>
      <c r="E13" s="60">
        <v>82700</v>
      </c>
      <c r="F13" s="96"/>
      <c r="G13" s="72">
        <f t="shared" si="1"/>
        <v>82700</v>
      </c>
      <c r="H13" s="423"/>
      <c r="I13" s="96"/>
      <c r="J13" s="97"/>
      <c r="K13" s="96"/>
      <c r="L13" s="98"/>
      <c r="M13" s="97"/>
      <c r="N13" s="96"/>
      <c r="O13" s="96"/>
      <c r="P13" s="98"/>
    </row>
    <row r="14" spans="1:16">
      <c r="B14" s="65" t="s">
        <v>470</v>
      </c>
      <c r="C14" s="66" t="s">
        <v>530</v>
      </c>
      <c r="D14" s="66" t="s">
        <v>47</v>
      </c>
      <c r="E14" s="60">
        <v>10075</v>
      </c>
      <c r="F14" s="96"/>
      <c r="G14" s="72">
        <f t="shared" si="1"/>
        <v>10075</v>
      </c>
      <c r="H14" s="96"/>
      <c r="I14" s="96"/>
      <c r="J14" s="97"/>
      <c r="K14" s="96"/>
      <c r="L14" s="98"/>
      <c r="M14" s="97"/>
      <c r="N14" s="96"/>
      <c r="O14" s="96"/>
      <c r="P14" s="98"/>
    </row>
    <row r="15" spans="1:16">
      <c r="B15" s="65" t="s">
        <v>471</v>
      </c>
      <c r="C15" s="66" t="s">
        <v>45</v>
      </c>
      <c r="D15" s="66" t="s">
        <v>45</v>
      </c>
      <c r="E15" s="60">
        <v>10075</v>
      </c>
      <c r="F15" s="96"/>
      <c r="G15" s="72">
        <f t="shared" si="1"/>
        <v>10075</v>
      </c>
      <c r="H15" s="96"/>
      <c r="I15" s="96"/>
      <c r="J15" s="97"/>
      <c r="K15" s="96"/>
      <c r="L15" s="98"/>
      <c r="M15" s="97"/>
      <c r="N15" s="96"/>
      <c r="O15" s="96"/>
      <c r="P15" s="98"/>
    </row>
    <row r="16" spans="1:16">
      <c r="A16" s="36">
        <v>5</v>
      </c>
      <c r="B16" s="65" t="s">
        <v>466</v>
      </c>
      <c r="C16" s="66" t="s">
        <v>359</v>
      </c>
      <c r="D16" s="66" t="s">
        <v>359</v>
      </c>
      <c r="E16" s="60">
        <v>119550</v>
      </c>
      <c r="F16" s="96"/>
      <c r="G16" s="72"/>
      <c r="H16" s="96"/>
      <c r="I16" s="96">
        <f t="shared" ref="I16:I21" si="2">E16</f>
        <v>119550</v>
      </c>
      <c r="J16" s="97"/>
      <c r="K16" s="96"/>
      <c r="L16" s="98"/>
      <c r="M16" s="97"/>
      <c r="N16" s="96"/>
      <c r="O16" s="96"/>
      <c r="P16" s="98"/>
    </row>
    <row r="17" spans="1:16">
      <c r="B17" s="65" t="s">
        <v>467</v>
      </c>
      <c r="C17" s="66" t="s">
        <v>166</v>
      </c>
      <c r="D17" s="66" t="s">
        <v>47</v>
      </c>
      <c r="E17" s="60">
        <v>42000</v>
      </c>
      <c r="F17" s="96"/>
      <c r="G17" s="72"/>
      <c r="H17" s="96"/>
      <c r="I17" s="96">
        <f t="shared" si="2"/>
        <v>42000</v>
      </c>
      <c r="J17" s="97"/>
      <c r="K17" s="96"/>
      <c r="L17" s="98"/>
      <c r="M17" s="97"/>
      <c r="N17" s="96"/>
      <c r="O17" s="96"/>
      <c r="P17" s="98"/>
    </row>
    <row r="18" spans="1:16">
      <c r="B18" s="65" t="s">
        <v>468</v>
      </c>
      <c r="C18" s="66" t="s">
        <v>45</v>
      </c>
      <c r="D18" s="66" t="s">
        <v>45</v>
      </c>
      <c r="E18" s="60">
        <v>4200</v>
      </c>
      <c r="F18" s="96"/>
      <c r="G18" s="72"/>
      <c r="H18" s="96"/>
      <c r="I18" s="96">
        <f t="shared" si="2"/>
        <v>4200</v>
      </c>
      <c r="J18" s="97"/>
      <c r="K18" s="96"/>
      <c r="L18" s="98"/>
      <c r="M18" s="97"/>
      <c r="N18" s="96"/>
      <c r="O18" s="96"/>
      <c r="P18" s="98"/>
    </row>
    <row r="19" spans="1:16">
      <c r="A19" s="36">
        <v>6</v>
      </c>
      <c r="B19" s="65" t="s">
        <v>463</v>
      </c>
      <c r="C19" s="66" t="s">
        <v>359</v>
      </c>
      <c r="D19" s="66" t="s">
        <v>359</v>
      </c>
      <c r="E19" s="60">
        <v>73500</v>
      </c>
      <c r="F19" s="96"/>
      <c r="G19" s="72"/>
      <c r="H19" s="96"/>
      <c r="I19" s="96">
        <f t="shared" si="2"/>
        <v>73500</v>
      </c>
      <c r="J19" s="97"/>
      <c r="K19" s="96"/>
      <c r="L19" s="98"/>
      <c r="M19" s="97"/>
      <c r="N19" s="96"/>
      <c r="O19" s="96"/>
      <c r="P19" s="98"/>
    </row>
    <row r="20" spans="1:16">
      <c r="B20" s="65" t="s">
        <v>464</v>
      </c>
      <c r="C20" s="66" t="s">
        <v>166</v>
      </c>
      <c r="D20" s="66" t="s">
        <v>47</v>
      </c>
      <c r="E20" s="60">
        <v>15400</v>
      </c>
      <c r="F20" s="96"/>
      <c r="G20" s="72"/>
      <c r="H20" s="96"/>
      <c r="I20" s="96">
        <f t="shared" si="2"/>
        <v>15400</v>
      </c>
      <c r="J20" s="97"/>
      <c r="K20" s="96"/>
      <c r="L20" s="98"/>
      <c r="M20" s="97"/>
      <c r="N20" s="96"/>
      <c r="O20" s="96"/>
      <c r="P20" s="98"/>
    </row>
    <row r="21" spans="1:16">
      <c r="B21" s="65" t="s">
        <v>465</v>
      </c>
      <c r="C21" s="66" t="s">
        <v>45</v>
      </c>
      <c r="D21" s="66" t="s">
        <v>45</v>
      </c>
      <c r="E21" s="60">
        <v>2800</v>
      </c>
      <c r="F21" s="96"/>
      <c r="G21" s="72"/>
      <c r="H21" s="96"/>
      <c r="I21" s="96">
        <f t="shared" si="2"/>
        <v>2800</v>
      </c>
      <c r="J21" s="97"/>
      <c r="K21" s="96"/>
      <c r="L21" s="98"/>
      <c r="M21" s="97"/>
      <c r="N21" s="96"/>
      <c r="O21" s="96"/>
      <c r="P21" s="98"/>
    </row>
    <row r="22" spans="1:16">
      <c r="B22" s="65" t="s">
        <v>415</v>
      </c>
      <c r="C22" s="66" t="s">
        <v>499</v>
      </c>
      <c r="D22" s="66" t="s">
        <v>82</v>
      </c>
      <c r="E22" s="60">
        <f>260*60</f>
        <v>15600</v>
      </c>
      <c r="F22" s="96"/>
      <c r="G22" s="72">
        <f>E22</f>
        <v>15600</v>
      </c>
      <c r="H22" s="96"/>
      <c r="I22" s="96"/>
      <c r="J22" s="97"/>
      <c r="K22" s="96"/>
      <c r="L22" s="98"/>
      <c r="M22" s="97"/>
      <c r="N22" s="96"/>
      <c r="O22" s="96"/>
      <c r="P22" s="98"/>
    </row>
    <row r="23" spans="1:16">
      <c r="B23" s="36" t="s">
        <v>414</v>
      </c>
      <c r="C23" s="66" t="s">
        <v>488</v>
      </c>
      <c r="D23" s="66" t="s">
        <v>82</v>
      </c>
      <c r="E23" s="60">
        <f>560*50</f>
        <v>28000</v>
      </c>
      <c r="F23" s="96"/>
      <c r="G23" s="72"/>
      <c r="H23" s="96">
        <f>E23</f>
        <v>28000</v>
      </c>
      <c r="I23" s="96"/>
      <c r="J23" s="72"/>
      <c r="K23" s="96"/>
      <c r="L23" s="98"/>
      <c r="M23" s="97"/>
      <c r="N23" s="96"/>
      <c r="O23" s="96"/>
      <c r="P23" s="98"/>
    </row>
    <row r="24" spans="1:16">
      <c r="B24" s="65" t="s">
        <v>413</v>
      </c>
      <c r="C24" s="66" t="s">
        <v>488</v>
      </c>
      <c r="D24" s="66" t="s">
        <v>82</v>
      </c>
      <c r="E24" s="60">
        <f>720*50</f>
        <v>36000</v>
      </c>
      <c r="F24" s="96"/>
      <c r="G24" s="72"/>
      <c r="H24" s="96">
        <f>E24</f>
        <v>36000</v>
      </c>
      <c r="I24" s="96"/>
      <c r="J24" s="72"/>
      <c r="K24" s="96"/>
      <c r="L24" s="98"/>
      <c r="M24" s="97"/>
      <c r="N24" s="96"/>
      <c r="O24" s="96"/>
      <c r="P24" s="98"/>
    </row>
    <row r="25" spans="1:16">
      <c r="A25" s="1024" t="s">
        <v>417</v>
      </c>
      <c r="B25" s="65" t="s">
        <v>478</v>
      </c>
      <c r="C25" s="66" t="s">
        <v>494</v>
      </c>
      <c r="D25" s="66" t="s">
        <v>45</v>
      </c>
      <c r="E25" s="60">
        <f>11600+6000+5800</f>
        <v>23400</v>
      </c>
      <c r="F25" s="96"/>
      <c r="G25" s="72"/>
      <c r="H25" s="96">
        <f>E25</f>
        <v>23400</v>
      </c>
      <c r="I25" s="96"/>
      <c r="J25" s="72"/>
      <c r="K25" s="96"/>
      <c r="L25" s="98"/>
      <c r="M25" s="97"/>
      <c r="N25" s="96"/>
      <c r="O25" s="96"/>
      <c r="P25" s="98"/>
    </row>
    <row r="26" spans="1:16">
      <c r="B26" s="65" t="s">
        <v>416</v>
      </c>
      <c r="C26" s="66" t="s">
        <v>487</v>
      </c>
      <c r="D26" s="66" t="s">
        <v>63</v>
      </c>
      <c r="E26" s="60">
        <f>8100+11600+6000+6000+6650</f>
        <v>38350</v>
      </c>
      <c r="F26" s="96"/>
      <c r="G26" s="72"/>
      <c r="H26" s="96">
        <f>E26</f>
        <v>38350</v>
      </c>
      <c r="I26" s="96"/>
      <c r="J26" s="72"/>
      <c r="K26" s="96"/>
      <c r="L26" s="98"/>
      <c r="M26" s="97"/>
      <c r="N26" s="96"/>
      <c r="O26" s="96"/>
      <c r="P26" s="98"/>
    </row>
    <row r="27" spans="1:16">
      <c r="B27" s="65" t="s">
        <v>437</v>
      </c>
      <c r="C27" s="66" t="s">
        <v>496</v>
      </c>
      <c r="D27" s="66" t="s">
        <v>82</v>
      </c>
      <c r="E27" s="60">
        <f>900*20*2</f>
        <v>36000</v>
      </c>
      <c r="F27" s="96"/>
      <c r="G27" s="72">
        <f>E27</f>
        <v>36000</v>
      </c>
      <c r="H27" s="96"/>
      <c r="I27" s="96"/>
      <c r="J27" s="72"/>
      <c r="K27" s="96"/>
      <c r="L27" s="98"/>
      <c r="M27" s="97"/>
      <c r="N27" s="96"/>
      <c r="O27" s="96"/>
      <c r="P27" s="98"/>
    </row>
    <row r="28" spans="1:16">
      <c r="B28" s="65" t="s">
        <v>438</v>
      </c>
      <c r="C28" s="66" t="s">
        <v>496</v>
      </c>
      <c r="D28" s="66" t="s">
        <v>82</v>
      </c>
      <c r="E28" s="60">
        <f>900*10*2</f>
        <v>18000</v>
      </c>
      <c r="F28" s="96"/>
      <c r="G28" s="72">
        <f>E28</f>
        <v>18000</v>
      </c>
      <c r="H28" s="96"/>
      <c r="I28" s="96"/>
      <c r="J28" s="72"/>
      <c r="K28" s="96"/>
      <c r="L28" s="98"/>
      <c r="M28" s="97"/>
      <c r="N28" s="96"/>
      <c r="O28" s="96"/>
      <c r="P28" s="98"/>
    </row>
    <row r="29" spans="1:16" ht="5" customHeight="1" thickBot="1">
      <c r="B29" s="68"/>
      <c r="C29" s="69"/>
      <c r="D29" s="69"/>
      <c r="E29" s="70"/>
      <c r="F29" s="99"/>
      <c r="G29" s="73"/>
      <c r="H29" s="99"/>
      <c r="I29" s="99"/>
      <c r="J29" s="100"/>
      <c r="K29" s="99"/>
      <c r="L29" s="101"/>
      <c r="M29" s="100"/>
      <c r="N29" s="99"/>
      <c r="O29" s="99"/>
      <c r="P29" s="101"/>
    </row>
    <row r="30" spans="1:16" ht="4.5" customHeight="1">
      <c r="B30" s="74"/>
      <c r="C30" s="80"/>
      <c r="D30" s="80"/>
      <c r="E30" s="75"/>
      <c r="F30" s="102"/>
      <c r="G30" s="103"/>
      <c r="H30" s="102"/>
      <c r="I30" s="102"/>
      <c r="J30" s="103"/>
      <c r="K30" s="102"/>
      <c r="L30" s="104"/>
      <c r="M30" s="97"/>
      <c r="N30" s="96"/>
      <c r="O30" s="96"/>
      <c r="P30" s="98"/>
    </row>
    <row r="31" spans="1:16" ht="13">
      <c r="B31" s="64" t="s">
        <v>76</v>
      </c>
      <c r="C31" s="78"/>
      <c r="D31" s="78"/>
      <c r="E31" s="62"/>
      <c r="F31" s="96"/>
      <c r="G31" s="97"/>
      <c r="H31" s="96"/>
      <c r="I31" s="96"/>
      <c r="J31" s="97"/>
      <c r="K31" s="96"/>
      <c r="L31" s="98"/>
      <c r="M31" s="97"/>
      <c r="N31" s="96"/>
      <c r="O31" s="96"/>
      <c r="P31" s="98"/>
    </row>
    <row r="32" spans="1:16">
      <c r="A32" s="36">
        <v>12</v>
      </c>
      <c r="B32" s="65" t="s">
        <v>504</v>
      </c>
      <c r="C32" s="66" t="s">
        <v>487</v>
      </c>
      <c r="D32" s="66" t="s">
        <v>63</v>
      </c>
      <c r="E32" s="60">
        <v>51390</v>
      </c>
      <c r="F32" s="67"/>
      <c r="G32" s="97"/>
      <c r="H32" s="96"/>
      <c r="I32" s="96"/>
      <c r="J32" s="97"/>
      <c r="K32" s="96">
        <f>E32</f>
        <v>51390</v>
      </c>
      <c r="L32" s="98"/>
      <c r="M32" s="97"/>
      <c r="N32" s="96"/>
      <c r="O32" s="96"/>
      <c r="P32" s="98"/>
    </row>
    <row r="33" spans="1:16">
      <c r="B33" s="65" t="s">
        <v>418</v>
      </c>
      <c r="C33" s="66" t="s">
        <v>492</v>
      </c>
      <c r="D33" s="66" t="s">
        <v>138</v>
      </c>
      <c r="E33" s="60">
        <v>71775</v>
      </c>
      <c r="F33" s="67"/>
      <c r="G33" s="97"/>
      <c r="H33" s="96"/>
      <c r="I33" s="96"/>
      <c r="J33" s="97"/>
      <c r="K33" s="96">
        <f>E33</f>
        <v>71775</v>
      </c>
      <c r="L33" s="98"/>
      <c r="M33" s="97"/>
      <c r="N33" s="96"/>
      <c r="O33" s="96"/>
      <c r="P33" s="98"/>
    </row>
    <row r="34" spans="1:16">
      <c r="A34" s="36">
        <v>13</v>
      </c>
      <c r="B34" s="65" t="s">
        <v>419</v>
      </c>
      <c r="C34" s="66" t="s">
        <v>486</v>
      </c>
      <c r="D34" s="66" t="s">
        <v>63</v>
      </c>
      <c r="E34" s="60">
        <v>83200</v>
      </c>
      <c r="F34" s="67"/>
      <c r="G34" s="97"/>
      <c r="H34" s="96"/>
      <c r="I34" s="96"/>
      <c r="J34" s="97"/>
      <c r="K34" s="96"/>
      <c r="L34" s="98">
        <f>E34</f>
        <v>83200</v>
      </c>
      <c r="M34" s="97"/>
      <c r="N34" s="96"/>
      <c r="O34" s="96"/>
      <c r="P34" s="98"/>
    </row>
    <row r="35" spans="1:16">
      <c r="B35" s="65" t="s">
        <v>420</v>
      </c>
      <c r="C35" s="66" t="s">
        <v>530</v>
      </c>
      <c r="D35" s="66" t="s">
        <v>47</v>
      </c>
      <c r="E35" s="60">
        <v>41940</v>
      </c>
      <c r="F35" s="96"/>
      <c r="G35" s="97"/>
      <c r="H35" s="67"/>
      <c r="I35" s="96"/>
      <c r="J35" s="97"/>
      <c r="K35" s="96"/>
      <c r="L35" s="98">
        <f>E35</f>
        <v>41940</v>
      </c>
      <c r="M35" s="97"/>
      <c r="N35" s="96"/>
      <c r="O35" s="96"/>
      <c r="P35" s="98"/>
    </row>
    <row r="36" spans="1:16">
      <c r="A36" s="36">
        <v>14</v>
      </c>
      <c r="B36" s="65" t="s">
        <v>421</v>
      </c>
      <c r="C36" s="66" t="s">
        <v>359</v>
      </c>
      <c r="D36" s="66" t="s">
        <v>359</v>
      </c>
      <c r="E36" s="60">
        <v>115800</v>
      </c>
      <c r="F36" s="96"/>
      <c r="G36" s="97"/>
      <c r="H36" s="67"/>
      <c r="I36" s="96"/>
      <c r="J36" s="97"/>
      <c r="K36" s="96">
        <f>E36</f>
        <v>115800</v>
      </c>
      <c r="L36" s="98"/>
      <c r="M36" s="97"/>
      <c r="N36" s="96"/>
      <c r="O36" s="96"/>
      <c r="P36" s="98"/>
    </row>
    <row r="37" spans="1:16">
      <c r="B37" s="65" t="s">
        <v>422</v>
      </c>
      <c r="C37" s="66" t="s">
        <v>166</v>
      </c>
      <c r="D37" s="66" t="s">
        <v>47</v>
      </c>
      <c r="E37" s="60">
        <v>46500</v>
      </c>
      <c r="F37" s="96"/>
      <c r="G37" s="97"/>
      <c r="H37" s="67"/>
      <c r="I37" s="96"/>
      <c r="J37" s="97"/>
      <c r="K37" s="96">
        <f>E37</f>
        <v>46500</v>
      </c>
      <c r="L37" s="98"/>
      <c r="M37" s="97"/>
      <c r="N37" s="96"/>
      <c r="O37" s="96"/>
      <c r="P37" s="98"/>
    </row>
    <row r="38" spans="1:16">
      <c r="B38" s="65" t="s">
        <v>423</v>
      </c>
      <c r="C38" s="66" t="s">
        <v>45</v>
      </c>
      <c r="D38" s="66" t="s">
        <v>45</v>
      </c>
      <c r="E38" s="60">
        <v>2850</v>
      </c>
      <c r="F38" s="96"/>
      <c r="G38" s="97"/>
      <c r="H38" s="67"/>
      <c r="I38" s="96"/>
      <c r="J38" s="97"/>
      <c r="K38" s="96">
        <f>E38</f>
        <v>2850</v>
      </c>
      <c r="L38" s="98"/>
      <c r="M38" s="97"/>
      <c r="N38" s="96"/>
      <c r="O38" s="96"/>
      <c r="P38" s="98"/>
    </row>
    <row r="39" spans="1:16">
      <c r="B39" s="1008" t="s">
        <v>436</v>
      </c>
      <c r="C39" s="1021" t="s">
        <v>489</v>
      </c>
      <c r="D39" s="1021" t="s">
        <v>82</v>
      </c>
      <c r="E39" s="1022">
        <v>35000</v>
      </c>
      <c r="F39" s="96"/>
      <c r="G39" s="72"/>
      <c r="H39" s="96"/>
      <c r="I39" s="96"/>
      <c r="J39" s="97">
        <f t="shared" ref="J39:J45" si="3">E39</f>
        <v>35000</v>
      </c>
      <c r="K39" s="96"/>
      <c r="L39" s="98"/>
      <c r="M39" s="97"/>
      <c r="N39" s="96"/>
      <c r="O39" s="96"/>
      <c r="P39" s="98"/>
    </row>
    <row r="40" spans="1:16">
      <c r="B40" s="1008" t="s">
        <v>424</v>
      </c>
      <c r="C40" s="1021" t="s">
        <v>499</v>
      </c>
      <c r="D40" s="1021" t="s">
        <v>82</v>
      </c>
      <c r="E40" s="1022">
        <f>178500-E39-E41</f>
        <v>63150</v>
      </c>
      <c r="F40" s="96"/>
      <c r="G40" s="72"/>
      <c r="H40" s="96"/>
      <c r="I40" s="96"/>
      <c r="J40" s="97">
        <f t="shared" si="3"/>
        <v>63150</v>
      </c>
      <c r="K40" s="96"/>
      <c r="L40" s="98"/>
      <c r="M40" s="97"/>
      <c r="N40" s="96"/>
      <c r="O40" s="96"/>
      <c r="P40" s="98"/>
    </row>
    <row r="41" spans="1:16">
      <c r="B41" s="1008" t="s">
        <v>412</v>
      </c>
      <c r="C41" s="1021" t="s">
        <v>500</v>
      </c>
      <c r="D41" s="1021" t="s">
        <v>82</v>
      </c>
      <c r="E41" s="1022">
        <f>E7+E8+E9/2+5000</f>
        <v>80350</v>
      </c>
      <c r="F41" s="96"/>
      <c r="G41" s="72"/>
      <c r="H41" s="96"/>
      <c r="I41" s="96"/>
      <c r="J41" s="97">
        <f t="shared" si="3"/>
        <v>80350</v>
      </c>
      <c r="K41" s="96"/>
      <c r="L41" s="98"/>
      <c r="M41" s="97"/>
      <c r="N41" s="96"/>
      <c r="O41" s="96"/>
      <c r="P41" s="98"/>
    </row>
    <row r="42" spans="1:16">
      <c r="A42" s="36">
        <v>15</v>
      </c>
      <c r="B42" s="65" t="s">
        <v>479</v>
      </c>
      <c r="C42" s="66" t="s">
        <v>45</v>
      </c>
      <c r="D42" s="66" t="s">
        <v>45</v>
      </c>
      <c r="E42" s="60">
        <v>10000</v>
      </c>
      <c r="F42" s="96"/>
      <c r="G42" s="97"/>
      <c r="H42" s="67"/>
      <c r="I42" s="96"/>
      <c r="J42" s="97">
        <f t="shared" si="3"/>
        <v>10000</v>
      </c>
      <c r="K42" s="96"/>
      <c r="L42" s="98"/>
      <c r="M42" s="97"/>
      <c r="N42" s="96"/>
      <c r="O42" s="96"/>
      <c r="P42" s="98"/>
    </row>
    <row r="43" spans="1:16">
      <c r="B43" s="65" t="s">
        <v>480</v>
      </c>
      <c r="C43" s="66" t="s">
        <v>46</v>
      </c>
      <c r="D43" s="66" t="s">
        <v>46</v>
      </c>
      <c r="E43" s="60">
        <f>160000+62000</f>
        <v>222000</v>
      </c>
      <c r="F43" s="96"/>
      <c r="G43" s="97"/>
      <c r="H43" s="67"/>
      <c r="I43" s="96"/>
      <c r="J43" s="97">
        <f t="shared" si="3"/>
        <v>222000</v>
      </c>
      <c r="K43" s="96"/>
      <c r="L43" s="98"/>
      <c r="M43" s="97"/>
      <c r="N43" s="96"/>
      <c r="O43" s="96"/>
      <c r="P43" s="98"/>
    </row>
    <row r="44" spans="1:16">
      <c r="B44" s="65" t="s">
        <v>481</v>
      </c>
      <c r="C44" s="66" t="s">
        <v>483</v>
      </c>
      <c r="D44" s="66" t="s">
        <v>359</v>
      </c>
      <c r="E44" s="60">
        <v>89000</v>
      </c>
      <c r="F44" s="96"/>
      <c r="G44" s="97"/>
      <c r="H44" s="67"/>
      <c r="I44" s="96"/>
      <c r="J44" s="97">
        <f t="shared" si="3"/>
        <v>89000</v>
      </c>
      <c r="K44" s="96"/>
      <c r="L44" s="98"/>
      <c r="M44" s="97"/>
      <c r="N44" s="96"/>
      <c r="O44" s="96"/>
      <c r="P44" s="98"/>
    </row>
    <row r="45" spans="1:16">
      <c r="B45" s="65" t="s">
        <v>482</v>
      </c>
      <c r="C45" s="66" t="s">
        <v>494</v>
      </c>
      <c r="D45" s="66" t="s">
        <v>45</v>
      </c>
      <c r="E45" s="60">
        <f>E44/5</f>
        <v>17800</v>
      </c>
      <c r="F45" s="96"/>
      <c r="G45" s="97"/>
      <c r="H45" s="67"/>
      <c r="I45" s="96"/>
      <c r="J45" s="97">
        <f t="shared" si="3"/>
        <v>17800</v>
      </c>
      <c r="K45" s="96"/>
      <c r="L45" s="98"/>
      <c r="M45" s="97"/>
      <c r="N45" s="96"/>
      <c r="O45" s="96"/>
      <c r="P45" s="98"/>
    </row>
    <row r="46" spans="1:16">
      <c r="A46" s="36">
        <v>16</v>
      </c>
      <c r="B46" s="65" t="s">
        <v>410</v>
      </c>
      <c r="C46" s="66" t="s">
        <v>427</v>
      </c>
      <c r="D46" s="66" t="s">
        <v>82</v>
      </c>
      <c r="E46" s="60">
        <f>E47/2</f>
        <v>16800</v>
      </c>
      <c r="F46" s="96"/>
      <c r="G46" s="97"/>
      <c r="H46" s="67"/>
      <c r="I46" s="96"/>
      <c r="J46" s="97"/>
      <c r="K46" s="96"/>
      <c r="L46" s="98">
        <f t="shared" ref="L46:L51" si="4">E46</f>
        <v>16800</v>
      </c>
      <c r="M46" s="97"/>
      <c r="N46" s="96"/>
      <c r="O46" s="96"/>
      <c r="P46" s="98"/>
    </row>
    <row r="47" spans="1:16">
      <c r="B47" s="65" t="s">
        <v>426</v>
      </c>
      <c r="C47" s="66" t="s">
        <v>530</v>
      </c>
      <c r="D47" s="66" t="s">
        <v>47</v>
      </c>
      <c r="E47" s="60">
        <v>33600</v>
      </c>
      <c r="F47" s="96"/>
      <c r="G47" s="97"/>
      <c r="H47" s="67"/>
      <c r="I47" s="96"/>
      <c r="J47" s="97"/>
      <c r="K47" s="96"/>
      <c r="L47" s="98">
        <f t="shared" si="4"/>
        <v>33600</v>
      </c>
      <c r="M47" s="97"/>
      <c r="N47" s="96"/>
      <c r="O47" s="96"/>
      <c r="P47" s="98"/>
    </row>
    <row r="48" spans="1:16">
      <c r="A48" s="36">
        <v>17</v>
      </c>
      <c r="B48" s="76" t="s">
        <v>429</v>
      </c>
      <c r="C48" s="66" t="s">
        <v>494</v>
      </c>
      <c r="D48" s="66" t="s">
        <v>45</v>
      </c>
      <c r="E48" s="60">
        <v>24000</v>
      </c>
      <c r="F48" s="96"/>
      <c r="G48" s="97"/>
      <c r="H48" s="67"/>
      <c r="I48" s="96"/>
      <c r="J48" s="97"/>
      <c r="K48" s="96"/>
      <c r="L48" s="98">
        <f t="shared" si="4"/>
        <v>24000</v>
      </c>
      <c r="M48" s="97"/>
      <c r="N48" s="96"/>
      <c r="O48" s="96"/>
      <c r="P48" s="98"/>
    </row>
    <row r="49" spans="1:16">
      <c r="B49" s="76" t="s">
        <v>428</v>
      </c>
      <c r="C49" s="66" t="s">
        <v>166</v>
      </c>
      <c r="D49" s="66" t="s">
        <v>47</v>
      </c>
      <c r="E49" s="60">
        <v>20400</v>
      </c>
      <c r="F49" s="96"/>
      <c r="G49" s="97"/>
      <c r="H49" s="67"/>
      <c r="I49" s="96"/>
      <c r="J49" s="97"/>
      <c r="K49" s="96"/>
      <c r="L49" s="98">
        <f t="shared" si="4"/>
        <v>20400</v>
      </c>
      <c r="M49" s="97"/>
      <c r="N49" s="96"/>
      <c r="O49" s="96"/>
      <c r="P49" s="98"/>
    </row>
    <row r="50" spans="1:16">
      <c r="B50" s="76" t="s">
        <v>430</v>
      </c>
      <c r="C50" s="66" t="s">
        <v>498</v>
      </c>
      <c r="D50" s="66" t="s">
        <v>46</v>
      </c>
      <c r="E50" s="60">
        <v>27360</v>
      </c>
      <c r="F50" s="96"/>
      <c r="G50" s="97"/>
      <c r="H50" s="67"/>
      <c r="I50" s="96"/>
      <c r="J50" s="97"/>
      <c r="K50" s="96"/>
      <c r="L50" s="98">
        <f t="shared" si="4"/>
        <v>27360</v>
      </c>
      <c r="M50" s="97"/>
      <c r="N50" s="96"/>
      <c r="O50" s="96"/>
      <c r="P50" s="98"/>
    </row>
    <row r="51" spans="1:16">
      <c r="B51" s="76" t="s">
        <v>431</v>
      </c>
      <c r="C51" s="66" t="s">
        <v>486</v>
      </c>
      <c r="D51" s="66" t="s">
        <v>63</v>
      </c>
      <c r="E51" s="60">
        <v>18240</v>
      </c>
      <c r="F51" s="96"/>
      <c r="G51" s="97"/>
      <c r="H51" s="67"/>
      <c r="I51" s="96"/>
      <c r="J51" s="97"/>
      <c r="K51" s="96"/>
      <c r="L51" s="98">
        <f t="shared" si="4"/>
        <v>18240</v>
      </c>
      <c r="M51" s="97"/>
      <c r="N51" s="96"/>
      <c r="O51" s="96"/>
      <c r="P51" s="98"/>
    </row>
    <row r="52" spans="1:16">
      <c r="A52" s="36">
        <v>18</v>
      </c>
      <c r="B52" s="65" t="s">
        <v>503</v>
      </c>
      <c r="C52" s="66" t="s">
        <v>45</v>
      </c>
      <c r="D52" s="66" t="s">
        <v>45</v>
      </c>
      <c r="E52" s="60">
        <f>45*70*2</f>
        <v>6300</v>
      </c>
      <c r="F52" s="96"/>
      <c r="G52" s="97"/>
      <c r="H52" s="67"/>
      <c r="I52" s="67"/>
      <c r="J52" s="97"/>
      <c r="K52" s="96">
        <f>E52</f>
        <v>6300</v>
      </c>
      <c r="L52" s="98"/>
      <c r="M52" s="97"/>
      <c r="N52" s="96"/>
      <c r="O52" s="96"/>
      <c r="P52" s="98"/>
    </row>
    <row r="53" spans="1:16">
      <c r="B53" s="65" t="s">
        <v>433</v>
      </c>
      <c r="C53" s="66" t="s">
        <v>139</v>
      </c>
      <c r="D53" s="66" t="s">
        <v>45</v>
      </c>
      <c r="E53" s="60">
        <f>9100*2</f>
        <v>18200</v>
      </c>
      <c r="F53" s="96"/>
      <c r="G53" s="97"/>
      <c r="H53" s="67"/>
      <c r="I53" s="67"/>
      <c r="J53" s="97"/>
      <c r="K53" s="96">
        <f>E53</f>
        <v>18200</v>
      </c>
      <c r="L53" s="98"/>
      <c r="M53" s="97"/>
      <c r="N53" s="96"/>
      <c r="O53" s="96"/>
      <c r="P53" s="98"/>
    </row>
    <row r="54" spans="1:16">
      <c r="B54" s="65" t="s">
        <v>434</v>
      </c>
      <c r="C54" s="66" t="s">
        <v>359</v>
      </c>
      <c r="D54" s="66" t="s">
        <v>359</v>
      </c>
      <c r="E54" s="60">
        <v>67150</v>
      </c>
      <c r="F54" s="96"/>
      <c r="G54" s="97"/>
      <c r="H54" s="67"/>
      <c r="I54" s="67"/>
      <c r="J54" s="97"/>
      <c r="K54" s="96">
        <f>E54</f>
        <v>67150</v>
      </c>
      <c r="L54" s="98"/>
      <c r="M54" s="97"/>
      <c r="N54" s="96"/>
      <c r="O54" s="96"/>
      <c r="P54" s="98"/>
    </row>
    <row r="55" spans="1:16">
      <c r="B55" s="65" t="s">
        <v>425</v>
      </c>
      <c r="C55" s="66" t="s">
        <v>499</v>
      </c>
      <c r="D55" s="66" t="s">
        <v>82</v>
      </c>
      <c r="E55" s="60">
        <f>200*150</f>
        <v>30000</v>
      </c>
      <c r="F55" s="96"/>
      <c r="G55" s="97"/>
      <c r="H55" s="67"/>
      <c r="I55" s="67"/>
      <c r="J55" s="97"/>
      <c r="K55" s="96"/>
      <c r="L55" s="98">
        <f>E55</f>
        <v>30000</v>
      </c>
      <c r="M55" s="97"/>
      <c r="N55" s="96"/>
      <c r="O55" s="96"/>
      <c r="P55" s="98"/>
    </row>
    <row r="56" spans="1:16" ht="13" thickBot="1">
      <c r="B56" s="68" t="s">
        <v>432</v>
      </c>
      <c r="C56" s="69" t="s">
        <v>488</v>
      </c>
      <c r="D56" s="69" t="s">
        <v>82</v>
      </c>
      <c r="E56" s="70">
        <f>18400+300*50+72*120</f>
        <v>42040</v>
      </c>
      <c r="F56" s="99"/>
      <c r="G56" s="100"/>
      <c r="H56" s="71"/>
      <c r="I56" s="99"/>
      <c r="J56" s="100"/>
      <c r="K56" s="99"/>
      <c r="L56" s="98">
        <f>E56</f>
        <v>42040</v>
      </c>
      <c r="M56" s="100"/>
      <c r="N56" s="99"/>
      <c r="O56" s="99"/>
      <c r="P56" s="101"/>
    </row>
    <row r="57" spans="1:16" ht="4.5" customHeight="1">
      <c r="B57" s="74"/>
      <c r="C57" s="80"/>
      <c r="D57" s="80"/>
      <c r="E57" s="75"/>
      <c r="F57" s="102"/>
      <c r="G57" s="103"/>
      <c r="H57" s="102"/>
      <c r="I57" s="104"/>
      <c r="J57" s="103"/>
      <c r="K57" s="102"/>
      <c r="L57" s="104"/>
      <c r="M57" s="103"/>
      <c r="N57" s="102"/>
      <c r="O57" s="102"/>
      <c r="P57" s="104"/>
    </row>
    <row r="58" spans="1:16" ht="13">
      <c r="B58" s="64" t="s">
        <v>77</v>
      </c>
      <c r="C58" s="78"/>
      <c r="D58" s="78"/>
      <c r="E58" s="62"/>
      <c r="F58" s="96"/>
      <c r="G58" s="97"/>
      <c r="H58" s="96"/>
      <c r="I58" s="98"/>
      <c r="J58" s="97"/>
      <c r="K58" s="96"/>
      <c r="L58" s="98"/>
      <c r="M58" s="97"/>
      <c r="N58" s="96"/>
      <c r="O58" s="96"/>
      <c r="P58" s="98"/>
    </row>
    <row r="59" spans="1:16">
      <c r="A59" s="36">
        <v>19</v>
      </c>
      <c r="B59" s="65" t="s">
        <v>444</v>
      </c>
      <c r="C59" s="66" t="s">
        <v>45</v>
      </c>
      <c r="D59" s="66" t="s">
        <v>45</v>
      </c>
      <c r="E59" s="60">
        <v>8800</v>
      </c>
      <c r="F59" s="96"/>
      <c r="G59" s="97"/>
      <c r="H59" s="96"/>
      <c r="I59" s="98"/>
      <c r="J59" s="97"/>
      <c r="K59" s="96"/>
      <c r="L59" s="98"/>
      <c r="M59" s="97"/>
      <c r="N59" s="96">
        <f>E59</f>
        <v>8800</v>
      </c>
      <c r="O59" s="96"/>
      <c r="P59" s="98"/>
    </row>
    <row r="60" spans="1:16">
      <c r="B60" s="65" t="s">
        <v>445</v>
      </c>
      <c r="C60" s="66" t="s">
        <v>487</v>
      </c>
      <c r="D60" s="66" t="s">
        <v>63</v>
      </c>
      <c r="E60" s="60">
        <v>14000</v>
      </c>
      <c r="F60" s="96"/>
      <c r="G60" s="97"/>
      <c r="H60" s="96"/>
      <c r="I60" s="98"/>
      <c r="J60" s="97"/>
      <c r="K60" s="96"/>
      <c r="L60" s="98"/>
      <c r="M60" s="97"/>
      <c r="N60" s="96">
        <f>E60</f>
        <v>14000</v>
      </c>
      <c r="O60" s="96"/>
      <c r="P60" s="98"/>
    </row>
    <row r="61" spans="1:16">
      <c r="A61" s="36">
        <v>20</v>
      </c>
      <c r="B61" s="65" t="s">
        <v>446</v>
      </c>
      <c r="C61" s="66" t="s">
        <v>45</v>
      </c>
      <c r="D61" s="66" t="s">
        <v>45</v>
      </c>
      <c r="E61" s="60">
        <v>7700</v>
      </c>
      <c r="F61" s="96"/>
      <c r="G61" s="97"/>
      <c r="H61" s="96"/>
      <c r="I61" s="98"/>
      <c r="J61" s="97"/>
      <c r="K61" s="96"/>
      <c r="L61" s="98"/>
      <c r="M61" s="97"/>
      <c r="N61" s="96">
        <f>E61</f>
        <v>7700</v>
      </c>
      <c r="O61" s="96"/>
      <c r="P61" s="98"/>
    </row>
    <row r="62" spans="1:16">
      <c r="B62" s="65" t="s">
        <v>448</v>
      </c>
      <c r="C62" s="66" t="s">
        <v>487</v>
      </c>
      <c r="D62" s="66" t="s">
        <v>63</v>
      </c>
      <c r="E62" s="60">
        <v>15000</v>
      </c>
      <c r="F62" s="96"/>
      <c r="G62" s="97"/>
      <c r="H62" s="96"/>
      <c r="I62" s="98"/>
      <c r="J62" s="97"/>
      <c r="K62" s="96"/>
      <c r="L62" s="98"/>
      <c r="M62" s="97"/>
      <c r="N62" s="96">
        <f>E62</f>
        <v>15000</v>
      </c>
      <c r="O62" s="96"/>
      <c r="P62" s="98"/>
    </row>
    <row r="63" spans="1:16">
      <c r="B63" s="65" t="s">
        <v>447</v>
      </c>
      <c r="C63" s="66" t="s">
        <v>486</v>
      </c>
      <c r="D63" s="66" t="s">
        <v>63</v>
      </c>
      <c r="E63" s="60">
        <v>15000</v>
      </c>
      <c r="F63" s="96"/>
      <c r="G63" s="97"/>
      <c r="H63" s="96"/>
      <c r="I63" s="98"/>
      <c r="J63" s="97"/>
      <c r="K63" s="96"/>
      <c r="L63" s="98"/>
      <c r="M63" s="97"/>
      <c r="N63" s="96">
        <f>E63</f>
        <v>15000</v>
      </c>
      <c r="O63" s="96"/>
      <c r="P63" s="98"/>
    </row>
    <row r="64" spans="1:16">
      <c r="A64" s="36">
        <v>21</v>
      </c>
      <c r="B64" s="65" t="s">
        <v>450</v>
      </c>
      <c r="C64" s="66" t="s">
        <v>45</v>
      </c>
      <c r="D64" s="66" t="s">
        <v>45</v>
      </c>
      <c r="E64" s="60">
        <v>9000</v>
      </c>
      <c r="F64" s="96"/>
      <c r="G64" s="97"/>
      <c r="H64" s="96"/>
      <c r="I64" s="98"/>
      <c r="J64" s="97"/>
      <c r="K64" s="96"/>
      <c r="L64" s="98"/>
      <c r="M64" s="97"/>
      <c r="N64" s="96"/>
      <c r="O64" s="96">
        <f>E64</f>
        <v>9000</v>
      </c>
      <c r="P64" s="98"/>
    </row>
    <row r="65" spans="1:16">
      <c r="B65" s="65" t="s">
        <v>449</v>
      </c>
      <c r="C65" s="66" t="s">
        <v>487</v>
      </c>
      <c r="D65" s="66" t="s">
        <v>63</v>
      </c>
      <c r="E65" s="60">
        <v>15500</v>
      </c>
      <c r="F65" s="96"/>
      <c r="G65" s="97"/>
      <c r="H65" s="96"/>
      <c r="I65" s="98"/>
      <c r="J65" s="97"/>
      <c r="K65" s="96"/>
      <c r="L65" s="98"/>
      <c r="M65" s="97"/>
      <c r="N65" s="96"/>
      <c r="O65" s="96">
        <f>E65</f>
        <v>15500</v>
      </c>
      <c r="P65" s="98"/>
    </row>
    <row r="66" spans="1:16">
      <c r="A66" s="36">
        <v>22</v>
      </c>
      <c r="B66" s="65" t="s">
        <v>451</v>
      </c>
      <c r="C66" s="66" t="s">
        <v>45</v>
      </c>
      <c r="D66" s="66" t="s">
        <v>45</v>
      </c>
      <c r="E66" s="60">
        <v>7000</v>
      </c>
      <c r="F66" s="96"/>
      <c r="G66" s="97"/>
      <c r="H66" s="96"/>
      <c r="I66" s="98"/>
      <c r="J66" s="97"/>
      <c r="K66" s="96"/>
      <c r="L66" s="98"/>
      <c r="M66" s="97"/>
      <c r="N66" s="96"/>
      <c r="O66" s="96">
        <f>E66</f>
        <v>7000</v>
      </c>
      <c r="P66" s="98"/>
    </row>
    <row r="67" spans="1:16">
      <c r="B67" s="65" t="s">
        <v>452</v>
      </c>
      <c r="C67" s="66" t="s">
        <v>487</v>
      </c>
      <c r="D67" s="66" t="s">
        <v>63</v>
      </c>
      <c r="E67" s="60">
        <v>14600</v>
      </c>
      <c r="F67" s="96"/>
      <c r="G67" s="97"/>
      <c r="H67" s="96"/>
      <c r="I67" s="98"/>
      <c r="J67" s="97"/>
      <c r="K67" s="96"/>
      <c r="L67" s="98"/>
      <c r="M67" s="97"/>
      <c r="N67" s="96"/>
      <c r="O67" s="96">
        <f>E67</f>
        <v>14600</v>
      </c>
      <c r="P67" s="98"/>
    </row>
    <row r="68" spans="1:16">
      <c r="B68" s="65" t="s">
        <v>453</v>
      </c>
      <c r="C68" s="66" t="s">
        <v>486</v>
      </c>
      <c r="D68" s="66" t="s">
        <v>63</v>
      </c>
      <c r="E68" s="60">
        <v>35500</v>
      </c>
      <c r="F68" s="96"/>
      <c r="G68" s="97"/>
      <c r="H68" s="96"/>
      <c r="I68" s="98"/>
      <c r="J68" s="97"/>
      <c r="K68" s="96"/>
      <c r="L68" s="98"/>
      <c r="M68" s="97"/>
      <c r="N68" s="96"/>
      <c r="O68" s="96">
        <f>E68</f>
        <v>35500</v>
      </c>
      <c r="P68" s="98"/>
    </row>
    <row r="69" spans="1:16">
      <c r="B69" s="65" t="s">
        <v>455</v>
      </c>
      <c r="C69" s="66" t="s">
        <v>499</v>
      </c>
      <c r="D69" s="66" t="s">
        <v>82</v>
      </c>
      <c r="E69" s="60">
        <v>30000</v>
      </c>
      <c r="F69" s="96"/>
      <c r="G69" s="97"/>
      <c r="H69" s="96"/>
      <c r="I69" s="98"/>
      <c r="J69" s="97"/>
      <c r="K69" s="96"/>
      <c r="L69" s="98"/>
      <c r="M69" s="97">
        <f>E69</f>
        <v>30000</v>
      </c>
      <c r="N69" s="96"/>
      <c r="O69" s="96"/>
      <c r="P69" s="98"/>
    </row>
    <row r="70" spans="1:16">
      <c r="A70" s="36">
        <v>23</v>
      </c>
      <c r="B70" s="65" t="s">
        <v>454</v>
      </c>
      <c r="C70" s="66" t="s">
        <v>497</v>
      </c>
      <c r="D70" s="66" t="s">
        <v>435</v>
      </c>
      <c r="E70" s="60">
        <v>25300</v>
      </c>
      <c r="F70" s="96"/>
      <c r="G70" s="97"/>
      <c r="H70" s="96"/>
      <c r="I70" s="98"/>
      <c r="J70" s="97"/>
      <c r="K70" s="96"/>
      <c r="L70" s="98"/>
      <c r="M70" s="97">
        <f>E70</f>
        <v>25300</v>
      </c>
      <c r="N70" s="96"/>
      <c r="O70" s="96"/>
      <c r="P70" s="98"/>
    </row>
    <row r="71" spans="1:16">
      <c r="B71" s="65" t="s">
        <v>456</v>
      </c>
      <c r="C71" s="66" t="s">
        <v>488</v>
      </c>
      <c r="D71" s="66" t="s">
        <v>82</v>
      </c>
      <c r="E71" s="60">
        <f>640*50</f>
        <v>32000</v>
      </c>
      <c r="F71" s="96"/>
      <c r="G71" s="97"/>
      <c r="H71" s="96"/>
      <c r="I71" s="98"/>
      <c r="J71" s="97"/>
      <c r="K71" s="96"/>
      <c r="L71" s="98"/>
      <c r="M71" s="97"/>
      <c r="N71" s="96"/>
      <c r="O71" s="96">
        <f>E71</f>
        <v>32000</v>
      </c>
      <c r="P71" s="98"/>
    </row>
    <row r="72" spans="1:16">
      <c r="B72" s="65" t="s">
        <v>457</v>
      </c>
      <c r="C72" s="66" t="s">
        <v>359</v>
      </c>
      <c r="D72" s="66" t="s">
        <v>359</v>
      </c>
      <c r="E72" s="60">
        <v>50500</v>
      </c>
      <c r="F72" s="96"/>
      <c r="G72" s="97"/>
      <c r="H72" s="96"/>
      <c r="I72" s="98"/>
      <c r="J72" s="72"/>
      <c r="K72" s="96"/>
      <c r="L72" s="98"/>
      <c r="M72" s="97">
        <f t="shared" ref="M72:M77" si="5">E72</f>
        <v>50500</v>
      </c>
      <c r="N72" s="96"/>
      <c r="O72" s="96"/>
      <c r="P72" s="98"/>
    </row>
    <row r="73" spans="1:16">
      <c r="B73" s="65" t="s">
        <v>458</v>
      </c>
      <c r="C73" s="66" t="s">
        <v>166</v>
      </c>
      <c r="D73" s="66" t="s">
        <v>47</v>
      </c>
      <c r="E73" s="60">
        <v>21000</v>
      </c>
      <c r="F73" s="96"/>
      <c r="G73" s="97"/>
      <c r="H73" s="96"/>
      <c r="I73" s="98"/>
      <c r="J73" s="72"/>
      <c r="K73" s="96"/>
      <c r="L73" s="98"/>
      <c r="M73" s="97">
        <f t="shared" si="5"/>
        <v>21000</v>
      </c>
      <c r="N73" s="96"/>
      <c r="O73" s="96"/>
      <c r="P73" s="98"/>
    </row>
    <row r="74" spans="1:16">
      <c r="B74" s="65" t="s">
        <v>459</v>
      </c>
      <c r="C74" s="66" t="s">
        <v>134</v>
      </c>
      <c r="D74" s="66" t="s">
        <v>435</v>
      </c>
      <c r="E74" s="60">
        <v>10800</v>
      </c>
      <c r="F74" s="96"/>
      <c r="G74" s="97"/>
      <c r="H74" s="96"/>
      <c r="I74" s="98"/>
      <c r="J74" s="72"/>
      <c r="K74" s="96"/>
      <c r="L74" s="98"/>
      <c r="M74" s="97">
        <f t="shared" si="5"/>
        <v>10800</v>
      </c>
      <c r="N74" s="96"/>
      <c r="O74" s="96"/>
      <c r="P74" s="98"/>
    </row>
    <row r="75" spans="1:16">
      <c r="B75" s="65" t="s">
        <v>460</v>
      </c>
      <c r="C75" s="66" t="s">
        <v>359</v>
      </c>
      <c r="D75" s="66" t="s">
        <v>359</v>
      </c>
      <c r="E75" s="60">
        <v>116500</v>
      </c>
      <c r="F75" s="96"/>
      <c r="G75" s="97"/>
      <c r="H75" s="96"/>
      <c r="I75" s="98"/>
      <c r="J75" s="72"/>
      <c r="K75" s="96"/>
      <c r="L75" s="98"/>
      <c r="M75" s="97">
        <f t="shared" si="5"/>
        <v>116500</v>
      </c>
      <c r="N75" s="96"/>
      <c r="O75" s="96"/>
      <c r="P75" s="98"/>
    </row>
    <row r="76" spans="1:16">
      <c r="B76" s="65" t="s">
        <v>461</v>
      </c>
      <c r="C76" s="66" t="s">
        <v>166</v>
      </c>
      <c r="D76" s="66" t="s">
        <v>47</v>
      </c>
      <c r="E76" s="60">
        <v>37750</v>
      </c>
      <c r="F76" s="96"/>
      <c r="G76" s="97"/>
      <c r="H76" s="96"/>
      <c r="I76" s="98"/>
      <c r="J76" s="72"/>
      <c r="K76" s="96"/>
      <c r="L76" s="98"/>
      <c r="M76" s="97">
        <f t="shared" si="5"/>
        <v>37750</v>
      </c>
      <c r="N76" s="96"/>
      <c r="O76" s="96"/>
      <c r="P76" s="98"/>
    </row>
    <row r="77" spans="1:16">
      <c r="B77" s="65" t="s">
        <v>351</v>
      </c>
      <c r="C77" s="66" t="s">
        <v>505</v>
      </c>
      <c r="D77" s="66" t="s">
        <v>82</v>
      </c>
      <c r="E77" s="60">
        <v>75000</v>
      </c>
      <c r="F77" s="96"/>
      <c r="G77" s="97"/>
      <c r="H77" s="96"/>
      <c r="I77" s="98"/>
      <c r="J77" s="72"/>
      <c r="K77" s="96"/>
      <c r="L77" s="98"/>
      <c r="M77" s="96">
        <f t="shared" si="5"/>
        <v>75000</v>
      </c>
      <c r="N77" s="96"/>
      <c r="O77" s="96"/>
      <c r="P77" s="98"/>
    </row>
    <row r="78" spans="1:16" s="62" customFormat="1" ht="13" thickBot="1">
      <c r="B78" s="68" t="s">
        <v>351</v>
      </c>
      <c r="C78" s="69" t="s">
        <v>490</v>
      </c>
      <c r="D78" s="69" t="s">
        <v>82</v>
      </c>
      <c r="E78" s="70">
        <v>50000</v>
      </c>
      <c r="F78" s="99"/>
      <c r="G78" s="100"/>
      <c r="H78" s="99"/>
      <c r="I78" s="101"/>
      <c r="J78" s="73"/>
      <c r="K78" s="71"/>
      <c r="L78" s="101"/>
      <c r="M78" s="99"/>
      <c r="N78" s="99"/>
      <c r="O78" s="99"/>
      <c r="P78" s="101">
        <f>E78</f>
        <v>50000</v>
      </c>
    </row>
    <row r="79" spans="1:16" s="62" customFormat="1" ht="4.5" customHeight="1">
      <c r="B79" s="61"/>
      <c r="F79" s="96"/>
      <c r="G79" s="97"/>
      <c r="H79" s="96"/>
      <c r="I79" s="98"/>
      <c r="J79" s="97"/>
      <c r="K79" s="96"/>
      <c r="L79" s="98"/>
      <c r="M79" s="96"/>
      <c r="N79" s="67"/>
      <c r="O79" s="96"/>
      <c r="P79" s="98"/>
    </row>
    <row r="80" spans="1:16" s="62" customFormat="1" ht="13">
      <c r="B80" s="64" t="s">
        <v>100</v>
      </c>
      <c r="C80" s="386" t="s">
        <v>495</v>
      </c>
      <c r="D80" s="386" t="s">
        <v>493</v>
      </c>
      <c r="E80" s="60"/>
      <c r="F80" s="96"/>
      <c r="G80" s="97"/>
      <c r="H80" s="96"/>
      <c r="I80" s="98"/>
      <c r="J80" s="97"/>
      <c r="K80" s="96"/>
      <c r="L80" s="98"/>
      <c r="M80" s="96"/>
      <c r="N80" s="67"/>
      <c r="O80" s="96"/>
      <c r="P80" s="98"/>
    </row>
    <row r="81" spans="2:16">
      <c r="B81" s="65" t="s">
        <v>484</v>
      </c>
      <c r="C81" s="1035">
        <v>198.22640000000001</v>
      </c>
      <c r="D81" s="1021" t="s">
        <v>484</v>
      </c>
      <c r="E81" s="1037">
        <f>SUM(G81:P81)</f>
        <v>204060</v>
      </c>
      <c r="F81" s="199"/>
      <c r="G81" s="1031">
        <f>G108*30%</f>
        <v>41160</v>
      </c>
      <c r="H81" s="1032">
        <f t="shared" ref="H81:P81" si="6">H108*30%</f>
        <v>0</v>
      </c>
      <c r="I81" s="1033">
        <f t="shared" si="6"/>
        <v>57915</v>
      </c>
      <c r="J81" s="1034">
        <v>0</v>
      </c>
      <c r="K81" s="1032">
        <f t="shared" si="6"/>
        <v>54885</v>
      </c>
      <c r="L81" s="1033">
        <f t="shared" si="6"/>
        <v>0</v>
      </c>
      <c r="M81" s="1031">
        <f t="shared" si="6"/>
        <v>50100</v>
      </c>
      <c r="N81" s="1032">
        <f t="shared" si="6"/>
        <v>0</v>
      </c>
      <c r="O81" s="1032">
        <f t="shared" si="6"/>
        <v>0</v>
      </c>
      <c r="P81" s="1033">
        <f t="shared" si="6"/>
        <v>0</v>
      </c>
    </row>
    <row r="82" spans="2:16">
      <c r="B82" s="65" t="s">
        <v>485</v>
      </c>
      <c r="C82" s="1035">
        <v>198.22640000000001</v>
      </c>
      <c r="D82" s="1021" t="s">
        <v>485</v>
      </c>
      <c r="E82" s="1032">
        <f t="shared" ref="E82:E104" si="7">SUM(G82:P82)</f>
        <v>476140</v>
      </c>
      <c r="F82" s="199"/>
      <c r="G82" s="1031">
        <f>G108*70%</f>
        <v>96040</v>
      </c>
      <c r="H82" s="1032">
        <f t="shared" ref="H82:P82" si="8">H108*70%</f>
        <v>0</v>
      </c>
      <c r="I82" s="1033">
        <f t="shared" si="8"/>
        <v>135135</v>
      </c>
      <c r="J82" s="1034">
        <v>0</v>
      </c>
      <c r="K82" s="1032">
        <f t="shared" si="8"/>
        <v>128064.99999999999</v>
      </c>
      <c r="L82" s="1033">
        <f t="shared" si="8"/>
        <v>0</v>
      </c>
      <c r="M82" s="1031">
        <f t="shared" si="8"/>
        <v>116899.99999999999</v>
      </c>
      <c r="N82" s="1032">
        <f t="shared" si="8"/>
        <v>0</v>
      </c>
      <c r="O82" s="1032">
        <f t="shared" si="8"/>
        <v>0</v>
      </c>
      <c r="P82" s="1033">
        <f t="shared" si="8"/>
        <v>0</v>
      </c>
    </row>
    <row r="83" spans="2:16">
      <c r="B83" s="65" t="s">
        <v>483</v>
      </c>
      <c r="C83" s="1035">
        <v>198.22640000000001</v>
      </c>
      <c r="D83" s="1036" t="s">
        <v>483</v>
      </c>
      <c r="E83" s="1037">
        <f t="shared" si="7"/>
        <v>89000</v>
      </c>
      <c r="F83" s="199"/>
      <c r="G83" s="1031">
        <f>G44</f>
        <v>0</v>
      </c>
      <c r="H83" s="1032">
        <f t="shared" ref="H83:P83" si="9">H44</f>
        <v>0</v>
      </c>
      <c r="I83" s="1033">
        <f t="shared" si="9"/>
        <v>0</v>
      </c>
      <c r="J83" s="1031">
        <f t="shared" si="9"/>
        <v>89000</v>
      </c>
      <c r="K83" s="1032">
        <f t="shared" si="9"/>
        <v>0</v>
      </c>
      <c r="L83" s="1033">
        <f t="shared" si="9"/>
        <v>0</v>
      </c>
      <c r="M83" s="1031">
        <f t="shared" si="9"/>
        <v>0</v>
      </c>
      <c r="N83" s="1032">
        <f t="shared" si="9"/>
        <v>0</v>
      </c>
      <c r="O83" s="1032">
        <f t="shared" si="9"/>
        <v>0</v>
      </c>
      <c r="P83" s="1033">
        <f t="shared" si="9"/>
        <v>0</v>
      </c>
    </row>
    <row r="84" spans="2:16">
      <c r="B84" s="65" t="s">
        <v>486</v>
      </c>
      <c r="C84" s="1035">
        <v>187.178</v>
      </c>
      <c r="D84" s="59" t="s">
        <v>63</v>
      </c>
      <c r="E84" s="1037">
        <f t="shared" si="7"/>
        <v>151940</v>
      </c>
      <c r="F84" s="199"/>
      <c r="G84" s="1031">
        <f t="shared" ref="G84:P93" si="10">SUMIFS(G$7:G$78,$C$7:$C$78,$B84)</f>
        <v>0</v>
      </c>
      <c r="H84" s="1032">
        <f t="shared" si="10"/>
        <v>0</v>
      </c>
      <c r="I84" s="1033">
        <f t="shared" si="10"/>
        <v>0</v>
      </c>
      <c r="J84" s="1031">
        <f t="shared" si="10"/>
        <v>0</v>
      </c>
      <c r="K84" s="1032">
        <f t="shared" si="10"/>
        <v>0</v>
      </c>
      <c r="L84" s="1033">
        <f t="shared" si="10"/>
        <v>101440</v>
      </c>
      <c r="M84" s="1031">
        <f t="shared" si="10"/>
        <v>0</v>
      </c>
      <c r="N84" s="1032">
        <f t="shared" si="10"/>
        <v>15000</v>
      </c>
      <c r="O84" s="1032">
        <f t="shared" si="10"/>
        <v>35500</v>
      </c>
      <c r="P84" s="1033">
        <f t="shared" si="10"/>
        <v>0</v>
      </c>
    </row>
    <row r="85" spans="2:16">
      <c r="B85" s="65" t="s">
        <v>487</v>
      </c>
      <c r="C85" s="1035">
        <v>210.738</v>
      </c>
      <c r="D85" s="59" t="s">
        <v>63</v>
      </c>
      <c r="E85" s="1037">
        <f t="shared" si="7"/>
        <v>148840</v>
      </c>
      <c r="F85" s="199"/>
      <c r="G85" s="1031">
        <f t="shared" si="10"/>
        <v>0</v>
      </c>
      <c r="H85" s="1032">
        <f t="shared" si="10"/>
        <v>38350</v>
      </c>
      <c r="I85" s="1033">
        <f t="shared" si="10"/>
        <v>0</v>
      </c>
      <c r="J85" s="1031">
        <f t="shared" si="10"/>
        <v>0</v>
      </c>
      <c r="K85" s="1032">
        <f t="shared" si="10"/>
        <v>51390</v>
      </c>
      <c r="L85" s="1033">
        <f t="shared" si="10"/>
        <v>0</v>
      </c>
      <c r="M85" s="1031">
        <f t="shared" si="10"/>
        <v>0</v>
      </c>
      <c r="N85" s="1032">
        <f t="shared" si="10"/>
        <v>29000</v>
      </c>
      <c r="O85" s="1032">
        <f t="shared" si="10"/>
        <v>30100</v>
      </c>
      <c r="P85" s="1033">
        <f t="shared" si="10"/>
        <v>0</v>
      </c>
    </row>
    <row r="86" spans="2:16">
      <c r="B86" s="65" t="s">
        <v>166</v>
      </c>
      <c r="C86" s="1035">
        <v>47.91</v>
      </c>
      <c r="D86" s="1021" t="s">
        <v>47</v>
      </c>
      <c r="E86" s="1037">
        <f t="shared" si="7"/>
        <v>183050</v>
      </c>
      <c r="F86" s="199"/>
      <c r="G86" s="1031">
        <f t="shared" si="10"/>
        <v>0</v>
      </c>
      <c r="H86" s="1032">
        <f t="shared" si="10"/>
        <v>0</v>
      </c>
      <c r="I86" s="1033">
        <f t="shared" si="10"/>
        <v>57400</v>
      </c>
      <c r="J86" s="1031">
        <f t="shared" si="10"/>
        <v>0</v>
      </c>
      <c r="K86" s="1032">
        <f t="shared" si="10"/>
        <v>46500</v>
      </c>
      <c r="L86" s="1033">
        <f t="shared" si="10"/>
        <v>20400</v>
      </c>
      <c r="M86" s="1031">
        <f t="shared" si="10"/>
        <v>58750</v>
      </c>
      <c r="N86" s="1032">
        <f t="shared" si="10"/>
        <v>0</v>
      </c>
      <c r="O86" s="1032">
        <f t="shared" si="10"/>
        <v>0</v>
      </c>
      <c r="P86" s="1033">
        <f t="shared" si="10"/>
        <v>0</v>
      </c>
    </row>
    <row r="87" spans="2:16">
      <c r="B87" s="65" t="s">
        <v>530</v>
      </c>
      <c r="C87" s="1035">
        <v>47.91</v>
      </c>
      <c r="D87" s="1021" t="s">
        <v>47</v>
      </c>
      <c r="E87" s="1037">
        <f t="shared" si="7"/>
        <v>164515</v>
      </c>
      <c r="F87" s="199"/>
      <c r="G87" s="1031">
        <f t="shared" si="10"/>
        <v>88975</v>
      </c>
      <c r="H87" s="1032">
        <f t="shared" si="10"/>
        <v>0</v>
      </c>
      <c r="I87" s="1033">
        <f t="shared" si="10"/>
        <v>0</v>
      </c>
      <c r="J87" s="1031">
        <f t="shared" si="10"/>
        <v>0</v>
      </c>
      <c r="K87" s="1032">
        <f t="shared" si="10"/>
        <v>0</v>
      </c>
      <c r="L87" s="1033">
        <f t="shared" si="10"/>
        <v>75540</v>
      </c>
      <c r="M87" s="1031">
        <f t="shared" si="10"/>
        <v>0</v>
      </c>
      <c r="N87" s="1032">
        <f t="shared" si="10"/>
        <v>0</v>
      </c>
      <c r="O87" s="1032">
        <f t="shared" si="10"/>
        <v>0</v>
      </c>
      <c r="P87" s="1033">
        <f t="shared" si="10"/>
        <v>0</v>
      </c>
    </row>
    <row r="88" spans="2:16">
      <c r="B88" s="65" t="s">
        <v>488</v>
      </c>
      <c r="C88" s="1035">
        <v>25</v>
      </c>
      <c r="D88" s="66" t="s">
        <v>82</v>
      </c>
      <c r="E88" s="1037">
        <f t="shared" si="7"/>
        <v>138040</v>
      </c>
      <c r="F88" s="284"/>
      <c r="G88" s="1031">
        <f t="shared" si="10"/>
        <v>0</v>
      </c>
      <c r="H88" s="1032">
        <f t="shared" si="10"/>
        <v>64000</v>
      </c>
      <c r="I88" s="1033">
        <f t="shared" si="10"/>
        <v>0</v>
      </c>
      <c r="J88" s="1031">
        <f t="shared" si="10"/>
        <v>0</v>
      </c>
      <c r="K88" s="1032">
        <f t="shared" si="10"/>
        <v>0</v>
      </c>
      <c r="L88" s="1033">
        <f t="shared" si="10"/>
        <v>42040</v>
      </c>
      <c r="M88" s="1031">
        <f t="shared" si="10"/>
        <v>0</v>
      </c>
      <c r="N88" s="1032">
        <f t="shared" si="10"/>
        <v>0</v>
      </c>
      <c r="O88" s="1032">
        <f t="shared" si="10"/>
        <v>32000</v>
      </c>
      <c r="P88" s="1033">
        <f t="shared" si="10"/>
        <v>0</v>
      </c>
    </row>
    <row r="89" spans="2:16">
      <c r="B89" s="65" t="s">
        <v>489</v>
      </c>
      <c r="C89" s="1035">
        <v>250</v>
      </c>
      <c r="D89" s="66" t="s">
        <v>82</v>
      </c>
      <c r="E89" s="1037">
        <f t="shared" si="7"/>
        <v>35000</v>
      </c>
      <c r="F89" s="199"/>
      <c r="G89" s="1031">
        <f t="shared" si="10"/>
        <v>0</v>
      </c>
      <c r="H89" s="1032">
        <f t="shared" si="10"/>
        <v>0</v>
      </c>
      <c r="I89" s="1033">
        <f t="shared" si="10"/>
        <v>0</v>
      </c>
      <c r="J89" s="1031">
        <f t="shared" si="10"/>
        <v>35000</v>
      </c>
      <c r="K89" s="1032">
        <f t="shared" si="10"/>
        <v>0</v>
      </c>
      <c r="L89" s="1033">
        <f t="shared" si="10"/>
        <v>0</v>
      </c>
      <c r="M89" s="1031">
        <f t="shared" si="10"/>
        <v>0</v>
      </c>
      <c r="N89" s="1032">
        <f t="shared" si="10"/>
        <v>0</v>
      </c>
      <c r="O89" s="1032">
        <f t="shared" si="10"/>
        <v>0</v>
      </c>
      <c r="P89" s="1033">
        <f t="shared" si="10"/>
        <v>0</v>
      </c>
    </row>
    <row r="90" spans="2:16">
      <c r="B90" s="65" t="s">
        <v>499</v>
      </c>
      <c r="C90" s="1035">
        <v>35</v>
      </c>
      <c r="D90" s="66" t="s">
        <v>82</v>
      </c>
      <c r="E90" s="1037">
        <f t="shared" si="7"/>
        <v>138750</v>
      </c>
      <c r="F90" s="199"/>
      <c r="G90" s="1031">
        <f t="shared" si="10"/>
        <v>15600</v>
      </c>
      <c r="H90" s="1032">
        <f t="shared" si="10"/>
        <v>0</v>
      </c>
      <c r="I90" s="1033">
        <f t="shared" si="10"/>
        <v>0</v>
      </c>
      <c r="J90" s="1031">
        <f t="shared" si="10"/>
        <v>63150</v>
      </c>
      <c r="K90" s="1032">
        <f t="shared" si="10"/>
        <v>0</v>
      </c>
      <c r="L90" s="1033">
        <f t="shared" si="10"/>
        <v>30000</v>
      </c>
      <c r="M90" s="1031">
        <f t="shared" si="10"/>
        <v>30000</v>
      </c>
      <c r="N90" s="1032">
        <f t="shared" si="10"/>
        <v>0</v>
      </c>
      <c r="O90" s="1032">
        <f t="shared" si="10"/>
        <v>0</v>
      </c>
      <c r="P90" s="1033">
        <f t="shared" si="10"/>
        <v>0</v>
      </c>
    </row>
    <row r="91" spans="2:16">
      <c r="B91" s="65" t="s">
        <v>500</v>
      </c>
      <c r="C91" s="1035">
        <v>50</v>
      </c>
      <c r="D91" s="66" t="s">
        <v>82</v>
      </c>
      <c r="E91" s="1037">
        <f t="shared" si="7"/>
        <v>80350</v>
      </c>
      <c r="F91" s="199"/>
      <c r="G91" s="1031">
        <f t="shared" si="10"/>
        <v>0</v>
      </c>
      <c r="H91" s="1032">
        <f t="shared" si="10"/>
        <v>0</v>
      </c>
      <c r="I91" s="1033">
        <f t="shared" si="10"/>
        <v>0</v>
      </c>
      <c r="J91" s="1031">
        <f t="shared" si="10"/>
        <v>80350</v>
      </c>
      <c r="K91" s="1032">
        <f t="shared" si="10"/>
        <v>0</v>
      </c>
      <c r="L91" s="1033">
        <f t="shared" si="10"/>
        <v>0</v>
      </c>
      <c r="M91" s="1031">
        <f t="shared" si="10"/>
        <v>0</v>
      </c>
      <c r="N91" s="1032">
        <f t="shared" si="10"/>
        <v>0</v>
      </c>
      <c r="O91" s="1032">
        <f t="shared" si="10"/>
        <v>0</v>
      </c>
      <c r="P91" s="1033">
        <f t="shared" si="10"/>
        <v>0</v>
      </c>
    </row>
    <row r="92" spans="2:16">
      <c r="B92" s="65" t="s">
        <v>490</v>
      </c>
      <c r="C92" s="1035">
        <v>25</v>
      </c>
      <c r="D92" s="66" t="s">
        <v>82</v>
      </c>
      <c r="E92" s="1037">
        <f t="shared" si="7"/>
        <v>50000</v>
      </c>
      <c r="F92" s="199"/>
      <c r="G92" s="1031">
        <f t="shared" si="10"/>
        <v>0</v>
      </c>
      <c r="H92" s="1032">
        <f t="shared" si="10"/>
        <v>0</v>
      </c>
      <c r="I92" s="1033">
        <f t="shared" si="10"/>
        <v>0</v>
      </c>
      <c r="J92" s="1031">
        <f t="shared" si="10"/>
        <v>0</v>
      </c>
      <c r="K92" s="1032">
        <f t="shared" si="10"/>
        <v>0</v>
      </c>
      <c r="L92" s="1033">
        <f t="shared" si="10"/>
        <v>0</v>
      </c>
      <c r="M92" s="1031">
        <f t="shared" si="10"/>
        <v>0</v>
      </c>
      <c r="N92" s="1032">
        <f t="shared" si="10"/>
        <v>0</v>
      </c>
      <c r="O92" s="1032">
        <f t="shared" si="10"/>
        <v>0</v>
      </c>
      <c r="P92" s="1033">
        <f t="shared" si="10"/>
        <v>50000</v>
      </c>
    </row>
    <row r="93" spans="2:16">
      <c r="B93" s="65" t="s">
        <v>505</v>
      </c>
      <c r="C93" s="1035">
        <v>25</v>
      </c>
      <c r="D93" s="66" t="s">
        <v>82</v>
      </c>
      <c r="E93" s="1037">
        <f t="shared" si="7"/>
        <v>75000</v>
      </c>
      <c r="F93" s="199"/>
      <c r="G93" s="1031">
        <f t="shared" si="10"/>
        <v>0</v>
      </c>
      <c r="H93" s="1032">
        <f t="shared" si="10"/>
        <v>0</v>
      </c>
      <c r="I93" s="1033">
        <f t="shared" si="10"/>
        <v>0</v>
      </c>
      <c r="J93" s="1031">
        <f t="shared" si="10"/>
        <v>0</v>
      </c>
      <c r="K93" s="1032">
        <f t="shared" si="10"/>
        <v>0</v>
      </c>
      <c r="L93" s="1033">
        <f t="shared" si="10"/>
        <v>0</v>
      </c>
      <c r="M93" s="1031">
        <f t="shared" si="10"/>
        <v>75000</v>
      </c>
      <c r="N93" s="1032">
        <f t="shared" si="10"/>
        <v>0</v>
      </c>
      <c r="O93" s="1032">
        <f t="shared" si="10"/>
        <v>0</v>
      </c>
      <c r="P93" s="1033">
        <f t="shared" si="10"/>
        <v>0</v>
      </c>
    </row>
    <row r="94" spans="2:16">
      <c r="B94" s="65" t="s">
        <v>496</v>
      </c>
      <c r="C94" s="1035">
        <v>157.55440000000002</v>
      </c>
      <c r="D94" s="66" t="s">
        <v>82</v>
      </c>
      <c r="E94" s="1037">
        <f t="shared" si="7"/>
        <v>54000</v>
      </c>
      <c r="F94" s="199"/>
      <c r="G94" s="1031">
        <f t="shared" ref="G94:P104" si="11">SUMIFS(G$7:G$78,$C$7:$C$78,$B94)</f>
        <v>54000</v>
      </c>
      <c r="H94" s="1032">
        <f t="shared" si="11"/>
        <v>0</v>
      </c>
      <c r="I94" s="1033">
        <f t="shared" si="11"/>
        <v>0</v>
      </c>
      <c r="J94" s="1031">
        <f t="shared" si="11"/>
        <v>0</v>
      </c>
      <c r="K94" s="1032">
        <f t="shared" si="11"/>
        <v>0</v>
      </c>
      <c r="L94" s="1033">
        <f t="shared" si="11"/>
        <v>0</v>
      </c>
      <c r="M94" s="1031">
        <f t="shared" si="11"/>
        <v>0</v>
      </c>
      <c r="N94" s="1032">
        <f t="shared" si="11"/>
        <v>0</v>
      </c>
      <c r="O94" s="1032">
        <f t="shared" si="11"/>
        <v>0</v>
      </c>
      <c r="P94" s="1033">
        <f t="shared" si="11"/>
        <v>0</v>
      </c>
    </row>
    <row r="95" spans="2:16">
      <c r="B95" s="65" t="s">
        <v>134</v>
      </c>
      <c r="C95" s="1035">
        <v>167.4496</v>
      </c>
      <c r="D95" s="66" t="s">
        <v>82</v>
      </c>
      <c r="E95" s="1037">
        <f>SUM(G95:P95)</f>
        <v>10800</v>
      </c>
      <c r="F95" s="199"/>
      <c r="G95" s="1031">
        <f t="shared" si="11"/>
        <v>0</v>
      </c>
      <c r="H95" s="1032">
        <f t="shared" si="11"/>
        <v>0</v>
      </c>
      <c r="I95" s="1033">
        <f t="shared" si="11"/>
        <v>0</v>
      </c>
      <c r="J95" s="1031">
        <f t="shared" si="11"/>
        <v>0</v>
      </c>
      <c r="K95" s="1032">
        <f t="shared" si="11"/>
        <v>0</v>
      </c>
      <c r="L95" s="1033">
        <f t="shared" si="11"/>
        <v>0</v>
      </c>
      <c r="M95" s="1031">
        <f t="shared" si="11"/>
        <v>10800</v>
      </c>
      <c r="N95" s="1032">
        <f t="shared" si="11"/>
        <v>0</v>
      </c>
      <c r="O95" s="1032">
        <f t="shared" si="11"/>
        <v>0</v>
      </c>
      <c r="P95" s="1033">
        <f t="shared" si="11"/>
        <v>0</v>
      </c>
    </row>
    <row r="96" spans="2:16">
      <c r="B96" s="65" t="s">
        <v>497</v>
      </c>
      <c r="C96" s="1035">
        <v>233.66559999999998</v>
      </c>
      <c r="D96" s="66" t="s">
        <v>82</v>
      </c>
      <c r="E96" s="1037">
        <f>SUM(G96:P96)</f>
        <v>25300</v>
      </c>
      <c r="F96" s="199"/>
      <c r="G96" s="1031">
        <f t="shared" si="11"/>
        <v>0</v>
      </c>
      <c r="H96" s="1032">
        <f t="shared" si="11"/>
        <v>0</v>
      </c>
      <c r="I96" s="1033">
        <f t="shared" si="11"/>
        <v>0</v>
      </c>
      <c r="J96" s="1031">
        <f t="shared" si="11"/>
        <v>0</v>
      </c>
      <c r="K96" s="1032">
        <f t="shared" si="11"/>
        <v>0</v>
      </c>
      <c r="L96" s="1033">
        <f t="shared" si="11"/>
        <v>0</v>
      </c>
      <c r="M96" s="1031">
        <f t="shared" si="11"/>
        <v>25300</v>
      </c>
      <c r="N96" s="1032">
        <f t="shared" si="11"/>
        <v>0</v>
      </c>
      <c r="O96" s="1032">
        <f t="shared" si="11"/>
        <v>0</v>
      </c>
      <c r="P96" s="1033">
        <f t="shared" si="11"/>
        <v>0</v>
      </c>
    </row>
    <row r="97" spans="2:17">
      <c r="B97" s="65" t="s">
        <v>427</v>
      </c>
      <c r="C97" s="1035">
        <v>200</v>
      </c>
      <c r="D97" s="66" t="s">
        <v>82</v>
      </c>
      <c r="E97" s="1037">
        <f>SUM(G97:P97)</f>
        <v>16800</v>
      </c>
      <c r="F97" s="199"/>
      <c r="G97" s="1031">
        <f t="shared" si="11"/>
        <v>0</v>
      </c>
      <c r="H97" s="1032">
        <f t="shared" si="11"/>
        <v>0</v>
      </c>
      <c r="I97" s="1033">
        <f t="shared" si="11"/>
        <v>0</v>
      </c>
      <c r="J97" s="1031">
        <f t="shared" si="11"/>
        <v>0</v>
      </c>
      <c r="K97" s="1032">
        <f t="shared" si="11"/>
        <v>0</v>
      </c>
      <c r="L97" s="1033">
        <f t="shared" si="11"/>
        <v>16800</v>
      </c>
      <c r="M97" s="1031">
        <f t="shared" si="11"/>
        <v>0</v>
      </c>
      <c r="N97" s="1032">
        <f t="shared" si="11"/>
        <v>0</v>
      </c>
      <c r="O97" s="1032">
        <f t="shared" si="11"/>
        <v>0</v>
      </c>
      <c r="P97" s="1033">
        <f t="shared" si="11"/>
        <v>0</v>
      </c>
    </row>
    <row r="98" spans="2:17">
      <c r="B98" s="65" t="s">
        <v>492</v>
      </c>
      <c r="C98" s="1035">
        <v>174.24480000000003</v>
      </c>
      <c r="D98" s="66" t="s">
        <v>82</v>
      </c>
      <c r="E98" s="1037">
        <f>SUM(G98:P98)</f>
        <v>71775</v>
      </c>
      <c r="F98" s="199"/>
      <c r="G98" s="1031">
        <f t="shared" si="11"/>
        <v>0</v>
      </c>
      <c r="H98" s="1032">
        <f t="shared" si="11"/>
        <v>0</v>
      </c>
      <c r="I98" s="1033">
        <f t="shared" si="11"/>
        <v>0</v>
      </c>
      <c r="J98" s="1031">
        <f t="shared" si="11"/>
        <v>0</v>
      </c>
      <c r="K98" s="1032">
        <f t="shared" si="11"/>
        <v>71775</v>
      </c>
      <c r="L98" s="1033">
        <f t="shared" si="11"/>
        <v>0</v>
      </c>
      <c r="M98" s="1031">
        <f t="shared" si="11"/>
        <v>0</v>
      </c>
      <c r="N98" s="1032">
        <f t="shared" si="11"/>
        <v>0</v>
      </c>
      <c r="O98" s="1032">
        <f t="shared" si="11"/>
        <v>0</v>
      </c>
      <c r="P98" s="1033">
        <f t="shared" si="11"/>
        <v>0</v>
      </c>
    </row>
    <row r="99" spans="2:17">
      <c r="B99" s="65" t="s">
        <v>46</v>
      </c>
      <c r="C99" s="1035">
        <v>196.45320000000001</v>
      </c>
      <c r="D99" s="66" t="s">
        <v>46</v>
      </c>
      <c r="E99" s="1037">
        <f t="shared" si="7"/>
        <v>222000</v>
      </c>
      <c r="F99" s="199"/>
      <c r="G99" s="1031">
        <f t="shared" si="11"/>
        <v>0</v>
      </c>
      <c r="H99" s="1032">
        <f t="shared" si="11"/>
        <v>0</v>
      </c>
      <c r="I99" s="1033">
        <f t="shared" si="11"/>
        <v>0</v>
      </c>
      <c r="J99" s="1031">
        <f t="shared" si="11"/>
        <v>222000</v>
      </c>
      <c r="K99" s="1032">
        <f t="shared" si="11"/>
        <v>0</v>
      </c>
      <c r="L99" s="1033">
        <f t="shared" si="11"/>
        <v>0</v>
      </c>
      <c r="M99" s="1031">
        <f t="shared" si="11"/>
        <v>0</v>
      </c>
      <c r="N99" s="1032">
        <f t="shared" si="11"/>
        <v>0</v>
      </c>
      <c r="O99" s="1032">
        <f t="shared" si="11"/>
        <v>0</v>
      </c>
      <c r="P99" s="1033">
        <f t="shared" si="11"/>
        <v>0</v>
      </c>
    </row>
    <row r="100" spans="2:17">
      <c r="B100" s="65" t="s">
        <v>498</v>
      </c>
      <c r="C100" s="1035">
        <v>183.11079999999998</v>
      </c>
      <c r="D100" s="66" t="s">
        <v>46</v>
      </c>
      <c r="E100" s="1037">
        <f t="shared" si="7"/>
        <v>27360</v>
      </c>
      <c r="F100" s="199"/>
      <c r="G100" s="1031">
        <f t="shared" si="11"/>
        <v>0</v>
      </c>
      <c r="H100" s="1032">
        <f t="shared" si="11"/>
        <v>0</v>
      </c>
      <c r="I100" s="1033">
        <f t="shared" si="11"/>
        <v>0</v>
      </c>
      <c r="J100" s="1031">
        <f t="shared" si="11"/>
        <v>0</v>
      </c>
      <c r="K100" s="1032">
        <f t="shared" si="11"/>
        <v>0</v>
      </c>
      <c r="L100" s="1033">
        <f t="shared" si="11"/>
        <v>27360</v>
      </c>
      <c r="M100" s="1031">
        <f t="shared" si="11"/>
        <v>0</v>
      </c>
      <c r="N100" s="1032">
        <f t="shared" si="11"/>
        <v>0</v>
      </c>
      <c r="O100" s="1032">
        <f t="shared" si="11"/>
        <v>0</v>
      </c>
      <c r="P100" s="1033">
        <f t="shared" si="11"/>
        <v>0</v>
      </c>
    </row>
    <row r="101" spans="2:17">
      <c r="B101" s="65" t="s">
        <v>494</v>
      </c>
      <c r="C101" s="1035">
        <v>196.19280000000001</v>
      </c>
      <c r="D101" s="66" t="s">
        <v>45</v>
      </c>
      <c r="E101" s="1037">
        <f>SUM(G101:P101)</f>
        <v>88200</v>
      </c>
      <c r="F101" s="199"/>
      <c r="G101" s="1031">
        <f t="shared" si="11"/>
        <v>23000</v>
      </c>
      <c r="H101" s="1032">
        <f t="shared" si="11"/>
        <v>23400</v>
      </c>
      <c r="I101" s="1033">
        <f t="shared" si="11"/>
        <v>0</v>
      </c>
      <c r="J101" s="1031">
        <f t="shared" si="11"/>
        <v>17800</v>
      </c>
      <c r="K101" s="1032">
        <f t="shared" si="11"/>
        <v>0</v>
      </c>
      <c r="L101" s="1033">
        <f t="shared" si="11"/>
        <v>24000</v>
      </c>
      <c r="M101" s="1031">
        <f t="shared" si="11"/>
        <v>0</v>
      </c>
      <c r="N101" s="1032">
        <f t="shared" si="11"/>
        <v>0</v>
      </c>
      <c r="O101" s="1032">
        <f t="shared" si="11"/>
        <v>0</v>
      </c>
      <c r="P101" s="1033">
        <f t="shared" si="11"/>
        <v>0</v>
      </c>
    </row>
    <row r="102" spans="2:17">
      <c r="B102" s="65" t="s">
        <v>145</v>
      </c>
      <c r="C102" s="1035">
        <v>104.1228</v>
      </c>
      <c r="D102" s="59" t="s">
        <v>45</v>
      </c>
      <c r="E102" s="1037">
        <f>SUM(G102:P102)</f>
        <v>20600</v>
      </c>
      <c r="F102" s="199"/>
      <c r="G102" s="1031">
        <f t="shared" si="11"/>
        <v>20600</v>
      </c>
      <c r="H102" s="1032">
        <f t="shared" si="11"/>
        <v>0</v>
      </c>
      <c r="I102" s="1033">
        <f t="shared" si="11"/>
        <v>0</v>
      </c>
      <c r="J102" s="1031">
        <f t="shared" si="11"/>
        <v>0</v>
      </c>
      <c r="K102" s="1032">
        <f t="shared" si="11"/>
        <v>0</v>
      </c>
      <c r="L102" s="1033">
        <f t="shared" si="11"/>
        <v>0</v>
      </c>
      <c r="M102" s="1031">
        <f t="shared" si="11"/>
        <v>0</v>
      </c>
      <c r="N102" s="1032">
        <f t="shared" si="11"/>
        <v>0</v>
      </c>
      <c r="O102" s="1032">
        <f t="shared" si="11"/>
        <v>0</v>
      </c>
      <c r="P102" s="1033">
        <f t="shared" si="11"/>
        <v>0</v>
      </c>
    </row>
    <row r="103" spans="2:17">
      <c r="B103" s="65" t="s">
        <v>139</v>
      </c>
      <c r="C103" s="1035">
        <v>168.85079999999999</v>
      </c>
      <c r="D103" s="66" t="s">
        <v>45</v>
      </c>
      <c r="E103" s="1037">
        <f t="shared" si="7"/>
        <v>18200</v>
      </c>
      <c r="F103" s="199"/>
      <c r="G103" s="1031">
        <f t="shared" si="11"/>
        <v>0</v>
      </c>
      <c r="H103" s="1032">
        <f t="shared" si="11"/>
        <v>0</v>
      </c>
      <c r="I103" s="1033">
        <f t="shared" si="11"/>
        <v>0</v>
      </c>
      <c r="J103" s="1031">
        <f t="shared" si="11"/>
        <v>0</v>
      </c>
      <c r="K103" s="1032">
        <f t="shared" si="11"/>
        <v>18200</v>
      </c>
      <c r="L103" s="1033">
        <f t="shared" si="11"/>
        <v>0</v>
      </c>
      <c r="M103" s="1031">
        <f t="shared" si="11"/>
        <v>0</v>
      </c>
      <c r="N103" s="1032">
        <f t="shared" si="11"/>
        <v>0</v>
      </c>
      <c r="O103" s="1032">
        <f t="shared" si="11"/>
        <v>0</v>
      </c>
      <c r="P103" s="1033">
        <f t="shared" si="11"/>
        <v>0</v>
      </c>
    </row>
    <row r="104" spans="2:17" ht="13" thickBot="1">
      <c r="B104" s="65" t="s">
        <v>45</v>
      </c>
      <c r="C104" s="1035">
        <v>123.07</v>
      </c>
      <c r="D104" s="66" t="s">
        <v>45</v>
      </c>
      <c r="E104" s="1037">
        <f t="shared" si="7"/>
        <v>71525</v>
      </c>
      <c r="F104" s="199"/>
      <c r="G104" s="1031">
        <f t="shared" si="11"/>
        <v>12875</v>
      </c>
      <c r="H104" s="1032">
        <f t="shared" si="11"/>
        <v>0</v>
      </c>
      <c r="I104" s="1033">
        <f t="shared" si="11"/>
        <v>7000</v>
      </c>
      <c r="J104" s="1031">
        <f t="shared" si="11"/>
        <v>10000</v>
      </c>
      <c r="K104" s="1032">
        <f t="shared" si="11"/>
        <v>9150</v>
      </c>
      <c r="L104" s="1033">
        <f t="shared" si="11"/>
        <v>0</v>
      </c>
      <c r="M104" s="1031">
        <f t="shared" si="11"/>
        <v>0</v>
      </c>
      <c r="N104" s="1032">
        <f t="shared" si="11"/>
        <v>16500</v>
      </c>
      <c r="O104" s="1032">
        <f t="shared" si="11"/>
        <v>16000</v>
      </c>
      <c r="P104" s="1033">
        <f t="shared" si="11"/>
        <v>0</v>
      </c>
    </row>
    <row r="105" spans="2:17" ht="13.5" thickBot="1">
      <c r="B105" s="89" t="s">
        <v>30</v>
      </c>
      <c r="C105" s="88"/>
      <c r="D105" s="88"/>
      <c r="E105" s="1026">
        <f>SUM(E7:E78)</f>
        <v>2561245</v>
      </c>
      <c r="F105" s="91"/>
      <c r="G105" s="94">
        <f t="shared" ref="G105:P105" si="12">SUM(G5:G78)</f>
        <v>352250</v>
      </c>
      <c r="H105" s="91">
        <f t="shared" si="12"/>
        <v>125750</v>
      </c>
      <c r="I105" s="95">
        <f t="shared" si="12"/>
        <v>257450</v>
      </c>
      <c r="J105" s="94">
        <f t="shared" si="12"/>
        <v>517300</v>
      </c>
      <c r="K105" s="91">
        <f t="shared" si="12"/>
        <v>379965</v>
      </c>
      <c r="L105" s="95">
        <f t="shared" si="12"/>
        <v>337580</v>
      </c>
      <c r="M105" s="94">
        <f t="shared" si="12"/>
        <v>366850</v>
      </c>
      <c r="N105" s="91">
        <f t="shared" si="12"/>
        <v>60500</v>
      </c>
      <c r="O105" s="91">
        <f t="shared" si="12"/>
        <v>113600</v>
      </c>
      <c r="P105" s="95">
        <f t="shared" si="12"/>
        <v>50000</v>
      </c>
    </row>
    <row r="106" spans="2:17">
      <c r="G106" s="1025">
        <f t="shared" ref="G106:P106" si="13">SUM(G81:G104)-G105</f>
        <v>0</v>
      </c>
      <c r="H106" s="1025">
        <f t="shared" si="13"/>
        <v>0</v>
      </c>
      <c r="I106" s="1025">
        <f t="shared" si="13"/>
        <v>0</v>
      </c>
      <c r="J106" s="1025">
        <f t="shared" si="13"/>
        <v>0</v>
      </c>
      <c r="K106" s="1025">
        <f t="shared" si="13"/>
        <v>0</v>
      </c>
      <c r="L106" s="1025">
        <f t="shared" si="13"/>
        <v>0</v>
      </c>
      <c r="M106" s="1025">
        <f t="shared" si="13"/>
        <v>0</v>
      </c>
      <c r="N106" s="1025">
        <f t="shared" si="13"/>
        <v>0</v>
      </c>
      <c r="O106" s="1025">
        <f t="shared" si="13"/>
        <v>0</v>
      </c>
      <c r="P106" s="1025">
        <f t="shared" si="13"/>
        <v>0</v>
      </c>
    </row>
    <row r="107" spans="2:17"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</row>
    <row r="108" spans="2:17">
      <c r="B108" s="37"/>
      <c r="C108" s="180">
        <f>E108/850</f>
        <v>904.94117647058829</v>
      </c>
      <c r="D108" s="37" t="s">
        <v>359</v>
      </c>
      <c r="E108" s="1025">
        <f>SUMIFS($E$7:$E$78,$D$7:$D$78,D108)</f>
        <v>769200</v>
      </c>
      <c r="F108" s="1027">
        <f t="shared" ref="F108:F113" si="14">E108/$E$105</f>
        <v>0.3003226946270271</v>
      </c>
      <c r="G108" s="1025">
        <f t="shared" ref="G108:P112" si="15">SUMIFS(G$7:G$78,$D$7:$D$78,$D108)</f>
        <v>137200</v>
      </c>
      <c r="H108" s="1025">
        <f t="shared" si="15"/>
        <v>0</v>
      </c>
      <c r="I108" s="1025">
        <f t="shared" si="15"/>
        <v>193050</v>
      </c>
      <c r="J108" s="1025">
        <f t="shared" si="15"/>
        <v>89000</v>
      </c>
      <c r="K108" s="1025">
        <f t="shared" si="15"/>
        <v>182950</v>
      </c>
      <c r="L108" s="1025">
        <f t="shared" si="15"/>
        <v>0</v>
      </c>
      <c r="M108" s="1025">
        <f t="shared" si="15"/>
        <v>167000</v>
      </c>
      <c r="N108" s="1025">
        <f t="shared" si="15"/>
        <v>0</v>
      </c>
      <c r="O108" s="1025">
        <f t="shared" si="15"/>
        <v>0</v>
      </c>
      <c r="P108" s="1025">
        <f t="shared" si="15"/>
        <v>0</v>
      </c>
    </row>
    <row r="109" spans="2:17">
      <c r="B109" s="37"/>
      <c r="D109" s="37" t="s">
        <v>45</v>
      </c>
      <c r="E109" s="1025">
        <f>SUMIFS($E$7:$E$78,$D$7:$D$78,D109)</f>
        <v>177925</v>
      </c>
      <c r="F109" s="1027">
        <f t="shared" si="14"/>
        <v>6.9468168800719959E-2</v>
      </c>
      <c r="G109" s="1025">
        <f t="shared" si="15"/>
        <v>35875</v>
      </c>
      <c r="H109" s="1025">
        <f t="shared" si="15"/>
        <v>23400</v>
      </c>
      <c r="I109" s="1025">
        <f t="shared" si="15"/>
        <v>7000</v>
      </c>
      <c r="J109" s="1025">
        <f t="shared" si="15"/>
        <v>27800</v>
      </c>
      <c r="K109" s="1025">
        <f t="shared" si="15"/>
        <v>27350</v>
      </c>
      <c r="L109" s="1025">
        <f t="shared" si="15"/>
        <v>24000</v>
      </c>
      <c r="M109" s="1025">
        <f t="shared" si="15"/>
        <v>0</v>
      </c>
      <c r="N109" s="1025">
        <f t="shared" si="15"/>
        <v>16500</v>
      </c>
      <c r="O109" s="1025">
        <f t="shared" si="15"/>
        <v>16000</v>
      </c>
      <c r="P109" s="1025">
        <f t="shared" si="15"/>
        <v>0</v>
      </c>
    </row>
    <row r="110" spans="2:17">
      <c r="B110" s="37"/>
      <c r="D110" s="37" t="s">
        <v>63</v>
      </c>
      <c r="E110" s="1025">
        <f>SUMIFS($E$7:$E$78,$D$7:$D$78,D110)</f>
        <v>300780</v>
      </c>
      <c r="F110" s="1027">
        <f t="shared" si="14"/>
        <v>0.11743507551991317</v>
      </c>
      <c r="G110" s="1025">
        <f t="shared" si="15"/>
        <v>0</v>
      </c>
      <c r="H110" s="1025">
        <f t="shared" si="15"/>
        <v>38350</v>
      </c>
      <c r="I110" s="1025">
        <f t="shared" si="15"/>
        <v>0</v>
      </c>
      <c r="J110" s="1025">
        <f t="shared" si="15"/>
        <v>0</v>
      </c>
      <c r="K110" s="1025">
        <f t="shared" si="15"/>
        <v>51390</v>
      </c>
      <c r="L110" s="1025">
        <f t="shared" si="15"/>
        <v>101440</v>
      </c>
      <c r="M110" s="1025">
        <f t="shared" si="15"/>
        <v>0</v>
      </c>
      <c r="N110" s="1025">
        <f t="shared" si="15"/>
        <v>44000</v>
      </c>
      <c r="O110" s="1025">
        <f t="shared" si="15"/>
        <v>65600</v>
      </c>
      <c r="P110" s="1025">
        <f t="shared" si="15"/>
        <v>0</v>
      </c>
      <c r="Q110" s="62"/>
    </row>
    <row r="111" spans="2:17">
      <c r="B111" s="37"/>
      <c r="D111" s="37" t="s">
        <v>47</v>
      </c>
      <c r="E111" s="1025">
        <f>SUMIFS($E$7:$E$78,$D$7:$D$78,D111)</f>
        <v>347565</v>
      </c>
      <c r="F111" s="1027">
        <f t="shared" si="14"/>
        <v>0.13570158262876061</v>
      </c>
      <c r="G111" s="1025">
        <f t="shared" si="15"/>
        <v>88975</v>
      </c>
      <c r="H111" s="1025">
        <f t="shared" si="15"/>
        <v>0</v>
      </c>
      <c r="I111" s="1025">
        <f t="shared" si="15"/>
        <v>57400</v>
      </c>
      <c r="J111" s="1025">
        <f t="shared" si="15"/>
        <v>0</v>
      </c>
      <c r="K111" s="1025">
        <f t="shared" si="15"/>
        <v>46500</v>
      </c>
      <c r="L111" s="1025">
        <f t="shared" si="15"/>
        <v>95940</v>
      </c>
      <c r="M111" s="1025">
        <f t="shared" si="15"/>
        <v>58750</v>
      </c>
      <c r="N111" s="1025">
        <f t="shared" si="15"/>
        <v>0</v>
      </c>
      <c r="O111" s="1025">
        <f t="shared" si="15"/>
        <v>0</v>
      </c>
      <c r="P111" s="1025">
        <f t="shared" si="15"/>
        <v>0</v>
      </c>
    </row>
    <row r="112" spans="2:17">
      <c r="B112" s="37"/>
      <c r="D112" s="37" t="s">
        <v>82</v>
      </c>
      <c r="E112" s="1025">
        <f>SUMIFS($E$7:$E$78,$D$7:$D$78,D112)</f>
        <v>587940</v>
      </c>
      <c r="F112" s="1027">
        <f t="shared" si="14"/>
        <v>0.22955242469970658</v>
      </c>
      <c r="G112" s="1025">
        <f t="shared" si="15"/>
        <v>69600</v>
      </c>
      <c r="H112" s="1025">
        <f t="shared" si="15"/>
        <v>64000</v>
      </c>
      <c r="I112" s="1025">
        <f t="shared" si="15"/>
        <v>0</v>
      </c>
      <c r="J112" s="1025">
        <f t="shared" si="15"/>
        <v>178500</v>
      </c>
      <c r="K112" s="1025">
        <f t="shared" si="15"/>
        <v>0</v>
      </c>
      <c r="L112" s="1025">
        <f t="shared" si="15"/>
        <v>88840</v>
      </c>
      <c r="M112" s="1025">
        <f t="shared" si="15"/>
        <v>105000</v>
      </c>
      <c r="N112" s="1025">
        <f t="shared" si="15"/>
        <v>0</v>
      </c>
      <c r="O112" s="1025">
        <f t="shared" si="15"/>
        <v>32000</v>
      </c>
      <c r="P112" s="1025">
        <f t="shared" si="15"/>
        <v>50000</v>
      </c>
    </row>
    <row r="113" spans="2:16">
      <c r="B113" s="37"/>
      <c r="D113" s="37" t="s">
        <v>435</v>
      </c>
      <c r="E113" s="1025">
        <f>E105-SUM(E108:E112)</f>
        <v>377835</v>
      </c>
      <c r="F113" s="1027">
        <f t="shared" si="14"/>
        <v>0.14752005372387256</v>
      </c>
      <c r="G113" s="1025">
        <f t="shared" ref="G113:P113" si="16">G105-SUM(G108:G112)</f>
        <v>20600</v>
      </c>
      <c r="H113" s="1025">
        <f t="shared" si="16"/>
        <v>0</v>
      </c>
      <c r="I113" s="1025">
        <f t="shared" si="16"/>
        <v>0</v>
      </c>
      <c r="J113" s="1025">
        <f t="shared" si="16"/>
        <v>222000</v>
      </c>
      <c r="K113" s="1025">
        <f t="shared" si="16"/>
        <v>71775</v>
      </c>
      <c r="L113" s="1025">
        <f t="shared" si="16"/>
        <v>27360</v>
      </c>
      <c r="M113" s="1025">
        <f t="shared" si="16"/>
        <v>36100</v>
      </c>
      <c r="N113" s="1025">
        <f t="shared" si="16"/>
        <v>0</v>
      </c>
      <c r="O113" s="1025">
        <f t="shared" si="16"/>
        <v>0</v>
      </c>
      <c r="P113" s="1025">
        <f t="shared" si="16"/>
        <v>0</v>
      </c>
    </row>
    <row r="114" spans="2:16">
      <c r="B114" s="37"/>
      <c r="F114" s="1028">
        <f>SUM(F108:F113)</f>
        <v>1</v>
      </c>
      <c r="G114" s="1030">
        <f>SUM(G108:G113)</f>
        <v>352250</v>
      </c>
      <c r="H114" s="1030">
        <f t="shared" ref="H114:P114" si="17">SUM(H108:H113)</f>
        <v>125750</v>
      </c>
      <c r="I114" s="1030">
        <f t="shared" si="17"/>
        <v>257450</v>
      </c>
      <c r="J114" s="1030">
        <f t="shared" si="17"/>
        <v>517300</v>
      </c>
      <c r="K114" s="1030">
        <f t="shared" si="17"/>
        <v>379965</v>
      </c>
      <c r="L114" s="1030">
        <f t="shared" si="17"/>
        <v>337580</v>
      </c>
      <c r="M114" s="1030">
        <f t="shared" si="17"/>
        <v>366850</v>
      </c>
      <c r="N114" s="1030">
        <f t="shared" si="17"/>
        <v>60500</v>
      </c>
      <c r="O114" s="1030">
        <f t="shared" si="17"/>
        <v>113600</v>
      </c>
      <c r="P114" s="1030">
        <f t="shared" si="17"/>
        <v>50000</v>
      </c>
    </row>
    <row r="115" spans="2:16">
      <c r="B115" s="37"/>
      <c r="E115" s="1030"/>
    </row>
    <row r="116" spans="2:16">
      <c r="B116" s="1029"/>
      <c r="D116" s="36" t="s">
        <v>484</v>
      </c>
      <c r="E116" s="544"/>
      <c r="G116" s="1030">
        <f>SUM(G81:I81)</f>
        <v>99075</v>
      </c>
      <c r="J116" s="1030">
        <f>SUM(J81:L81)</f>
        <v>54885</v>
      </c>
      <c r="M116" s="1030">
        <f>SUM(M81:P81)</f>
        <v>50100</v>
      </c>
    </row>
    <row r="117" spans="2:16">
      <c r="D117" s="36" t="s">
        <v>485</v>
      </c>
      <c r="G117" s="1030">
        <f>SUM(G82:I82)</f>
        <v>231175</v>
      </c>
      <c r="J117" s="1030">
        <f>SUM(J82:L82)</f>
        <v>128064.99999999999</v>
      </c>
      <c r="M117" s="1030">
        <f>SUM(M82:P82)</f>
        <v>116899.99999999999</v>
      </c>
    </row>
    <row r="118" spans="2:16">
      <c r="D118" s="37" t="s">
        <v>581</v>
      </c>
      <c r="G118" s="1030">
        <f>SUM(G83:I83)</f>
        <v>0</v>
      </c>
      <c r="J118" s="1030">
        <f>SUM(J83:L83)</f>
        <v>89000</v>
      </c>
      <c r="M118" s="1030">
        <f>SUM(M83:P83)</f>
        <v>0</v>
      </c>
    </row>
    <row r="119" spans="2:16">
      <c r="D119" s="37" t="s">
        <v>491</v>
      </c>
      <c r="G119" s="1030">
        <f>SUM(G99:I100)</f>
        <v>0</v>
      </c>
      <c r="J119" s="1030">
        <f>SUM(J99:L100)</f>
        <v>249360</v>
      </c>
      <c r="M119" s="1030">
        <f>SUM(M99:P100)</f>
        <v>0</v>
      </c>
    </row>
    <row r="120" spans="2:16">
      <c r="D120" s="37" t="s">
        <v>63</v>
      </c>
      <c r="G120" s="1030">
        <f>SUM(G110:I110)</f>
        <v>38350</v>
      </c>
      <c r="J120" s="1030">
        <f>SUM(J110:L110)</f>
        <v>152830</v>
      </c>
      <c r="M120" s="1030">
        <f>SUM(M110:P110)</f>
        <v>109600</v>
      </c>
    </row>
    <row r="121" spans="2:16">
      <c r="B121" s="37" t="s">
        <v>439</v>
      </c>
      <c r="D121" s="37" t="s">
        <v>462</v>
      </c>
      <c r="G121" s="1030">
        <f>SUM(G111:I111)</f>
        <v>146375</v>
      </c>
      <c r="J121" s="1030">
        <f>SUM(J111:L111)</f>
        <v>142440</v>
      </c>
      <c r="M121" s="1030">
        <f>SUM(M111:P111)</f>
        <v>58750</v>
      </c>
    </row>
    <row r="122" spans="2:16">
      <c r="B122" s="37" t="s">
        <v>440</v>
      </c>
      <c r="D122" s="37" t="s">
        <v>580</v>
      </c>
      <c r="G122" s="1030">
        <f>SUM(G88:I94)</f>
        <v>133600</v>
      </c>
      <c r="J122" s="1030">
        <f>SUM(J88:L94)</f>
        <v>250540</v>
      </c>
      <c r="M122" s="1030">
        <f>SUM(M88:P94)</f>
        <v>187000</v>
      </c>
    </row>
    <row r="123" spans="2:16">
      <c r="B123" s="37" t="s">
        <v>443</v>
      </c>
      <c r="D123" s="37" t="s">
        <v>494</v>
      </c>
      <c r="G123" s="1030">
        <f>SUM(G101:I101)</f>
        <v>46400</v>
      </c>
      <c r="J123" s="1030">
        <f>SUM(J101:L101)</f>
        <v>41800</v>
      </c>
      <c r="M123" s="1030">
        <f>SUM(M101:P101)</f>
        <v>0</v>
      </c>
    </row>
    <row r="124" spans="2:16">
      <c r="B124" s="37" t="s">
        <v>442</v>
      </c>
      <c r="D124" s="36" t="s">
        <v>45</v>
      </c>
      <c r="G124" s="1030">
        <f>SUM(G104:I104)</f>
        <v>19875</v>
      </c>
      <c r="J124" s="1030">
        <f>SUM(J104:L104)</f>
        <v>19150</v>
      </c>
      <c r="M124" s="1030">
        <f>SUM(M104:P104)</f>
        <v>32500</v>
      </c>
    </row>
    <row r="125" spans="2:16">
      <c r="B125" s="37" t="s">
        <v>441</v>
      </c>
      <c r="D125" s="37" t="s">
        <v>582</v>
      </c>
      <c r="G125" s="1030">
        <f>SUM(G95:I98)+SUM(G102:I103)</f>
        <v>20600</v>
      </c>
      <c r="J125" s="1030">
        <f>SUM(J95:L98)+SUM(J102:L103)</f>
        <v>106775</v>
      </c>
      <c r="M125" s="1030">
        <f>SUM(M95:P98)+SUM(M102:P103)</f>
        <v>36100</v>
      </c>
    </row>
    <row r="126" spans="2:16">
      <c r="G126" s="1030">
        <f>SUM(G105:I105)-SUM(G116:G125)</f>
        <v>0</v>
      </c>
      <c r="J126" s="1030">
        <f>SUM(J105:L105)-SUM(J116:J125)</f>
        <v>0</v>
      </c>
      <c r="M126" s="1030">
        <f>SUM(M105:P105)-SUM(M116:M125)</f>
        <v>0</v>
      </c>
    </row>
  </sheetData>
  <printOptions horizontalCentered="1"/>
  <pageMargins left="0.2" right="0.2" top="0.25" bottom="0.25" header="0.3" footer="0.3"/>
  <pageSetup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9"/>
  <sheetViews>
    <sheetView workbookViewId="0">
      <selection activeCell="D19" sqref="D19"/>
    </sheetView>
  </sheetViews>
  <sheetFormatPr defaultColWidth="9.1796875" defaultRowHeight="12.5"/>
  <cols>
    <col min="1" max="1" width="6.1796875" style="36" customWidth="1"/>
    <col min="2" max="2" width="14.7265625" style="36" customWidth="1"/>
    <col min="3" max="3" width="13.453125" style="36" customWidth="1"/>
    <col min="4" max="4" width="10" style="36" customWidth="1"/>
    <col min="5" max="5" width="9.1796875" style="36"/>
    <col min="6" max="10" width="12.7265625" style="36" customWidth="1"/>
    <col min="11" max="16384" width="9.1796875" style="36"/>
  </cols>
  <sheetData>
    <row r="1" spans="1:11" ht="13">
      <c r="A1" s="52" t="s">
        <v>79</v>
      </c>
      <c r="B1" s="545"/>
      <c r="C1" s="545"/>
      <c r="D1" s="545"/>
      <c r="E1" s="545"/>
      <c r="F1" s="545"/>
      <c r="G1" s="545"/>
      <c r="H1" s="545"/>
      <c r="I1" s="545"/>
      <c r="J1" s="545"/>
      <c r="K1" s="546"/>
    </row>
    <row r="2" spans="1:11" ht="13.5" thickBot="1">
      <c r="A2" s="55" t="s">
        <v>229</v>
      </c>
      <c r="B2" s="559"/>
      <c r="C2" s="559"/>
      <c r="D2" s="559"/>
      <c r="E2" s="559"/>
      <c r="F2" s="559"/>
      <c r="G2" s="559"/>
      <c r="H2" s="559"/>
      <c r="I2" s="559"/>
      <c r="J2" s="559"/>
      <c r="K2" s="560"/>
    </row>
    <row r="3" spans="1:11" ht="13">
      <c r="A3" s="541"/>
      <c r="B3" s="424" t="s">
        <v>214</v>
      </c>
      <c r="C3" s="424" t="s">
        <v>216</v>
      </c>
      <c r="D3" s="489" t="s">
        <v>394</v>
      </c>
      <c r="E3" s="524" t="s">
        <v>173</v>
      </c>
      <c r="F3" s="489" t="s">
        <v>173</v>
      </c>
      <c r="G3" s="524" t="s">
        <v>174</v>
      </c>
      <c r="H3" s="424" t="s">
        <v>175</v>
      </c>
      <c r="I3" s="489" t="s">
        <v>176</v>
      </c>
      <c r="J3" s="425" t="s">
        <v>30</v>
      </c>
      <c r="K3" s="425" t="s">
        <v>177</v>
      </c>
    </row>
    <row r="4" spans="1:11" ht="15.5" thickBot="1">
      <c r="A4" s="125" t="s">
        <v>213</v>
      </c>
      <c r="B4" s="146" t="s">
        <v>215</v>
      </c>
      <c r="C4" s="146" t="s">
        <v>177</v>
      </c>
      <c r="D4" s="190" t="s">
        <v>88</v>
      </c>
      <c r="E4" s="525" t="s">
        <v>159</v>
      </c>
      <c r="F4" s="190" t="s">
        <v>180</v>
      </c>
      <c r="G4" s="525" t="s">
        <v>181</v>
      </c>
      <c r="H4" s="146" t="s">
        <v>182</v>
      </c>
      <c r="I4" s="190" t="s">
        <v>177</v>
      </c>
      <c r="J4" s="426" t="s">
        <v>177</v>
      </c>
      <c r="K4" s="426" t="s">
        <v>183</v>
      </c>
    </row>
    <row r="5" spans="1:11">
      <c r="A5" s="65" t="s">
        <v>218</v>
      </c>
      <c r="B5" s="66" t="s">
        <v>371</v>
      </c>
      <c r="C5" s="171">
        <f>'Land Values'!E18</f>
        <v>1706250</v>
      </c>
      <c r="D5" s="237">
        <f>'Land Values'!F18</f>
        <v>5250</v>
      </c>
      <c r="E5" s="340">
        <f>'Land Values'!H18</f>
        <v>0</v>
      </c>
      <c r="F5" s="172">
        <f>'Land Values'!I18</f>
        <v>0</v>
      </c>
      <c r="G5" s="170">
        <f>'Land Values'!K18</f>
        <v>0</v>
      </c>
      <c r="H5" s="171">
        <f>'Land Values'!L18</f>
        <v>34141</v>
      </c>
      <c r="I5" s="172">
        <f>'Land Values'!M18</f>
        <v>1693375</v>
      </c>
      <c r="J5" s="556">
        <f t="shared" ref="J5:J18" si="0">SUM(G5:I5)</f>
        <v>1727516</v>
      </c>
      <c r="K5" s="552">
        <f t="shared" ref="K5:K19" si="1">J5/D5</f>
        <v>329.05066666666664</v>
      </c>
    </row>
    <row r="6" spans="1:11">
      <c r="A6" s="65" t="s">
        <v>218</v>
      </c>
      <c r="B6" s="78" t="s">
        <v>372</v>
      </c>
      <c r="C6" s="175">
        <f>'Land Values'!E36</f>
        <v>1050000</v>
      </c>
      <c r="D6" s="237">
        <f>'Land Values'!F36</f>
        <v>3500</v>
      </c>
      <c r="E6" s="340">
        <f>'Land Values'!H36</f>
        <v>0</v>
      </c>
      <c r="F6" s="176">
        <f>'Land Values'!I36</f>
        <v>0</v>
      </c>
      <c r="G6" s="174">
        <f>'Land Values'!K36</f>
        <v>0</v>
      </c>
      <c r="H6" s="175">
        <f>'Land Values'!L36</f>
        <v>0</v>
      </c>
      <c r="I6" s="176">
        <f>'Land Values'!M36</f>
        <v>0</v>
      </c>
      <c r="J6" s="557">
        <f t="shared" si="0"/>
        <v>0</v>
      </c>
      <c r="K6" s="553">
        <f t="shared" si="1"/>
        <v>0</v>
      </c>
    </row>
    <row r="7" spans="1:11">
      <c r="A7" s="65" t="s">
        <v>218</v>
      </c>
      <c r="B7" s="78" t="s">
        <v>373</v>
      </c>
      <c r="C7" s="175">
        <f>'Land Values'!E55</f>
        <v>4200000</v>
      </c>
      <c r="D7" s="237">
        <f>'Land Values'!F55</f>
        <v>28000</v>
      </c>
      <c r="E7" s="340">
        <f>'Land Values'!H55</f>
        <v>0</v>
      </c>
      <c r="F7" s="176">
        <f>'Land Values'!I55</f>
        <v>0</v>
      </c>
      <c r="G7" s="174">
        <f>'Land Values'!K55</f>
        <v>0</v>
      </c>
      <c r="H7" s="175">
        <f>'Land Values'!L55</f>
        <v>12400</v>
      </c>
      <c r="I7" s="176">
        <f>'Land Values'!M55</f>
        <v>925482.85714285704</v>
      </c>
      <c r="J7" s="557">
        <f t="shared" si="0"/>
        <v>937882.85714285704</v>
      </c>
      <c r="K7" s="553">
        <f t="shared" si="1"/>
        <v>33.495816326530608</v>
      </c>
    </row>
    <row r="8" spans="1:11">
      <c r="A8" s="65" t="s">
        <v>219</v>
      </c>
      <c r="B8" s="66" t="s">
        <v>375</v>
      </c>
      <c r="C8" s="175">
        <f>SUM('Land Values'!E67:E69,'Land Values'!E72:E73,'Land Values'!E77:E77)</f>
        <v>4511435</v>
      </c>
      <c r="D8" s="237">
        <f>SUM('Land Values'!F67:F69,'Land Values'!F72:F73,'Land Values'!F77:F77)</f>
        <v>53551</v>
      </c>
      <c r="E8" s="340">
        <f>SUM('Land Values'!H67:H69,'Land Values'!H72:H73,'Land Values'!H77:H77)</f>
        <v>167.34687500000001</v>
      </c>
      <c r="F8" s="176">
        <f>SUM('Land Values'!I67:I69,'Land Values'!I72:I73,'Land Values'!I77:I77)</f>
        <v>549734.484375</v>
      </c>
      <c r="G8" s="174">
        <f>SUM('Land Values'!K67:K69,'Land Values'!K72:K73,'Land Values'!K77:K77)</f>
        <v>6871681.0546875009</v>
      </c>
      <c r="H8" s="175">
        <f>SUM('Land Values'!L67:L69,'Land Values'!L72:L73,'Land Values'!L77:L77)</f>
        <v>93933</v>
      </c>
      <c r="I8" s="176">
        <f>SUM('Land Values'!M67:M69,'Land Values'!M72:M73,'Land Values'!M77:M77)</f>
        <v>374707.20000000001</v>
      </c>
      <c r="J8" s="557">
        <f t="shared" si="0"/>
        <v>7340321.2546875011</v>
      </c>
      <c r="K8" s="553">
        <f t="shared" si="1"/>
        <v>137.07160005765533</v>
      </c>
    </row>
    <row r="9" spans="1:11">
      <c r="A9" s="65" t="s">
        <v>219</v>
      </c>
      <c r="B9" s="66" t="s">
        <v>376</v>
      </c>
      <c r="C9" s="175" t="e">
        <f>'Land Values'!#REF!</f>
        <v>#REF!</v>
      </c>
      <c r="D9" s="237" t="e">
        <f>'Land Values'!#REF!</f>
        <v>#REF!</v>
      </c>
      <c r="E9" s="340" t="e">
        <f>'Land Values'!#REF!</f>
        <v>#REF!</v>
      </c>
      <c r="F9" s="176" t="e">
        <f>'Land Values'!#REF!</f>
        <v>#REF!</v>
      </c>
      <c r="G9" s="174" t="e">
        <f>'Land Values'!#REF!</f>
        <v>#REF!</v>
      </c>
      <c r="H9" s="175" t="e">
        <f>'Land Values'!#REF!</f>
        <v>#REF!</v>
      </c>
      <c r="I9" s="176" t="e">
        <f>'Land Values'!#REF!</f>
        <v>#REF!</v>
      </c>
      <c r="J9" s="557" t="e">
        <f t="shared" si="0"/>
        <v>#REF!</v>
      </c>
      <c r="K9" s="553" t="e">
        <f t="shared" si="1"/>
        <v>#REF!</v>
      </c>
    </row>
    <row r="10" spans="1:11">
      <c r="A10" s="65" t="s">
        <v>219</v>
      </c>
      <c r="B10" s="547" t="s">
        <v>377</v>
      </c>
      <c r="C10" s="175">
        <f>'Land Values'!E99</f>
        <v>28018415</v>
      </c>
      <c r="D10" s="237">
        <f>'Land Values'!F99</f>
        <v>178456.4</v>
      </c>
      <c r="E10" s="340">
        <f>'Land Values'!H99</f>
        <v>0</v>
      </c>
      <c r="F10" s="176">
        <f>'Land Values'!I99</f>
        <v>0</v>
      </c>
      <c r="G10" s="174">
        <f>'Land Values'!K99</f>
        <v>0</v>
      </c>
      <c r="H10" s="175">
        <f>'Land Values'!L99</f>
        <v>845386</v>
      </c>
      <c r="I10" s="176">
        <f>'Land Values'!M99</f>
        <v>10459712.35</v>
      </c>
      <c r="J10" s="557">
        <f t="shared" si="0"/>
        <v>11305098.35</v>
      </c>
      <c r="K10" s="553">
        <f t="shared" si="1"/>
        <v>63.349357882373511</v>
      </c>
    </row>
    <row r="11" spans="1:11">
      <c r="A11" s="65" t="s">
        <v>220</v>
      </c>
      <c r="B11" s="66" t="s">
        <v>378</v>
      </c>
      <c r="C11" s="175" t="e">
        <f>'Land Values'!#REF!</f>
        <v>#REF!</v>
      </c>
      <c r="D11" s="237" t="e">
        <f>'Land Values'!#REF!</f>
        <v>#REF!</v>
      </c>
      <c r="E11" s="340" t="e">
        <f>'Land Values'!#REF!</f>
        <v>#REF!</v>
      </c>
      <c r="F11" s="176" t="e">
        <f>'Land Values'!#REF!</f>
        <v>#REF!</v>
      </c>
      <c r="G11" s="174" t="e">
        <f>'Land Values'!#REF!</f>
        <v>#REF!</v>
      </c>
      <c r="H11" s="175" t="e">
        <f>'Land Values'!#REF!</f>
        <v>#REF!</v>
      </c>
      <c r="I11" s="176" t="e">
        <f>'Land Values'!#REF!</f>
        <v>#REF!</v>
      </c>
      <c r="J11" s="557" t="e">
        <f t="shared" si="0"/>
        <v>#REF!</v>
      </c>
      <c r="K11" s="553" t="e">
        <f t="shared" si="1"/>
        <v>#REF!</v>
      </c>
    </row>
    <row r="12" spans="1:11">
      <c r="A12" s="65" t="s">
        <v>220</v>
      </c>
      <c r="B12" s="66" t="s">
        <v>379</v>
      </c>
      <c r="C12" s="175" t="e">
        <f>'Land Values'!#REF!</f>
        <v>#REF!</v>
      </c>
      <c r="D12" s="237" t="e">
        <f>'Land Values'!#REF!</f>
        <v>#REF!</v>
      </c>
      <c r="E12" s="340" t="e">
        <f>'Land Values'!#REF!</f>
        <v>#REF!</v>
      </c>
      <c r="F12" s="176" t="e">
        <f>'Land Values'!#REF!</f>
        <v>#REF!</v>
      </c>
      <c r="G12" s="174" t="e">
        <f>'Land Values'!#REF!</f>
        <v>#REF!</v>
      </c>
      <c r="H12" s="175" t="e">
        <f>'Land Values'!#REF!</f>
        <v>#REF!</v>
      </c>
      <c r="I12" s="176" t="e">
        <f>'Land Values'!#REF!</f>
        <v>#REF!</v>
      </c>
      <c r="J12" s="557" t="e">
        <f t="shared" si="0"/>
        <v>#REF!</v>
      </c>
      <c r="K12" s="553" t="e">
        <f t="shared" si="1"/>
        <v>#REF!</v>
      </c>
    </row>
    <row r="13" spans="1:11">
      <c r="A13" s="65" t="s">
        <v>220</v>
      </c>
      <c r="B13" s="66" t="s">
        <v>380</v>
      </c>
      <c r="C13" s="175" t="e">
        <f>'Land Values'!#REF!</f>
        <v>#REF!</v>
      </c>
      <c r="D13" s="237" t="e">
        <f>'Land Values'!#REF!</f>
        <v>#REF!</v>
      </c>
      <c r="E13" s="340" t="e">
        <f>'Land Values'!#REF!</f>
        <v>#REF!</v>
      </c>
      <c r="F13" s="176" t="e">
        <f>'Land Values'!#REF!</f>
        <v>#REF!</v>
      </c>
      <c r="G13" s="174" t="e">
        <f>'Land Values'!#REF!</f>
        <v>#REF!</v>
      </c>
      <c r="H13" s="175" t="e">
        <f>'Land Values'!#REF!</f>
        <v>#REF!</v>
      </c>
      <c r="I13" s="176" t="e">
        <f>'Land Values'!#REF!</f>
        <v>#REF!</v>
      </c>
      <c r="J13" s="557" t="e">
        <f t="shared" si="0"/>
        <v>#REF!</v>
      </c>
      <c r="K13" s="553" t="e">
        <f t="shared" si="1"/>
        <v>#REF!</v>
      </c>
    </row>
    <row r="14" spans="1:11">
      <c r="A14" s="65" t="s">
        <v>392</v>
      </c>
      <c r="B14" s="66" t="s">
        <v>381</v>
      </c>
      <c r="C14" s="175" t="e">
        <f>'Land Values'!#REF!</f>
        <v>#REF!</v>
      </c>
      <c r="D14" s="237" t="e">
        <f>'Land Values'!#REF!</f>
        <v>#REF!</v>
      </c>
      <c r="E14" s="340" t="e">
        <f>'Land Values'!#REF!</f>
        <v>#REF!</v>
      </c>
      <c r="F14" s="176" t="e">
        <f>'Land Values'!#REF!</f>
        <v>#REF!</v>
      </c>
      <c r="G14" s="174" t="e">
        <f>'Land Values'!#REF!</f>
        <v>#REF!</v>
      </c>
      <c r="H14" s="175" t="e">
        <f>'Land Values'!#REF!</f>
        <v>#REF!</v>
      </c>
      <c r="I14" s="176" t="e">
        <f>'Land Values'!#REF!</f>
        <v>#REF!</v>
      </c>
      <c r="J14" s="557" t="e">
        <f t="shared" si="0"/>
        <v>#REF!</v>
      </c>
      <c r="K14" s="553" t="e">
        <f t="shared" si="1"/>
        <v>#REF!</v>
      </c>
    </row>
    <row r="15" spans="1:11">
      <c r="A15" s="65" t="s">
        <v>393</v>
      </c>
      <c r="B15" s="66" t="s">
        <v>382</v>
      </c>
      <c r="C15" s="175" t="e">
        <f>'Land Values'!#REF!</f>
        <v>#REF!</v>
      </c>
      <c r="D15" s="237" t="e">
        <f>'Land Values'!#REF!</f>
        <v>#REF!</v>
      </c>
      <c r="E15" s="340" t="e">
        <f>'Land Values'!#REF!</f>
        <v>#REF!</v>
      </c>
      <c r="F15" s="176" t="e">
        <f>'Land Values'!#REF!</f>
        <v>#REF!</v>
      </c>
      <c r="G15" s="174" t="e">
        <f>'Land Values'!#REF!</f>
        <v>#REF!</v>
      </c>
      <c r="H15" s="175" t="e">
        <f>'Land Values'!#REF!</f>
        <v>#REF!</v>
      </c>
      <c r="I15" s="176" t="e">
        <f>'Land Values'!#REF!</f>
        <v>#REF!</v>
      </c>
      <c r="J15" s="557" t="e">
        <f t="shared" si="0"/>
        <v>#REF!</v>
      </c>
      <c r="K15" s="553" t="e">
        <f t="shared" si="1"/>
        <v>#REF!</v>
      </c>
    </row>
    <row r="16" spans="1:11">
      <c r="A16" s="65" t="s">
        <v>393</v>
      </c>
      <c r="B16" s="66" t="s">
        <v>383</v>
      </c>
      <c r="C16" s="175" t="e">
        <f>'Land Values'!#REF!</f>
        <v>#REF!</v>
      </c>
      <c r="D16" s="237" t="e">
        <f>'Land Values'!#REF!</f>
        <v>#REF!</v>
      </c>
      <c r="E16" s="340" t="e">
        <f>'Land Values'!#REF!</f>
        <v>#REF!</v>
      </c>
      <c r="F16" s="176" t="e">
        <f>'Land Values'!#REF!</f>
        <v>#REF!</v>
      </c>
      <c r="G16" s="174" t="e">
        <f>'Land Values'!#REF!</f>
        <v>#REF!</v>
      </c>
      <c r="H16" s="175" t="e">
        <f>'Land Values'!#REF!</f>
        <v>#REF!</v>
      </c>
      <c r="I16" s="176" t="e">
        <f>'Land Values'!#REF!</f>
        <v>#REF!</v>
      </c>
      <c r="J16" s="557" t="e">
        <f t="shared" si="0"/>
        <v>#REF!</v>
      </c>
      <c r="K16" s="553" t="e">
        <f t="shared" si="1"/>
        <v>#REF!</v>
      </c>
    </row>
    <row r="17" spans="1:11">
      <c r="A17" s="65" t="s">
        <v>393</v>
      </c>
      <c r="B17" s="66" t="s">
        <v>384</v>
      </c>
      <c r="C17" s="175"/>
      <c r="D17" s="237"/>
      <c r="E17" s="340"/>
      <c r="F17" s="176"/>
      <c r="G17" s="174"/>
      <c r="H17" s="175"/>
      <c r="I17" s="176"/>
      <c r="J17" s="557"/>
      <c r="K17" s="553"/>
    </row>
    <row r="18" spans="1:11" ht="13" thickBot="1">
      <c r="A18" s="68" t="s">
        <v>393</v>
      </c>
      <c r="B18" s="548" t="s">
        <v>385</v>
      </c>
      <c r="C18" s="549" t="e">
        <f>'Land Values'!#REF!</f>
        <v>#REF!</v>
      </c>
      <c r="D18" s="238" t="e">
        <f>'Land Values'!#REF!</f>
        <v>#REF!</v>
      </c>
      <c r="E18" s="555" t="e">
        <f>'Land Values'!#REF!</f>
        <v>#REF!</v>
      </c>
      <c r="F18" s="551" t="e">
        <f>'Land Values'!#REF!</f>
        <v>#REF!</v>
      </c>
      <c r="G18" s="550" t="e">
        <f>'Land Values'!#REF!</f>
        <v>#REF!</v>
      </c>
      <c r="H18" s="549" t="e">
        <f>'Land Values'!#REF!</f>
        <v>#REF!</v>
      </c>
      <c r="I18" s="551" t="e">
        <f>'Land Values'!#REF!</f>
        <v>#REF!</v>
      </c>
      <c r="J18" s="558" t="e">
        <f t="shared" si="0"/>
        <v>#REF!</v>
      </c>
      <c r="K18" s="554" t="e">
        <f t="shared" si="1"/>
        <v>#REF!</v>
      </c>
    </row>
    <row r="19" spans="1:11" ht="13.5" thickBot="1">
      <c r="A19" s="125" t="s">
        <v>30</v>
      </c>
      <c r="B19" s="548"/>
      <c r="C19" s="156" t="e">
        <f t="shared" ref="C19:J19" si="2">SUM(C5:C18)</f>
        <v>#REF!</v>
      </c>
      <c r="D19" s="538" t="e">
        <f t="shared" si="2"/>
        <v>#REF!</v>
      </c>
      <c r="E19" s="561" t="e">
        <f t="shared" si="2"/>
        <v>#REF!</v>
      </c>
      <c r="F19" s="157" t="e">
        <f t="shared" si="2"/>
        <v>#REF!</v>
      </c>
      <c r="G19" s="155" t="e">
        <f t="shared" si="2"/>
        <v>#REF!</v>
      </c>
      <c r="H19" s="156" t="e">
        <f t="shared" si="2"/>
        <v>#REF!</v>
      </c>
      <c r="I19" s="157" t="e">
        <f t="shared" si="2"/>
        <v>#REF!</v>
      </c>
      <c r="J19" s="521" t="e">
        <f t="shared" si="2"/>
        <v>#REF!</v>
      </c>
      <c r="K19" s="562" t="e">
        <f t="shared" si="1"/>
        <v>#REF!</v>
      </c>
    </row>
    <row r="20" spans="1:11">
      <c r="A20" s="37" t="s">
        <v>212</v>
      </c>
      <c r="B20" s="540"/>
      <c r="C20" s="543"/>
      <c r="D20" s="542"/>
      <c r="E20" s="542"/>
      <c r="F20" s="543"/>
      <c r="G20" s="543"/>
      <c r="H20" s="543"/>
      <c r="I20" s="543"/>
      <c r="J20" s="181"/>
      <c r="K20" s="544"/>
    </row>
    <row r="21" spans="1:11">
      <c r="A21" s="37" t="s">
        <v>221</v>
      </c>
      <c r="B21" s="540"/>
      <c r="C21" s="543"/>
      <c r="D21" s="542"/>
      <c r="E21" s="542"/>
      <c r="F21" s="543"/>
      <c r="G21" s="543"/>
      <c r="H21" s="543"/>
      <c r="I21" s="543"/>
      <c r="J21" s="181"/>
      <c r="K21" s="544"/>
    </row>
    <row r="22" spans="1:11" ht="13" thickBot="1">
      <c r="A22" s="37"/>
      <c r="B22" s="540"/>
      <c r="C22" s="543"/>
      <c r="D22" s="542"/>
      <c r="E22" s="542"/>
      <c r="F22" s="543"/>
      <c r="G22" s="543"/>
      <c r="H22" s="543"/>
      <c r="I22" s="543"/>
      <c r="J22" s="181"/>
      <c r="K22" s="544"/>
    </row>
    <row r="23" spans="1:11" ht="13.5" thickBot="1">
      <c r="A23" s="193" t="s">
        <v>223</v>
      </c>
      <c r="B23" s="266"/>
      <c r="C23" s="567"/>
      <c r="D23" s="568"/>
      <c r="E23" s="568"/>
      <c r="F23" s="569"/>
      <c r="G23" s="543"/>
      <c r="H23" s="543"/>
      <c r="I23" s="543"/>
      <c r="J23" s="181"/>
      <c r="K23" s="544"/>
    </row>
    <row r="24" spans="1:11">
      <c r="A24" s="133" t="s">
        <v>80</v>
      </c>
      <c r="B24" s="80"/>
      <c r="C24" s="564"/>
      <c r="D24" s="565"/>
      <c r="E24" s="565"/>
      <c r="F24" s="962" t="e">
        <f>D19</f>
        <v>#REF!</v>
      </c>
      <c r="G24" s="543"/>
      <c r="H24" s="543"/>
      <c r="I24" s="543"/>
      <c r="J24" s="181"/>
      <c r="K24" s="544"/>
    </row>
    <row r="25" spans="1:11">
      <c r="A25" s="479" t="s">
        <v>224</v>
      </c>
      <c r="B25" s="563"/>
      <c r="C25" s="563"/>
      <c r="D25" s="563"/>
      <c r="E25" s="563"/>
      <c r="F25" s="178" t="e">
        <f>-'Land Values'!#REF!</f>
        <v>#REF!</v>
      </c>
    </row>
    <row r="26" spans="1:11" ht="13">
      <c r="A26" s="124" t="s">
        <v>225</v>
      </c>
      <c r="B26" s="62"/>
      <c r="C26" s="62"/>
      <c r="D26" s="62"/>
      <c r="E26" s="62"/>
      <c r="F26" s="566" t="e">
        <f>SUM(F24:F25)</f>
        <v>#REF!</v>
      </c>
    </row>
    <row r="27" spans="1:11">
      <c r="A27" s="479" t="s">
        <v>222</v>
      </c>
      <c r="B27" s="563"/>
      <c r="C27" s="563"/>
      <c r="D27" s="563"/>
      <c r="E27" s="108" t="s">
        <v>226</v>
      </c>
      <c r="F27" s="963">
        <v>2</v>
      </c>
    </row>
    <row r="28" spans="1:11" ht="15.5" thickBot="1">
      <c r="A28" s="125" t="s">
        <v>227</v>
      </c>
      <c r="B28" s="126"/>
      <c r="C28" s="126"/>
      <c r="D28" s="126"/>
      <c r="E28" s="126"/>
      <c r="F28" s="157" t="e">
        <f>F26*F27</f>
        <v>#REF!</v>
      </c>
    </row>
    <row r="29" spans="1:11">
      <c r="A29" s="37" t="s">
        <v>228</v>
      </c>
    </row>
  </sheetData>
  <printOptions horizontalCentered="1"/>
  <pageMargins left="0.45" right="0.45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39"/>
  <sheetViews>
    <sheetView zoomScale="85" zoomScaleNormal="85" workbookViewId="0">
      <selection activeCell="K5" sqref="K5"/>
    </sheetView>
  </sheetViews>
  <sheetFormatPr defaultColWidth="9.1796875" defaultRowHeight="12.5"/>
  <cols>
    <col min="1" max="1" width="16" style="37" customWidth="1"/>
    <col min="2" max="2" width="13.1796875" style="37" bestFit="1" customWidth="1"/>
    <col min="3" max="3" width="10.90625" style="37" customWidth="1"/>
    <col min="4" max="4" width="22.1796875" style="37" bestFit="1" customWidth="1"/>
    <col min="5" max="5" width="16.26953125" style="37" bestFit="1" customWidth="1"/>
    <col min="6" max="6" width="10.81640625" style="37" bestFit="1" customWidth="1"/>
    <col min="7" max="7" width="10.81640625" style="37" customWidth="1"/>
    <col min="8" max="8" width="8.26953125" style="37" bestFit="1" customWidth="1"/>
    <col min="9" max="9" width="14.1796875" style="37" bestFit="1" customWidth="1"/>
    <col min="10" max="10" width="14.1796875" style="37" customWidth="1"/>
    <col min="11" max="11" width="15.81640625" style="37" bestFit="1" customWidth="1"/>
    <col min="12" max="12" width="14.1796875" style="37" bestFit="1" customWidth="1"/>
    <col min="13" max="13" width="16.26953125" style="37" bestFit="1" customWidth="1"/>
    <col min="14" max="14" width="16.54296875" style="37" bestFit="1" customWidth="1"/>
    <col min="15" max="16" width="11.54296875" style="37" bestFit="1" customWidth="1"/>
    <col min="17" max="17" width="9.1796875" style="37"/>
    <col min="18" max="21" width="10.81640625" style="37" customWidth="1"/>
    <col min="22" max="16384" width="9.1796875" style="37"/>
  </cols>
  <sheetData>
    <row r="1" spans="1:21" s="417" customFormat="1" ht="13">
      <c r="A1" s="52" t="s">
        <v>79</v>
      </c>
      <c r="B1" s="53"/>
      <c r="C1" s="53"/>
      <c r="D1" s="53"/>
      <c r="E1" s="53"/>
      <c r="F1" s="486"/>
      <c r="G1" s="486"/>
      <c r="H1" s="486"/>
      <c r="I1" s="486"/>
      <c r="J1" s="486"/>
      <c r="K1" s="486"/>
      <c r="L1" s="486"/>
      <c r="M1" s="486"/>
      <c r="N1" s="486"/>
      <c r="O1" s="436"/>
      <c r="P1" s="436"/>
      <c r="Q1" s="37"/>
      <c r="R1" s="37"/>
      <c r="S1" s="37"/>
      <c r="T1" s="37"/>
      <c r="U1" s="37"/>
    </row>
    <row r="2" spans="1:21" s="417" customFormat="1" ht="13.5" thickBot="1">
      <c r="A2" s="55" t="s">
        <v>171</v>
      </c>
      <c r="B2" s="56"/>
      <c r="C2" s="56"/>
      <c r="D2" s="56"/>
      <c r="E2" s="56"/>
      <c r="F2" s="487"/>
      <c r="G2" s="487"/>
      <c r="H2" s="487"/>
      <c r="I2" s="487"/>
      <c r="J2" s="487"/>
      <c r="K2" s="487"/>
      <c r="L2" s="487"/>
      <c r="M2" s="487"/>
      <c r="N2" s="487"/>
      <c r="O2" s="437"/>
      <c r="P2" s="437"/>
      <c r="Q2" s="37"/>
      <c r="R2" s="37"/>
      <c r="S2" s="37"/>
      <c r="T2" s="37"/>
      <c r="U2" s="37"/>
    </row>
    <row r="3" spans="1:21" s="417" customFormat="1" ht="13">
      <c r="A3" s="488"/>
      <c r="B3" s="424" t="s">
        <v>501</v>
      </c>
      <c r="C3" s="424" t="s">
        <v>356</v>
      </c>
      <c r="D3" s="424" t="s">
        <v>172</v>
      </c>
      <c r="E3" s="524" t="s">
        <v>355</v>
      </c>
      <c r="F3" s="424" t="s">
        <v>354</v>
      </c>
      <c r="G3" s="489" t="s">
        <v>198</v>
      </c>
      <c r="H3" s="424" t="s">
        <v>173</v>
      </c>
      <c r="I3" s="424" t="s">
        <v>173</v>
      </c>
      <c r="J3" s="424" t="s">
        <v>197</v>
      </c>
      <c r="K3" s="524" t="s">
        <v>174</v>
      </c>
      <c r="L3" s="424" t="s">
        <v>368</v>
      </c>
      <c r="M3" s="489" t="s">
        <v>198</v>
      </c>
      <c r="N3" s="425" t="s">
        <v>30</v>
      </c>
      <c r="O3" s="489" t="s">
        <v>177</v>
      </c>
      <c r="P3" s="489" t="s">
        <v>408</v>
      </c>
      <c r="Q3" s="37"/>
      <c r="R3" s="37"/>
      <c r="S3" s="37"/>
      <c r="T3" s="37"/>
      <c r="U3" s="37"/>
    </row>
    <row r="4" spans="1:21" s="417" customFormat="1" ht="15.5" thickBot="1">
      <c r="A4" s="480" t="s">
        <v>178</v>
      </c>
      <c r="B4" s="146" t="s">
        <v>298</v>
      </c>
      <c r="C4" s="146" t="s">
        <v>357</v>
      </c>
      <c r="D4" s="146" t="s">
        <v>179</v>
      </c>
      <c r="E4" s="525" t="s">
        <v>177</v>
      </c>
      <c r="F4" s="146" t="s">
        <v>88</v>
      </c>
      <c r="G4" s="190" t="s">
        <v>88</v>
      </c>
      <c r="H4" s="146" t="s">
        <v>159</v>
      </c>
      <c r="I4" s="146" t="s">
        <v>180</v>
      </c>
      <c r="J4" s="146" t="s">
        <v>180</v>
      </c>
      <c r="K4" s="525" t="s">
        <v>595</v>
      </c>
      <c r="L4" s="146" t="s">
        <v>369</v>
      </c>
      <c r="M4" s="190" t="s">
        <v>177</v>
      </c>
      <c r="N4" s="426" t="s">
        <v>177</v>
      </c>
      <c r="O4" s="190" t="s">
        <v>183</v>
      </c>
      <c r="P4" s="190" t="s">
        <v>409</v>
      </c>
      <c r="Q4" s="37"/>
      <c r="R4" s="146" t="s">
        <v>63</v>
      </c>
      <c r="S4" s="146" t="s">
        <v>45</v>
      </c>
      <c r="T4" s="146" t="s">
        <v>359</v>
      </c>
      <c r="U4" s="146" t="s">
        <v>202</v>
      </c>
    </row>
    <row r="5" spans="1:21" s="417" customFormat="1" ht="4.5" customHeight="1">
      <c r="A5" s="65"/>
      <c r="B5" s="76"/>
      <c r="C5" s="76"/>
      <c r="D5" s="76"/>
      <c r="E5" s="65"/>
      <c r="F5" s="338"/>
      <c r="G5" s="339"/>
      <c r="H5" s="76"/>
      <c r="I5" s="76"/>
      <c r="J5" s="76"/>
      <c r="K5" s="65"/>
      <c r="L5" s="76"/>
      <c r="M5" s="121"/>
      <c r="N5" s="517"/>
      <c r="O5" s="121"/>
      <c r="P5" s="121"/>
      <c r="Q5" s="37"/>
      <c r="R5" s="37"/>
      <c r="S5" s="37"/>
      <c r="T5" s="37"/>
      <c r="U5" s="37"/>
    </row>
    <row r="6" spans="1:21" s="417" customFormat="1" ht="13">
      <c r="A6" s="968" t="s">
        <v>184</v>
      </c>
      <c r="B6" s="490"/>
      <c r="C6" s="490"/>
      <c r="D6" s="490"/>
      <c r="E6" s="64"/>
      <c r="F6" s="76"/>
      <c r="G6" s="121"/>
      <c r="H6" s="76"/>
      <c r="I6" s="76"/>
      <c r="J6" s="76"/>
      <c r="K6" s="65"/>
      <c r="L6" s="76"/>
      <c r="M6" s="121"/>
      <c r="N6" s="517"/>
      <c r="O6" s="121"/>
      <c r="P6" s="121"/>
      <c r="Q6" s="37"/>
      <c r="S6" s="37"/>
      <c r="T6" s="37"/>
      <c r="U6" s="37"/>
    </row>
    <row r="7" spans="1:21" s="417" customFormat="1">
      <c r="A7" s="219">
        <v>1</v>
      </c>
      <c r="B7" s="66" t="s">
        <v>540</v>
      </c>
      <c r="C7" s="66" t="s">
        <v>357</v>
      </c>
      <c r="D7" s="66" t="s">
        <v>190</v>
      </c>
      <c r="E7" s="534">
        <v>1056250</v>
      </c>
      <c r="F7" s="60">
        <v>3250</v>
      </c>
      <c r="G7" s="284">
        <v>0</v>
      </c>
      <c r="H7" s="492">
        <v>0</v>
      </c>
      <c r="I7" s="493">
        <f t="shared" ref="I7:I31" si="0">H7*$E$136*$E$137*365</f>
        <v>0</v>
      </c>
      <c r="J7" s="493">
        <f>MAX(R7:U7)</f>
        <v>0</v>
      </c>
      <c r="K7" s="526">
        <f t="shared" ref="K7:K31" si="1">I7/$E$138</f>
        <v>0</v>
      </c>
      <c r="L7" s="491">
        <v>0</v>
      </c>
      <c r="M7" s="529">
        <v>0</v>
      </c>
      <c r="N7" s="518">
        <f t="shared" ref="N7:N31" si="2">SUM(K7:M7)</f>
        <v>0</v>
      </c>
      <c r="O7" s="438">
        <f t="shared" ref="O7:O32" si="3">N7/F7</f>
        <v>0</v>
      </c>
      <c r="P7" s="438">
        <f>IF(G7&gt;0,G7*2,0)</f>
        <v>0</v>
      </c>
      <c r="Q7" s="37"/>
      <c r="R7" s="493">
        <f t="shared" ref="R7:R31" si="4">IF($D7=R$4,($G7*$E$111*(1-$E$112))-($G7*$E$112*$E$114),0)</f>
        <v>0</v>
      </c>
      <c r="S7" s="493">
        <f t="shared" ref="S7:S31" si="5">IF($D7=S$4,($G7*$E$117*(1-$E$118))-($G7*$E$118*$E$120),0)</f>
        <v>0</v>
      </c>
      <c r="T7" s="493">
        <f t="shared" ref="T7:T31" si="6">IF($D7=T$4,($G7*$E$123*(1-$E$124))-($G7*$E$124*$E$126),0)</f>
        <v>0</v>
      </c>
      <c r="U7" s="493">
        <f t="shared" ref="U7:U31" si="7">IF($D7=U$4,($G7*$E$129*(1-$E$130))-($G7*$E$130*$E$132),0)</f>
        <v>0</v>
      </c>
    </row>
    <row r="8" spans="1:21" s="417" customFormat="1">
      <c r="A8" s="219">
        <f>A7+1</f>
        <v>2</v>
      </c>
      <c r="B8" s="66" t="s">
        <v>540</v>
      </c>
      <c r="C8" s="66" t="s">
        <v>357</v>
      </c>
      <c r="D8" s="66" t="s">
        <v>190</v>
      </c>
      <c r="E8" s="535">
        <v>1035000</v>
      </c>
      <c r="F8" s="60">
        <v>3450</v>
      </c>
      <c r="G8" s="284">
        <v>0</v>
      </c>
      <c r="H8" s="492">
        <v>0</v>
      </c>
      <c r="I8" s="151">
        <f t="shared" si="0"/>
        <v>0</v>
      </c>
      <c r="J8" s="151">
        <f t="shared" ref="J8:J31" si="8">MAX(R8:U8)</f>
        <v>0</v>
      </c>
      <c r="K8" s="150">
        <f t="shared" si="1"/>
        <v>0</v>
      </c>
      <c r="L8" s="468">
        <v>0</v>
      </c>
      <c r="M8" s="527">
        <v>0</v>
      </c>
      <c r="N8" s="519">
        <f t="shared" si="2"/>
        <v>0</v>
      </c>
      <c r="O8" s="494">
        <f t="shared" si="3"/>
        <v>0</v>
      </c>
      <c r="P8" s="494">
        <f t="shared" ref="P8:P31" si="9">IF(G8&gt;0,G8*2,0)</f>
        <v>0</v>
      </c>
      <c r="Q8" s="37"/>
      <c r="R8" s="493">
        <f t="shared" si="4"/>
        <v>0</v>
      </c>
      <c r="S8" s="493">
        <f t="shared" si="5"/>
        <v>0</v>
      </c>
      <c r="T8" s="493">
        <f t="shared" si="6"/>
        <v>0</v>
      </c>
      <c r="U8" s="493">
        <f t="shared" si="7"/>
        <v>0</v>
      </c>
    </row>
    <row r="9" spans="1:21" s="417" customFormat="1">
      <c r="A9" s="219">
        <f t="shared" ref="A9:A31" si="10">A8+1</f>
        <v>3</v>
      </c>
      <c r="B9" s="66" t="s">
        <v>540</v>
      </c>
      <c r="C9" s="66" t="s">
        <v>357</v>
      </c>
      <c r="D9" s="66" t="s">
        <v>190</v>
      </c>
      <c r="E9" s="535">
        <v>2070000</v>
      </c>
      <c r="F9" s="60">
        <v>6900</v>
      </c>
      <c r="G9" s="284">
        <v>0</v>
      </c>
      <c r="H9" s="492">
        <v>0</v>
      </c>
      <c r="I9" s="151">
        <f t="shared" si="0"/>
        <v>0</v>
      </c>
      <c r="J9" s="151">
        <f t="shared" si="8"/>
        <v>0</v>
      </c>
      <c r="K9" s="150">
        <f t="shared" si="1"/>
        <v>0</v>
      </c>
      <c r="L9" s="468">
        <v>0</v>
      </c>
      <c r="M9" s="527">
        <v>0</v>
      </c>
      <c r="N9" s="519">
        <f t="shared" si="2"/>
        <v>0</v>
      </c>
      <c r="O9" s="494">
        <f t="shared" si="3"/>
        <v>0</v>
      </c>
      <c r="P9" s="494">
        <f t="shared" si="9"/>
        <v>0</v>
      </c>
      <c r="Q9" s="37"/>
      <c r="R9" s="493">
        <f t="shared" si="4"/>
        <v>0</v>
      </c>
      <c r="S9" s="493">
        <f t="shared" si="5"/>
        <v>0</v>
      </c>
      <c r="T9" s="493">
        <f t="shared" si="6"/>
        <v>0</v>
      </c>
      <c r="U9" s="493">
        <f t="shared" si="7"/>
        <v>0</v>
      </c>
    </row>
    <row r="10" spans="1:21" s="417" customFormat="1">
      <c r="A10" s="219">
        <f t="shared" si="10"/>
        <v>4</v>
      </c>
      <c r="B10" s="66" t="s">
        <v>501</v>
      </c>
      <c r="C10" s="66" t="s">
        <v>358</v>
      </c>
      <c r="D10" s="66" t="s">
        <v>45</v>
      </c>
      <c r="E10" s="535">
        <v>2070000</v>
      </c>
      <c r="F10" s="60">
        <v>6900</v>
      </c>
      <c r="G10" s="284">
        <v>2408</v>
      </c>
      <c r="H10" s="492">
        <v>0</v>
      </c>
      <c r="I10" s="151">
        <f t="shared" si="0"/>
        <v>0</v>
      </c>
      <c r="J10" s="151">
        <f t="shared" si="8"/>
        <v>78113.111999999979</v>
      </c>
      <c r="K10" s="150">
        <f t="shared" si="1"/>
        <v>0</v>
      </c>
      <c r="L10" s="468">
        <v>2202</v>
      </c>
      <c r="M10" s="527">
        <v>0</v>
      </c>
      <c r="N10" s="519">
        <f t="shared" si="2"/>
        <v>2202</v>
      </c>
      <c r="O10" s="494">
        <f t="shared" si="3"/>
        <v>0.31913043478260872</v>
      </c>
      <c r="P10" s="494">
        <f t="shared" si="9"/>
        <v>4816</v>
      </c>
      <c r="Q10" s="37"/>
      <c r="R10" s="493">
        <f t="shared" si="4"/>
        <v>0</v>
      </c>
      <c r="S10" s="493">
        <f t="shared" si="5"/>
        <v>78113.111999999979</v>
      </c>
      <c r="T10" s="493">
        <f t="shared" si="6"/>
        <v>0</v>
      </c>
      <c r="U10" s="493">
        <f t="shared" si="7"/>
        <v>0</v>
      </c>
    </row>
    <row r="11" spans="1:21" s="417" customFormat="1">
      <c r="A11" s="219">
        <f t="shared" si="10"/>
        <v>5</v>
      </c>
      <c r="B11" s="66" t="s">
        <v>540</v>
      </c>
      <c r="C11" s="66" t="s">
        <v>358</v>
      </c>
      <c r="D11" s="191" t="s">
        <v>190</v>
      </c>
      <c r="E11" s="535">
        <v>4140000</v>
      </c>
      <c r="F11" s="60">
        <v>13800</v>
      </c>
      <c r="G11" s="284">
        <v>0</v>
      </c>
      <c r="H11" s="492">
        <v>40</v>
      </c>
      <c r="I11" s="151">
        <f t="shared" si="0"/>
        <v>131400</v>
      </c>
      <c r="J11" s="151">
        <f t="shared" si="8"/>
        <v>0</v>
      </c>
      <c r="K11" s="150">
        <f t="shared" si="1"/>
        <v>1642500</v>
      </c>
      <c r="L11" s="468">
        <v>2975</v>
      </c>
      <c r="M11" s="527">
        <v>0</v>
      </c>
      <c r="N11" s="519">
        <f t="shared" si="2"/>
        <v>1645475</v>
      </c>
      <c r="O11" s="969">
        <f t="shared" si="3"/>
        <v>119.2373188405797</v>
      </c>
      <c r="P11" s="969">
        <f t="shared" si="9"/>
        <v>0</v>
      </c>
      <c r="Q11" s="37"/>
      <c r="R11" s="493">
        <f t="shared" si="4"/>
        <v>0</v>
      </c>
      <c r="S11" s="493">
        <f t="shared" si="5"/>
        <v>0</v>
      </c>
      <c r="T11" s="493">
        <f t="shared" si="6"/>
        <v>0</v>
      </c>
      <c r="U11" s="493">
        <f t="shared" si="7"/>
        <v>0</v>
      </c>
    </row>
    <row r="12" spans="1:21" s="417" customFormat="1">
      <c r="A12" s="219">
        <f t="shared" si="10"/>
        <v>6</v>
      </c>
      <c r="B12" s="66" t="s">
        <v>540</v>
      </c>
      <c r="C12" s="66" t="s">
        <v>358</v>
      </c>
      <c r="D12" s="66" t="s">
        <v>190</v>
      </c>
      <c r="E12" s="535">
        <v>2070000</v>
      </c>
      <c r="F12" s="60">
        <v>6900</v>
      </c>
      <c r="G12" s="284">
        <v>0</v>
      </c>
      <c r="H12" s="492">
        <v>0</v>
      </c>
      <c r="I12" s="151">
        <f t="shared" si="0"/>
        <v>0</v>
      </c>
      <c r="J12" s="151">
        <f t="shared" si="8"/>
        <v>0</v>
      </c>
      <c r="K12" s="150">
        <f t="shared" si="1"/>
        <v>0</v>
      </c>
      <c r="L12" s="468">
        <v>0</v>
      </c>
      <c r="M12" s="527">
        <v>0</v>
      </c>
      <c r="N12" s="519">
        <f t="shared" si="2"/>
        <v>0</v>
      </c>
      <c r="O12" s="494">
        <f t="shared" si="3"/>
        <v>0</v>
      </c>
      <c r="P12" s="494">
        <f t="shared" si="9"/>
        <v>0</v>
      </c>
      <c r="Q12" s="37"/>
      <c r="R12" s="493">
        <f t="shared" si="4"/>
        <v>0</v>
      </c>
      <c r="S12" s="493">
        <f t="shared" si="5"/>
        <v>0</v>
      </c>
      <c r="T12" s="493">
        <f t="shared" si="6"/>
        <v>0</v>
      </c>
      <c r="U12" s="493">
        <f t="shared" si="7"/>
        <v>0</v>
      </c>
    </row>
    <row r="13" spans="1:21" s="417" customFormat="1">
      <c r="A13" s="219">
        <f t="shared" si="10"/>
        <v>7</v>
      </c>
      <c r="B13" s="66" t="s">
        <v>501</v>
      </c>
      <c r="C13" s="66" t="s">
        <v>358</v>
      </c>
      <c r="D13" s="66" t="s">
        <v>202</v>
      </c>
      <c r="E13" s="535">
        <v>4140000</v>
      </c>
      <c r="F13" s="60">
        <v>13800</v>
      </c>
      <c r="G13" s="284">
        <v>10000</v>
      </c>
      <c r="H13" s="492">
        <v>0</v>
      </c>
      <c r="I13" s="151">
        <f t="shared" si="0"/>
        <v>0</v>
      </c>
      <c r="J13" s="151">
        <f t="shared" si="8"/>
        <v>86000</v>
      </c>
      <c r="K13" s="150">
        <f t="shared" si="1"/>
        <v>0</v>
      </c>
      <c r="L13" s="468">
        <v>9903</v>
      </c>
      <c r="M13" s="527">
        <v>0</v>
      </c>
      <c r="N13" s="519">
        <f t="shared" si="2"/>
        <v>9903</v>
      </c>
      <c r="O13" s="494">
        <f t="shared" si="3"/>
        <v>0.71760869565217389</v>
      </c>
      <c r="P13" s="494">
        <f t="shared" si="9"/>
        <v>20000</v>
      </c>
      <c r="Q13" s="37"/>
      <c r="R13" s="493">
        <f t="shared" si="4"/>
        <v>0</v>
      </c>
      <c r="S13" s="493">
        <f t="shared" si="5"/>
        <v>0</v>
      </c>
      <c r="T13" s="493">
        <f t="shared" si="6"/>
        <v>0</v>
      </c>
      <c r="U13" s="493">
        <f t="shared" si="7"/>
        <v>86000</v>
      </c>
    </row>
    <row r="14" spans="1:21" s="417" customFormat="1">
      <c r="A14" s="219">
        <f t="shared" si="10"/>
        <v>8</v>
      </c>
      <c r="B14" s="66" t="s">
        <v>501</v>
      </c>
      <c r="C14" s="66" t="s">
        <v>358</v>
      </c>
      <c r="D14" s="66" t="s">
        <v>202</v>
      </c>
      <c r="E14" s="535">
        <v>2070000</v>
      </c>
      <c r="F14" s="60">
        <v>6900</v>
      </c>
      <c r="G14" s="284">
        <v>5765</v>
      </c>
      <c r="H14" s="492">
        <v>0</v>
      </c>
      <c r="I14" s="151">
        <f t="shared" si="0"/>
        <v>0</v>
      </c>
      <c r="J14" s="151">
        <f t="shared" si="8"/>
        <v>49579</v>
      </c>
      <c r="K14" s="150">
        <f t="shared" si="1"/>
        <v>0</v>
      </c>
      <c r="L14" s="468">
        <v>18982</v>
      </c>
      <c r="M14" s="527">
        <v>0</v>
      </c>
      <c r="N14" s="519">
        <f t="shared" si="2"/>
        <v>18982</v>
      </c>
      <c r="O14" s="494">
        <f t="shared" si="3"/>
        <v>2.7510144927536233</v>
      </c>
      <c r="P14" s="494">
        <f t="shared" si="9"/>
        <v>11530</v>
      </c>
      <c r="Q14" s="37"/>
      <c r="R14" s="493">
        <f t="shared" si="4"/>
        <v>0</v>
      </c>
      <c r="S14" s="493">
        <f t="shared" si="5"/>
        <v>0</v>
      </c>
      <c r="T14" s="493">
        <f t="shared" si="6"/>
        <v>0</v>
      </c>
      <c r="U14" s="493">
        <f t="shared" si="7"/>
        <v>49579</v>
      </c>
    </row>
    <row r="15" spans="1:21" s="417" customFormat="1">
      <c r="A15" s="219">
        <f t="shared" si="10"/>
        <v>9</v>
      </c>
      <c r="B15" s="66" t="s">
        <v>540</v>
      </c>
      <c r="C15" s="66" t="s">
        <v>358</v>
      </c>
      <c r="D15" s="66" t="s">
        <v>190</v>
      </c>
      <c r="E15" s="535">
        <v>2070000</v>
      </c>
      <c r="F15" s="60">
        <v>6900</v>
      </c>
      <c r="G15" s="284">
        <v>0</v>
      </c>
      <c r="H15" s="492">
        <v>0</v>
      </c>
      <c r="I15" s="151">
        <f t="shared" si="0"/>
        <v>0</v>
      </c>
      <c r="J15" s="151">
        <f t="shared" si="8"/>
        <v>0</v>
      </c>
      <c r="K15" s="150">
        <f t="shared" si="1"/>
        <v>0</v>
      </c>
      <c r="L15" s="468">
        <v>0</v>
      </c>
      <c r="M15" s="527">
        <v>0</v>
      </c>
      <c r="N15" s="519">
        <f t="shared" si="2"/>
        <v>0</v>
      </c>
      <c r="O15" s="494">
        <f t="shared" si="3"/>
        <v>0</v>
      </c>
      <c r="P15" s="494">
        <f t="shared" si="9"/>
        <v>0</v>
      </c>
      <c r="Q15" s="37"/>
      <c r="R15" s="493">
        <f t="shared" si="4"/>
        <v>0</v>
      </c>
      <c r="S15" s="493">
        <f t="shared" si="5"/>
        <v>0</v>
      </c>
      <c r="T15" s="493">
        <f t="shared" si="6"/>
        <v>0</v>
      </c>
      <c r="U15" s="493">
        <f t="shared" si="7"/>
        <v>0</v>
      </c>
    </row>
    <row r="16" spans="1:21" s="417" customFormat="1">
      <c r="A16" s="219">
        <f t="shared" si="10"/>
        <v>10</v>
      </c>
      <c r="B16" s="66" t="s">
        <v>540</v>
      </c>
      <c r="C16" s="66" t="s">
        <v>358</v>
      </c>
      <c r="D16" s="66" t="s">
        <v>190</v>
      </c>
      <c r="E16" s="535">
        <v>6557760</v>
      </c>
      <c r="F16" s="60">
        <v>24288</v>
      </c>
      <c r="G16" s="284">
        <v>0</v>
      </c>
      <c r="H16" s="492">
        <v>0</v>
      </c>
      <c r="I16" s="151">
        <f t="shared" si="0"/>
        <v>0</v>
      </c>
      <c r="J16" s="151">
        <f t="shared" si="8"/>
        <v>0</v>
      </c>
      <c r="K16" s="150">
        <f t="shared" si="1"/>
        <v>0</v>
      </c>
      <c r="L16" s="468">
        <v>0</v>
      </c>
      <c r="M16" s="527">
        <v>0</v>
      </c>
      <c r="N16" s="519">
        <f t="shared" si="2"/>
        <v>0</v>
      </c>
      <c r="O16" s="494">
        <f t="shared" si="3"/>
        <v>0</v>
      </c>
      <c r="P16" s="494">
        <f t="shared" si="9"/>
        <v>0</v>
      </c>
      <c r="Q16" s="37"/>
      <c r="R16" s="493">
        <f t="shared" si="4"/>
        <v>0</v>
      </c>
      <c r="S16" s="493">
        <f t="shared" si="5"/>
        <v>0</v>
      </c>
      <c r="T16" s="493">
        <f t="shared" si="6"/>
        <v>0</v>
      </c>
      <c r="U16" s="493">
        <f t="shared" si="7"/>
        <v>0</v>
      </c>
    </row>
    <row r="17" spans="1:21" s="417" customFormat="1">
      <c r="A17" s="219">
        <f t="shared" si="10"/>
        <v>11</v>
      </c>
      <c r="B17" s="66" t="s">
        <v>540</v>
      </c>
      <c r="C17" s="66" t="s">
        <v>357</v>
      </c>
      <c r="D17" s="66" t="s">
        <v>190</v>
      </c>
      <c r="E17" s="535">
        <v>2309450</v>
      </c>
      <c r="F17" s="60">
        <v>7106</v>
      </c>
      <c r="G17" s="284">
        <v>0</v>
      </c>
      <c r="H17" s="492">
        <v>0</v>
      </c>
      <c r="I17" s="151">
        <f t="shared" si="0"/>
        <v>0</v>
      </c>
      <c r="J17" s="151">
        <f t="shared" si="8"/>
        <v>0</v>
      </c>
      <c r="K17" s="150">
        <f t="shared" si="1"/>
        <v>0</v>
      </c>
      <c r="L17" s="468">
        <v>0</v>
      </c>
      <c r="M17" s="527">
        <v>0</v>
      </c>
      <c r="N17" s="519">
        <f t="shared" si="2"/>
        <v>0</v>
      </c>
      <c r="O17" s="494">
        <f t="shared" si="3"/>
        <v>0</v>
      </c>
      <c r="P17" s="494">
        <f t="shared" si="9"/>
        <v>0</v>
      </c>
      <c r="Q17" s="37"/>
      <c r="R17" s="493">
        <f t="shared" si="4"/>
        <v>0</v>
      </c>
      <c r="S17" s="493">
        <f t="shared" si="5"/>
        <v>0</v>
      </c>
      <c r="T17" s="493">
        <f t="shared" si="6"/>
        <v>0</v>
      </c>
      <c r="U17" s="493">
        <f t="shared" si="7"/>
        <v>0</v>
      </c>
    </row>
    <row r="18" spans="1:21" s="417" customFormat="1" ht="13">
      <c r="A18" s="989">
        <f t="shared" si="10"/>
        <v>12</v>
      </c>
      <c r="B18" s="386" t="s">
        <v>501</v>
      </c>
      <c r="C18" s="386" t="s">
        <v>357</v>
      </c>
      <c r="D18" s="386" t="s">
        <v>63</v>
      </c>
      <c r="E18" s="535">
        <v>1706250</v>
      </c>
      <c r="F18" s="60">
        <v>5250</v>
      </c>
      <c r="G18" s="284">
        <v>8835</v>
      </c>
      <c r="H18" s="492">
        <v>0</v>
      </c>
      <c r="I18" s="151">
        <f t="shared" si="0"/>
        <v>0</v>
      </c>
      <c r="J18" s="151">
        <f t="shared" si="8"/>
        <v>101602.5</v>
      </c>
      <c r="K18" s="150">
        <f t="shared" si="1"/>
        <v>0</v>
      </c>
      <c r="L18" s="468">
        <v>34141</v>
      </c>
      <c r="M18" s="994">
        <f>'Existing Building Market Values'!F5</f>
        <v>1693375</v>
      </c>
      <c r="N18" s="519">
        <f t="shared" si="2"/>
        <v>1727516</v>
      </c>
      <c r="O18" s="494">
        <f t="shared" si="3"/>
        <v>329.05066666666664</v>
      </c>
      <c r="P18" s="494">
        <f t="shared" si="9"/>
        <v>17670</v>
      </c>
      <c r="Q18" s="37"/>
      <c r="R18" s="493">
        <f t="shared" si="4"/>
        <v>101602.5</v>
      </c>
      <c r="S18" s="493">
        <f t="shared" si="5"/>
        <v>0</v>
      </c>
      <c r="T18" s="493">
        <f t="shared" si="6"/>
        <v>0</v>
      </c>
      <c r="U18" s="493">
        <f t="shared" si="7"/>
        <v>0</v>
      </c>
    </row>
    <row r="19" spans="1:21" s="417" customFormat="1">
      <c r="A19" s="219">
        <f t="shared" si="10"/>
        <v>13</v>
      </c>
      <c r="B19" s="66" t="s">
        <v>540</v>
      </c>
      <c r="C19" s="66" t="s">
        <v>357</v>
      </c>
      <c r="D19" s="66" t="s">
        <v>190</v>
      </c>
      <c r="E19" s="535">
        <v>1575000</v>
      </c>
      <c r="F19" s="60">
        <v>5250</v>
      </c>
      <c r="G19" s="284">
        <v>0</v>
      </c>
      <c r="H19" s="492">
        <v>0</v>
      </c>
      <c r="I19" s="151">
        <f t="shared" si="0"/>
        <v>0</v>
      </c>
      <c r="J19" s="151">
        <f t="shared" si="8"/>
        <v>0</v>
      </c>
      <c r="K19" s="150">
        <f t="shared" si="1"/>
        <v>0</v>
      </c>
      <c r="L19" s="468">
        <v>6810</v>
      </c>
      <c r="M19" s="527">
        <v>0</v>
      </c>
      <c r="N19" s="519">
        <f t="shared" si="2"/>
        <v>6810</v>
      </c>
      <c r="O19" s="494">
        <f t="shared" si="3"/>
        <v>1.2971428571428572</v>
      </c>
      <c r="P19" s="494">
        <f t="shared" si="9"/>
        <v>0</v>
      </c>
      <c r="Q19" s="37"/>
      <c r="R19" s="493">
        <f t="shared" si="4"/>
        <v>0</v>
      </c>
      <c r="S19" s="493">
        <f t="shared" si="5"/>
        <v>0</v>
      </c>
      <c r="T19" s="493">
        <f t="shared" si="6"/>
        <v>0</v>
      </c>
      <c r="U19" s="493">
        <f t="shared" si="7"/>
        <v>0</v>
      </c>
    </row>
    <row r="20" spans="1:21" s="417" customFormat="1">
      <c r="A20" s="219">
        <f t="shared" si="10"/>
        <v>14</v>
      </c>
      <c r="B20" s="66" t="s">
        <v>540</v>
      </c>
      <c r="C20" s="66" t="s">
        <v>357</v>
      </c>
      <c r="D20" s="66" t="s">
        <v>190</v>
      </c>
      <c r="E20" s="535">
        <v>92812</v>
      </c>
      <c r="F20" s="60">
        <v>825</v>
      </c>
      <c r="G20" s="284">
        <v>0</v>
      </c>
      <c r="H20" s="492">
        <v>0</v>
      </c>
      <c r="I20" s="151">
        <f t="shared" si="0"/>
        <v>0</v>
      </c>
      <c r="J20" s="151">
        <f t="shared" si="8"/>
        <v>0</v>
      </c>
      <c r="K20" s="150">
        <f t="shared" si="1"/>
        <v>0</v>
      </c>
      <c r="L20" s="468">
        <v>0</v>
      </c>
      <c r="M20" s="527">
        <v>0</v>
      </c>
      <c r="N20" s="519">
        <f t="shared" si="2"/>
        <v>0</v>
      </c>
      <c r="O20" s="494">
        <f t="shared" si="3"/>
        <v>0</v>
      </c>
      <c r="P20" s="494">
        <f t="shared" si="9"/>
        <v>0</v>
      </c>
      <c r="Q20" s="37"/>
      <c r="R20" s="493">
        <f t="shared" si="4"/>
        <v>0</v>
      </c>
      <c r="S20" s="493">
        <f t="shared" si="5"/>
        <v>0</v>
      </c>
      <c r="T20" s="493">
        <f t="shared" si="6"/>
        <v>0</v>
      </c>
      <c r="U20" s="493">
        <f t="shared" si="7"/>
        <v>0</v>
      </c>
    </row>
    <row r="21" spans="1:21" s="417" customFormat="1" ht="13">
      <c r="A21" s="989">
        <f t="shared" si="10"/>
        <v>15</v>
      </c>
      <c r="B21" s="386" t="s">
        <v>501</v>
      </c>
      <c r="C21" s="386" t="s">
        <v>357</v>
      </c>
      <c r="D21" s="386" t="s">
        <v>359</v>
      </c>
      <c r="E21" s="535">
        <v>196875</v>
      </c>
      <c r="F21" s="60">
        <v>1750</v>
      </c>
      <c r="G21" s="284">
        <v>639</v>
      </c>
      <c r="H21" s="492">
        <v>0</v>
      </c>
      <c r="I21" s="151">
        <f t="shared" si="0"/>
        <v>0</v>
      </c>
      <c r="J21" s="151">
        <f t="shared" si="8"/>
        <v>14599.871999999999</v>
      </c>
      <c r="K21" s="150">
        <f t="shared" si="1"/>
        <v>0</v>
      </c>
      <c r="L21" s="468">
        <v>560</v>
      </c>
      <c r="M21" s="994">
        <f>'Existing Building Market Values'!F6</f>
        <v>243331.20000000001</v>
      </c>
      <c r="N21" s="519">
        <f t="shared" si="2"/>
        <v>243891.20000000001</v>
      </c>
      <c r="O21" s="494">
        <f t="shared" si="3"/>
        <v>139.3664</v>
      </c>
      <c r="P21" s="494">
        <f t="shared" si="9"/>
        <v>1278</v>
      </c>
      <c r="Q21" s="37"/>
      <c r="R21" s="493">
        <f t="shared" si="4"/>
        <v>0</v>
      </c>
      <c r="S21" s="493">
        <f t="shared" si="5"/>
        <v>0</v>
      </c>
      <c r="T21" s="493">
        <f t="shared" si="6"/>
        <v>14599.871999999999</v>
      </c>
      <c r="U21" s="493">
        <f t="shared" si="7"/>
        <v>0</v>
      </c>
    </row>
    <row r="22" spans="1:21" s="417" customFormat="1" ht="13">
      <c r="A22" s="989">
        <f t="shared" si="10"/>
        <v>16</v>
      </c>
      <c r="B22" s="386" t="s">
        <v>501</v>
      </c>
      <c r="C22" s="386" t="s">
        <v>357</v>
      </c>
      <c r="D22" s="386" t="s">
        <v>45</v>
      </c>
      <c r="E22" s="535">
        <v>1050000</v>
      </c>
      <c r="F22" s="60">
        <v>7000</v>
      </c>
      <c r="G22" s="284">
        <v>2500</v>
      </c>
      <c r="H22" s="492">
        <v>0</v>
      </c>
      <c r="I22" s="151">
        <f t="shared" si="0"/>
        <v>0</v>
      </c>
      <c r="J22" s="151">
        <f t="shared" si="8"/>
        <v>81097.5</v>
      </c>
      <c r="K22" s="150">
        <f t="shared" si="1"/>
        <v>0</v>
      </c>
      <c r="L22" s="468">
        <v>32354</v>
      </c>
      <c r="M22" s="994">
        <f>'Existing Building Market Values'!F7</f>
        <v>1351625</v>
      </c>
      <c r="N22" s="519">
        <f t="shared" si="2"/>
        <v>1383979</v>
      </c>
      <c r="O22" s="494">
        <f t="shared" si="3"/>
        <v>197.71128571428571</v>
      </c>
      <c r="P22" s="494">
        <f t="shared" si="9"/>
        <v>5000</v>
      </c>
      <c r="Q22" s="37"/>
      <c r="R22" s="493">
        <f t="shared" si="4"/>
        <v>0</v>
      </c>
      <c r="S22" s="493">
        <f t="shared" si="5"/>
        <v>81097.5</v>
      </c>
      <c r="T22" s="493">
        <f t="shared" si="6"/>
        <v>0</v>
      </c>
      <c r="U22" s="493">
        <f t="shared" si="7"/>
        <v>0</v>
      </c>
    </row>
    <row r="23" spans="1:21" s="417" customFormat="1">
      <c r="A23" s="219">
        <f t="shared" si="10"/>
        <v>17</v>
      </c>
      <c r="B23" s="66" t="s">
        <v>540</v>
      </c>
      <c r="C23" s="66" t="s">
        <v>357</v>
      </c>
      <c r="D23" s="66" t="s">
        <v>190</v>
      </c>
      <c r="E23" s="535">
        <v>787500</v>
      </c>
      <c r="F23" s="60">
        <v>5250</v>
      </c>
      <c r="G23" s="284">
        <v>0</v>
      </c>
      <c r="H23" s="492">
        <v>0</v>
      </c>
      <c r="I23" s="151">
        <f t="shared" si="0"/>
        <v>0</v>
      </c>
      <c r="J23" s="151">
        <f t="shared" si="8"/>
        <v>0</v>
      </c>
      <c r="K23" s="150">
        <f t="shared" si="1"/>
        <v>0</v>
      </c>
      <c r="L23" s="468">
        <v>1844</v>
      </c>
      <c r="M23" s="527">
        <v>0</v>
      </c>
      <c r="N23" s="519">
        <f t="shared" si="2"/>
        <v>1844</v>
      </c>
      <c r="O23" s="494">
        <f t="shared" si="3"/>
        <v>0.35123809523809524</v>
      </c>
      <c r="P23" s="494">
        <f t="shared" si="9"/>
        <v>0</v>
      </c>
      <c r="Q23" s="37"/>
      <c r="R23" s="493">
        <f t="shared" si="4"/>
        <v>0</v>
      </c>
      <c r="S23" s="493">
        <f t="shared" si="5"/>
        <v>0</v>
      </c>
      <c r="T23" s="493">
        <f t="shared" si="6"/>
        <v>0</v>
      </c>
      <c r="U23" s="493">
        <f t="shared" si="7"/>
        <v>0</v>
      </c>
    </row>
    <row r="24" spans="1:21" s="417" customFormat="1">
      <c r="A24" s="219">
        <f t="shared" si="10"/>
        <v>18</v>
      </c>
      <c r="B24" s="66" t="s">
        <v>540</v>
      </c>
      <c r="C24" s="66" t="s">
        <v>358</v>
      </c>
      <c r="D24" s="66" t="s">
        <v>190</v>
      </c>
      <c r="E24" s="535">
        <v>262500</v>
      </c>
      <c r="F24" s="60">
        <v>1750</v>
      </c>
      <c r="G24" s="284">
        <v>0</v>
      </c>
      <c r="H24" s="492">
        <v>0</v>
      </c>
      <c r="I24" s="151">
        <f t="shared" si="0"/>
        <v>0</v>
      </c>
      <c r="J24" s="151">
        <f t="shared" si="8"/>
        <v>0</v>
      </c>
      <c r="K24" s="150">
        <f t="shared" si="1"/>
        <v>0</v>
      </c>
      <c r="L24" s="468">
        <v>0</v>
      </c>
      <c r="M24" s="527">
        <v>0</v>
      </c>
      <c r="N24" s="519">
        <f t="shared" si="2"/>
        <v>0</v>
      </c>
      <c r="O24" s="494">
        <f t="shared" si="3"/>
        <v>0</v>
      </c>
      <c r="P24" s="494">
        <f t="shared" si="9"/>
        <v>0</v>
      </c>
      <c r="Q24" s="37"/>
      <c r="R24" s="493">
        <f t="shared" si="4"/>
        <v>0</v>
      </c>
      <c r="S24" s="493">
        <f t="shared" si="5"/>
        <v>0</v>
      </c>
      <c r="T24" s="493">
        <f t="shared" si="6"/>
        <v>0</v>
      </c>
      <c r="U24" s="493">
        <f t="shared" si="7"/>
        <v>0</v>
      </c>
    </row>
    <row r="25" spans="1:21" s="417" customFormat="1">
      <c r="A25" s="219">
        <f t="shared" si="10"/>
        <v>19</v>
      </c>
      <c r="B25" s="66" t="s">
        <v>540</v>
      </c>
      <c r="C25" s="66" t="s">
        <v>358</v>
      </c>
      <c r="D25" s="66" t="s">
        <v>190</v>
      </c>
      <c r="E25" s="535">
        <v>262500</v>
      </c>
      <c r="F25" s="60">
        <v>1750</v>
      </c>
      <c r="G25" s="284">
        <v>0</v>
      </c>
      <c r="H25" s="492">
        <v>0</v>
      </c>
      <c r="I25" s="151">
        <f t="shared" si="0"/>
        <v>0</v>
      </c>
      <c r="J25" s="151">
        <f t="shared" si="8"/>
        <v>0</v>
      </c>
      <c r="K25" s="150">
        <f t="shared" si="1"/>
        <v>0</v>
      </c>
      <c r="L25" s="468">
        <v>0</v>
      </c>
      <c r="M25" s="527">
        <v>0</v>
      </c>
      <c r="N25" s="519">
        <f t="shared" si="2"/>
        <v>0</v>
      </c>
      <c r="O25" s="494">
        <f t="shared" si="3"/>
        <v>0</v>
      </c>
      <c r="P25" s="494">
        <f t="shared" si="9"/>
        <v>0</v>
      </c>
      <c r="Q25" s="37"/>
      <c r="R25" s="493">
        <f t="shared" si="4"/>
        <v>0</v>
      </c>
      <c r="S25" s="493">
        <f t="shared" si="5"/>
        <v>0</v>
      </c>
      <c r="T25" s="493">
        <f t="shared" si="6"/>
        <v>0</v>
      </c>
      <c r="U25" s="493">
        <f t="shared" si="7"/>
        <v>0</v>
      </c>
    </row>
    <row r="26" spans="1:21" s="417" customFormat="1">
      <c r="A26" s="219">
        <f t="shared" si="10"/>
        <v>20</v>
      </c>
      <c r="B26" s="66" t="s">
        <v>540</v>
      </c>
      <c r="C26" s="66" t="s">
        <v>358</v>
      </c>
      <c r="D26" s="66" t="s">
        <v>190</v>
      </c>
      <c r="E26" s="535">
        <v>525000</v>
      </c>
      <c r="F26" s="60">
        <v>3500</v>
      </c>
      <c r="G26" s="284">
        <v>0</v>
      </c>
      <c r="H26" s="492">
        <v>0</v>
      </c>
      <c r="I26" s="151">
        <f t="shared" si="0"/>
        <v>0</v>
      </c>
      <c r="J26" s="151">
        <f t="shared" si="8"/>
        <v>0</v>
      </c>
      <c r="K26" s="150">
        <f t="shared" si="1"/>
        <v>0</v>
      </c>
      <c r="L26" s="468">
        <v>0</v>
      </c>
      <c r="M26" s="527">
        <v>0</v>
      </c>
      <c r="N26" s="519">
        <f t="shared" si="2"/>
        <v>0</v>
      </c>
      <c r="O26" s="494">
        <f t="shared" si="3"/>
        <v>0</v>
      </c>
      <c r="P26" s="494">
        <f t="shared" si="9"/>
        <v>0</v>
      </c>
      <c r="Q26" s="37"/>
      <c r="R26" s="493">
        <f t="shared" si="4"/>
        <v>0</v>
      </c>
      <c r="S26" s="493">
        <f t="shared" si="5"/>
        <v>0</v>
      </c>
      <c r="T26" s="493">
        <f t="shared" si="6"/>
        <v>0</v>
      </c>
      <c r="U26" s="493">
        <f t="shared" si="7"/>
        <v>0</v>
      </c>
    </row>
    <row r="27" spans="1:21" s="417" customFormat="1">
      <c r="A27" s="219">
        <f t="shared" si="10"/>
        <v>21</v>
      </c>
      <c r="B27" s="66" t="s">
        <v>540</v>
      </c>
      <c r="C27" s="66" t="s">
        <v>358</v>
      </c>
      <c r="D27" s="66" t="s">
        <v>190</v>
      </c>
      <c r="E27" s="535">
        <v>525000</v>
      </c>
      <c r="F27" s="60">
        <v>3500</v>
      </c>
      <c r="G27" s="284">
        <v>0</v>
      </c>
      <c r="H27" s="492">
        <v>0</v>
      </c>
      <c r="I27" s="151">
        <f t="shared" si="0"/>
        <v>0</v>
      </c>
      <c r="J27" s="151">
        <f t="shared" si="8"/>
        <v>0</v>
      </c>
      <c r="K27" s="150">
        <f t="shared" si="1"/>
        <v>0</v>
      </c>
      <c r="L27" s="468">
        <v>0</v>
      </c>
      <c r="M27" s="527">
        <v>0</v>
      </c>
      <c r="N27" s="519">
        <f t="shared" si="2"/>
        <v>0</v>
      </c>
      <c r="O27" s="494">
        <f t="shared" si="3"/>
        <v>0</v>
      </c>
      <c r="P27" s="494">
        <f t="shared" si="9"/>
        <v>0</v>
      </c>
      <c r="Q27" s="37"/>
      <c r="R27" s="493">
        <f t="shared" si="4"/>
        <v>0</v>
      </c>
      <c r="S27" s="493">
        <f t="shared" si="5"/>
        <v>0</v>
      </c>
      <c r="T27" s="493">
        <f t="shared" si="6"/>
        <v>0</v>
      </c>
      <c r="U27" s="493">
        <f t="shared" si="7"/>
        <v>0</v>
      </c>
    </row>
    <row r="28" spans="1:21" s="417" customFormat="1">
      <c r="A28" s="219">
        <f t="shared" si="10"/>
        <v>22</v>
      </c>
      <c r="B28" s="66" t="s">
        <v>540</v>
      </c>
      <c r="C28" s="66" t="s">
        <v>358</v>
      </c>
      <c r="D28" s="66" t="s">
        <v>190</v>
      </c>
      <c r="E28" s="535">
        <v>262500</v>
      </c>
      <c r="F28" s="60">
        <v>1750</v>
      </c>
      <c r="G28" s="284">
        <v>0</v>
      </c>
      <c r="H28" s="492">
        <v>0</v>
      </c>
      <c r="I28" s="151">
        <f t="shared" si="0"/>
        <v>0</v>
      </c>
      <c r="J28" s="151">
        <f t="shared" si="8"/>
        <v>0</v>
      </c>
      <c r="K28" s="150">
        <f t="shared" si="1"/>
        <v>0</v>
      </c>
      <c r="L28" s="468">
        <v>0</v>
      </c>
      <c r="M28" s="527">
        <v>0</v>
      </c>
      <c r="N28" s="519">
        <f t="shared" si="2"/>
        <v>0</v>
      </c>
      <c r="O28" s="494">
        <f t="shared" si="3"/>
        <v>0</v>
      </c>
      <c r="P28" s="494">
        <f t="shared" si="9"/>
        <v>0</v>
      </c>
      <c r="Q28" s="37"/>
      <c r="R28" s="493">
        <f t="shared" si="4"/>
        <v>0</v>
      </c>
      <c r="S28" s="493">
        <f t="shared" si="5"/>
        <v>0</v>
      </c>
      <c r="T28" s="493">
        <f t="shared" si="6"/>
        <v>0</v>
      </c>
      <c r="U28" s="493">
        <f t="shared" si="7"/>
        <v>0</v>
      </c>
    </row>
    <row r="29" spans="1:21" s="417" customFormat="1">
      <c r="A29" s="219">
        <f t="shared" si="10"/>
        <v>23</v>
      </c>
      <c r="B29" s="66" t="s">
        <v>540</v>
      </c>
      <c r="C29" s="66" t="s">
        <v>358</v>
      </c>
      <c r="D29" s="66" t="s">
        <v>190</v>
      </c>
      <c r="E29" s="535">
        <v>262500</v>
      </c>
      <c r="F29" s="60">
        <v>1750</v>
      </c>
      <c r="G29" s="284">
        <v>0</v>
      </c>
      <c r="H29" s="492">
        <v>0</v>
      </c>
      <c r="I29" s="151">
        <f t="shared" si="0"/>
        <v>0</v>
      </c>
      <c r="J29" s="151">
        <f t="shared" si="8"/>
        <v>0</v>
      </c>
      <c r="K29" s="150">
        <f t="shared" si="1"/>
        <v>0</v>
      </c>
      <c r="L29" s="468">
        <v>0</v>
      </c>
      <c r="M29" s="527">
        <v>0</v>
      </c>
      <c r="N29" s="519">
        <f t="shared" si="2"/>
        <v>0</v>
      </c>
      <c r="O29" s="494">
        <f t="shared" si="3"/>
        <v>0</v>
      </c>
      <c r="P29" s="494">
        <f t="shared" si="9"/>
        <v>0</v>
      </c>
      <c r="Q29" s="37"/>
      <c r="R29" s="493">
        <f t="shared" si="4"/>
        <v>0</v>
      </c>
      <c r="S29" s="493">
        <f t="shared" si="5"/>
        <v>0</v>
      </c>
      <c r="T29" s="493">
        <f t="shared" si="6"/>
        <v>0</v>
      </c>
      <c r="U29" s="493">
        <f t="shared" si="7"/>
        <v>0</v>
      </c>
    </row>
    <row r="30" spans="1:21" s="417" customFormat="1">
      <c r="A30" s="219">
        <f t="shared" si="10"/>
        <v>24</v>
      </c>
      <c r="B30" s="66" t="s">
        <v>501</v>
      </c>
      <c r="C30" s="66" t="s">
        <v>358</v>
      </c>
      <c r="D30" s="66" t="s">
        <v>360</v>
      </c>
      <c r="E30" s="535">
        <v>525000</v>
      </c>
      <c r="F30" s="60">
        <v>3500</v>
      </c>
      <c r="G30" s="284">
        <v>0</v>
      </c>
      <c r="H30" s="492">
        <v>20</v>
      </c>
      <c r="I30" s="151">
        <f t="shared" si="0"/>
        <v>65700</v>
      </c>
      <c r="J30" s="151">
        <f t="shared" si="8"/>
        <v>0</v>
      </c>
      <c r="K30" s="150">
        <f t="shared" si="1"/>
        <v>821250</v>
      </c>
      <c r="L30" s="468">
        <v>0</v>
      </c>
      <c r="M30" s="527">
        <v>0</v>
      </c>
      <c r="N30" s="519">
        <f t="shared" si="2"/>
        <v>821250</v>
      </c>
      <c r="O30" s="494">
        <f t="shared" si="3"/>
        <v>234.64285714285714</v>
      </c>
      <c r="P30" s="494">
        <f t="shared" si="9"/>
        <v>0</v>
      </c>
      <c r="Q30" s="37"/>
      <c r="R30" s="493">
        <f t="shared" si="4"/>
        <v>0</v>
      </c>
      <c r="S30" s="493">
        <f t="shared" si="5"/>
        <v>0</v>
      </c>
      <c r="T30" s="493">
        <f t="shared" si="6"/>
        <v>0</v>
      </c>
      <c r="U30" s="493">
        <f t="shared" si="7"/>
        <v>0</v>
      </c>
    </row>
    <row r="31" spans="1:21" s="417" customFormat="1">
      <c r="A31" s="972">
        <f t="shared" si="10"/>
        <v>25</v>
      </c>
      <c r="B31" s="250" t="s">
        <v>501</v>
      </c>
      <c r="C31" s="250" t="s">
        <v>358</v>
      </c>
      <c r="D31" s="250" t="s">
        <v>202</v>
      </c>
      <c r="E31" s="536">
        <v>1060500</v>
      </c>
      <c r="F31" s="998">
        <v>7070</v>
      </c>
      <c r="G31" s="537">
        <v>6470</v>
      </c>
      <c r="H31" s="973">
        <v>0</v>
      </c>
      <c r="I31" s="160">
        <f t="shared" si="0"/>
        <v>0</v>
      </c>
      <c r="J31" s="160">
        <f t="shared" si="8"/>
        <v>55641.999999999993</v>
      </c>
      <c r="K31" s="159">
        <f t="shared" si="1"/>
        <v>0</v>
      </c>
      <c r="L31" s="497">
        <v>52861</v>
      </c>
      <c r="M31" s="528">
        <v>0</v>
      </c>
      <c r="N31" s="520">
        <f t="shared" si="2"/>
        <v>52861</v>
      </c>
      <c r="O31" s="498">
        <f t="shared" si="3"/>
        <v>7.4768033946251764</v>
      </c>
      <c r="P31" s="498">
        <f t="shared" si="9"/>
        <v>12940</v>
      </c>
      <c r="Q31" s="37"/>
      <c r="R31" s="493">
        <f t="shared" si="4"/>
        <v>0</v>
      </c>
      <c r="S31" s="493">
        <f t="shared" si="5"/>
        <v>0</v>
      </c>
      <c r="T31" s="493">
        <f t="shared" si="6"/>
        <v>0</v>
      </c>
      <c r="U31" s="493">
        <f t="shared" si="7"/>
        <v>55641.999999999993</v>
      </c>
    </row>
    <row r="32" spans="1:21" s="417" customFormat="1" ht="13.5" thickBot="1">
      <c r="A32" s="499" t="s">
        <v>185</v>
      </c>
      <c r="B32" s="128"/>
      <c r="C32" s="128"/>
      <c r="D32" s="128"/>
      <c r="E32" s="155">
        <f>SUM(E7:E31)</f>
        <v>38682397</v>
      </c>
      <c r="F32" s="1002">
        <f>SUM(F7:F31)</f>
        <v>150089</v>
      </c>
      <c r="G32" s="538">
        <f>SUM(G7:G31)</f>
        <v>36617</v>
      </c>
      <c r="H32" s="500">
        <f>SUM(H7:H31)</f>
        <v>60</v>
      </c>
      <c r="I32" s="156">
        <f t="shared" ref="I32:P32" si="11">SUM(I7:I31)</f>
        <v>197100</v>
      </c>
      <c r="J32" s="156">
        <f t="shared" si="11"/>
        <v>466633.98399999994</v>
      </c>
      <c r="K32" s="155">
        <f t="shared" si="11"/>
        <v>2463750</v>
      </c>
      <c r="L32" s="156">
        <f t="shared" si="11"/>
        <v>162632</v>
      </c>
      <c r="M32" s="157">
        <f t="shared" si="11"/>
        <v>3288331.2</v>
      </c>
      <c r="N32" s="521">
        <f t="shared" si="11"/>
        <v>5914713.2000000002</v>
      </c>
      <c r="O32" s="501">
        <f t="shared" si="3"/>
        <v>39.408039230056836</v>
      </c>
      <c r="P32" s="521">
        <f t="shared" si="11"/>
        <v>73234</v>
      </c>
      <c r="Q32" s="37"/>
      <c r="R32" s="493"/>
      <c r="S32" s="37"/>
      <c r="T32" s="37"/>
      <c r="U32" s="37"/>
    </row>
    <row r="33" spans="1:21" s="417" customFormat="1" ht="4.5" customHeight="1">
      <c r="A33" s="65"/>
      <c r="B33" s="76"/>
      <c r="C33" s="76"/>
      <c r="D33" s="76"/>
      <c r="E33" s="65"/>
      <c r="F33" s="338"/>
      <c r="G33" s="339"/>
      <c r="H33" s="76"/>
      <c r="I33" s="76"/>
      <c r="J33" s="76"/>
      <c r="K33" s="65"/>
      <c r="L33" s="76"/>
      <c r="M33" s="121"/>
      <c r="N33" s="517"/>
      <c r="O33" s="121"/>
      <c r="P33" s="121"/>
      <c r="Q33" s="37"/>
      <c r="R33" s="37"/>
      <c r="S33" s="37"/>
      <c r="T33" s="37"/>
      <c r="U33" s="37"/>
    </row>
    <row r="34" spans="1:21" s="417" customFormat="1" ht="13">
      <c r="A34" s="968" t="s">
        <v>186</v>
      </c>
      <c r="B34" s="490"/>
      <c r="C34" s="490"/>
      <c r="D34" s="490"/>
      <c r="E34" s="64"/>
      <c r="F34" s="76"/>
      <c r="G34" s="121"/>
      <c r="H34" s="76"/>
      <c r="I34" s="76"/>
      <c r="J34" s="76"/>
      <c r="K34" s="65"/>
      <c r="L34" s="76"/>
      <c r="M34" s="121"/>
      <c r="N34" s="517"/>
      <c r="O34" s="121"/>
      <c r="P34" s="121"/>
      <c r="Q34" s="37"/>
      <c r="R34" s="37"/>
      <c r="S34" s="37"/>
      <c r="T34" s="37"/>
      <c r="U34" s="37"/>
    </row>
    <row r="35" spans="1:21" s="417" customFormat="1" ht="13">
      <c r="A35" s="990">
        <v>26</v>
      </c>
      <c r="B35" s="386" t="s">
        <v>501</v>
      </c>
      <c r="C35" s="386" t="s">
        <v>357</v>
      </c>
      <c r="D35" s="386" t="s">
        <v>45</v>
      </c>
      <c r="E35" s="534">
        <v>8062600</v>
      </c>
      <c r="F35" s="60">
        <v>24808</v>
      </c>
      <c r="G35" s="284">
        <v>26084</v>
      </c>
      <c r="H35" s="492">
        <v>0</v>
      </c>
      <c r="I35" s="493">
        <f t="shared" ref="I35:I50" si="12">H35*$E$136*$E$137*365</f>
        <v>0</v>
      </c>
      <c r="J35" s="493">
        <f t="shared" ref="J35:J50" si="13">MAX(R35:U35)</f>
        <v>846138.87599999993</v>
      </c>
      <c r="K35" s="526">
        <f t="shared" ref="K35:K50" si="14">I35/$E$138</f>
        <v>0</v>
      </c>
      <c r="L35" s="491">
        <v>504763</v>
      </c>
      <c r="M35" s="995">
        <f>'Existing Building Market Values'!F8</f>
        <v>14102314.6</v>
      </c>
      <c r="N35" s="518">
        <f t="shared" ref="N35:N37" si="15">SUM(K35:M35)</f>
        <v>14607077.6</v>
      </c>
      <c r="O35" s="438">
        <f t="shared" ref="O35:O51" si="16">N35/F35</f>
        <v>588.80512737826507</v>
      </c>
      <c r="P35" s="438">
        <f t="shared" ref="P35:P50" si="17">IF(G35&gt;0,G35*2,0)</f>
        <v>52168</v>
      </c>
      <c r="Q35" s="37"/>
      <c r="R35" s="493">
        <f t="shared" ref="R35:R50" si="18">IF($D35=R$4,($G35*$E$111*(1-$E$112))-($G35*$E$112*$E$114),0)</f>
        <v>0</v>
      </c>
      <c r="S35" s="493">
        <f t="shared" ref="S35:S50" si="19">IF($D35=S$4,($G35*$E$117*(1-$E$118))-($G35*$E$118*$E$120),0)</f>
        <v>846138.87599999993</v>
      </c>
      <c r="T35" s="493">
        <f t="shared" ref="T35:T50" si="20">IF($D35=T$4,($G35*$E$123*(1-$E$124))-($G35*$E$124*$E$126),0)</f>
        <v>0</v>
      </c>
      <c r="U35" s="493">
        <f t="shared" ref="U35:U50" si="21">IF($D35=U$4,($G35*$E$129*(1-$E$130))-($G35*$E$130*$E$132),0)</f>
        <v>0</v>
      </c>
    </row>
    <row r="36" spans="1:21" s="417" customFormat="1">
      <c r="A36" s="219">
        <f>A35+1</f>
        <v>27</v>
      </c>
      <c r="B36" s="66" t="s">
        <v>540</v>
      </c>
      <c r="C36" s="66" t="s">
        <v>357</v>
      </c>
      <c r="D36" s="66" t="s">
        <v>190</v>
      </c>
      <c r="E36" s="535">
        <v>1050000</v>
      </c>
      <c r="F36" s="60">
        <v>3500</v>
      </c>
      <c r="G36" s="284">
        <v>0</v>
      </c>
      <c r="H36" s="492">
        <v>0</v>
      </c>
      <c r="I36" s="151">
        <f t="shared" si="12"/>
        <v>0</v>
      </c>
      <c r="J36" s="151">
        <f t="shared" si="13"/>
        <v>0</v>
      </c>
      <c r="K36" s="150">
        <f t="shared" si="14"/>
        <v>0</v>
      </c>
      <c r="L36" s="468">
        <v>0</v>
      </c>
      <c r="M36" s="527">
        <v>0</v>
      </c>
      <c r="N36" s="519">
        <f t="shared" si="15"/>
        <v>0</v>
      </c>
      <c r="O36" s="494">
        <f t="shared" si="16"/>
        <v>0</v>
      </c>
      <c r="P36" s="494">
        <f t="shared" si="17"/>
        <v>0</v>
      </c>
      <c r="Q36" s="37"/>
      <c r="R36" s="493">
        <f t="shared" si="18"/>
        <v>0</v>
      </c>
      <c r="S36" s="493">
        <f t="shared" si="19"/>
        <v>0</v>
      </c>
      <c r="T36" s="493">
        <f t="shared" si="20"/>
        <v>0</v>
      </c>
      <c r="U36" s="493">
        <f t="shared" si="21"/>
        <v>0</v>
      </c>
    </row>
    <row r="37" spans="1:21" s="417" customFormat="1">
      <c r="A37" s="219">
        <f t="shared" ref="A37:A49" si="22">A36+1</f>
        <v>28</v>
      </c>
      <c r="B37" s="66" t="s">
        <v>540</v>
      </c>
      <c r="C37" s="66" t="s">
        <v>357</v>
      </c>
      <c r="D37" s="66" t="s">
        <v>190</v>
      </c>
      <c r="E37" s="535">
        <v>525000</v>
      </c>
      <c r="F37" s="60">
        <v>3500</v>
      </c>
      <c r="G37" s="284">
        <v>0</v>
      </c>
      <c r="H37" s="492">
        <v>0</v>
      </c>
      <c r="I37" s="151">
        <f t="shared" si="12"/>
        <v>0</v>
      </c>
      <c r="J37" s="151">
        <f t="shared" si="13"/>
        <v>0</v>
      </c>
      <c r="K37" s="530">
        <f t="shared" si="14"/>
        <v>0</v>
      </c>
      <c r="L37" s="468">
        <v>0</v>
      </c>
      <c r="M37" s="527">
        <v>0</v>
      </c>
      <c r="N37" s="519">
        <f t="shared" si="15"/>
        <v>0</v>
      </c>
      <c r="O37" s="494">
        <f t="shared" si="16"/>
        <v>0</v>
      </c>
      <c r="P37" s="494">
        <f t="shared" si="17"/>
        <v>0</v>
      </c>
      <c r="Q37" s="37"/>
      <c r="R37" s="493">
        <f t="shared" si="18"/>
        <v>0</v>
      </c>
      <c r="S37" s="493">
        <f t="shared" si="19"/>
        <v>0</v>
      </c>
      <c r="T37" s="493">
        <f t="shared" si="20"/>
        <v>0</v>
      </c>
      <c r="U37" s="493">
        <f t="shared" si="21"/>
        <v>0</v>
      </c>
    </row>
    <row r="38" spans="1:21" s="417" customFormat="1" ht="13">
      <c r="A38" s="989">
        <f t="shared" si="22"/>
        <v>29</v>
      </c>
      <c r="B38" s="386" t="s">
        <v>501</v>
      </c>
      <c r="C38" s="386" t="s">
        <v>357</v>
      </c>
      <c r="D38" s="386" t="s">
        <v>359</v>
      </c>
      <c r="E38" s="535">
        <v>393750</v>
      </c>
      <c r="F38" s="60">
        <v>3500</v>
      </c>
      <c r="G38" s="284">
        <v>2044</v>
      </c>
      <c r="H38" s="492">
        <v>0</v>
      </c>
      <c r="I38" s="151">
        <f t="shared" si="12"/>
        <v>0</v>
      </c>
      <c r="J38" s="151">
        <f t="shared" si="13"/>
        <v>46701.311999999998</v>
      </c>
      <c r="K38" s="530">
        <f t="shared" si="14"/>
        <v>0</v>
      </c>
      <c r="L38" s="468">
        <v>0</v>
      </c>
      <c r="M38" s="994">
        <f>'Existing Building Market Values'!F9</f>
        <v>778355.19999999995</v>
      </c>
      <c r="N38" s="519">
        <f t="shared" ref="N38:N50" si="23">SUM(K38:M38)</f>
        <v>778355.19999999995</v>
      </c>
      <c r="O38" s="494">
        <f t="shared" si="16"/>
        <v>222.38719999999998</v>
      </c>
      <c r="P38" s="494">
        <f t="shared" si="17"/>
        <v>4088</v>
      </c>
      <c r="Q38" s="37"/>
      <c r="R38" s="493">
        <f t="shared" si="18"/>
        <v>0</v>
      </c>
      <c r="S38" s="493">
        <f t="shared" si="19"/>
        <v>0</v>
      </c>
      <c r="T38" s="493">
        <f t="shared" si="20"/>
        <v>46701.311999999998</v>
      </c>
      <c r="U38" s="493">
        <f t="shared" si="21"/>
        <v>0</v>
      </c>
    </row>
    <row r="39" spans="1:21" s="417" customFormat="1">
      <c r="A39" s="219">
        <f t="shared" si="22"/>
        <v>30</v>
      </c>
      <c r="B39" s="66" t="s">
        <v>540</v>
      </c>
      <c r="C39" s="66" t="s">
        <v>357</v>
      </c>
      <c r="D39" s="66" t="s">
        <v>190</v>
      </c>
      <c r="E39" s="535">
        <v>196875</v>
      </c>
      <c r="F39" s="60">
        <v>1750</v>
      </c>
      <c r="G39" s="284">
        <v>0</v>
      </c>
      <c r="H39" s="492">
        <v>0</v>
      </c>
      <c r="I39" s="151">
        <f t="shared" si="12"/>
        <v>0</v>
      </c>
      <c r="J39" s="151">
        <f t="shared" si="13"/>
        <v>0</v>
      </c>
      <c r="K39" s="530">
        <f t="shared" si="14"/>
        <v>0</v>
      </c>
      <c r="L39" s="468">
        <v>560</v>
      </c>
      <c r="M39" s="527">
        <v>0</v>
      </c>
      <c r="N39" s="519">
        <f t="shared" si="23"/>
        <v>560</v>
      </c>
      <c r="O39" s="494">
        <f t="shared" si="16"/>
        <v>0.32</v>
      </c>
      <c r="P39" s="494">
        <f t="shared" si="17"/>
        <v>0</v>
      </c>
      <c r="Q39" s="37"/>
      <c r="R39" s="493">
        <f t="shared" si="18"/>
        <v>0</v>
      </c>
      <c r="S39" s="493">
        <f t="shared" si="19"/>
        <v>0</v>
      </c>
      <c r="T39" s="493">
        <f t="shared" si="20"/>
        <v>0</v>
      </c>
      <c r="U39" s="493">
        <f t="shared" si="21"/>
        <v>0</v>
      </c>
    </row>
    <row r="40" spans="1:21" s="417" customFormat="1">
      <c r="A40" s="219">
        <f t="shared" si="22"/>
        <v>31</v>
      </c>
      <c r="B40" s="66" t="s">
        <v>501</v>
      </c>
      <c r="C40" s="66" t="s">
        <v>358</v>
      </c>
      <c r="D40" s="66" t="s">
        <v>202</v>
      </c>
      <c r="E40" s="535">
        <v>787500</v>
      </c>
      <c r="F40" s="60">
        <v>5250</v>
      </c>
      <c r="G40" s="284">
        <v>1421</v>
      </c>
      <c r="H40" s="492">
        <v>0</v>
      </c>
      <c r="I40" s="151">
        <f t="shared" si="12"/>
        <v>0</v>
      </c>
      <c r="J40" s="151">
        <f t="shared" si="13"/>
        <v>12220.599999999999</v>
      </c>
      <c r="K40" s="530">
        <f t="shared" si="14"/>
        <v>0</v>
      </c>
      <c r="L40" s="468">
        <v>406</v>
      </c>
      <c r="M40" s="527">
        <v>0</v>
      </c>
      <c r="N40" s="519">
        <f t="shared" si="23"/>
        <v>406</v>
      </c>
      <c r="O40" s="494">
        <f t="shared" si="16"/>
        <v>7.7333333333333337E-2</v>
      </c>
      <c r="P40" s="494">
        <f t="shared" si="17"/>
        <v>2842</v>
      </c>
      <c r="Q40" s="37"/>
      <c r="R40" s="493">
        <f t="shared" si="18"/>
        <v>0</v>
      </c>
      <c r="S40" s="493">
        <f t="shared" si="19"/>
        <v>0</v>
      </c>
      <c r="T40" s="493">
        <f t="shared" si="20"/>
        <v>0</v>
      </c>
      <c r="U40" s="493">
        <f t="shared" si="21"/>
        <v>12220.599999999999</v>
      </c>
    </row>
    <row r="41" spans="1:21" s="417" customFormat="1">
      <c r="A41" s="219">
        <f t="shared" si="22"/>
        <v>32</v>
      </c>
      <c r="B41" s="66" t="s">
        <v>540</v>
      </c>
      <c r="C41" s="66" t="s">
        <v>358</v>
      </c>
      <c r="D41" s="66" t="s">
        <v>190</v>
      </c>
      <c r="E41" s="535">
        <v>262500</v>
      </c>
      <c r="F41" s="60">
        <v>1750</v>
      </c>
      <c r="G41" s="284">
        <v>0</v>
      </c>
      <c r="H41" s="492">
        <v>0</v>
      </c>
      <c r="I41" s="151">
        <f t="shared" si="12"/>
        <v>0</v>
      </c>
      <c r="J41" s="151">
        <f t="shared" si="13"/>
        <v>0</v>
      </c>
      <c r="K41" s="530">
        <f t="shared" si="14"/>
        <v>0</v>
      </c>
      <c r="L41" s="468">
        <v>0</v>
      </c>
      <c r="M41" s="527">
        <v>0</v>
      </c>
      <c r="N41" s="519">
        <f t="shared" si="23"/>
        <v>0</v>
      </c>
      <c r="O41" s="494">
        <f t="shared" si="16"/>
        <v>0</v>
      </c>
      <c r="P41" s="494">
        <f t="shared" si="17"/>
        <v>0</v>
      </c>
      <c r="Q41" s="37"/>
      <c r="R41" s="493">
        <f t="shared" si="18"/>
        <v>0</v>
      </c>
      <c r="S41" s="493">
        <f t="shared" si="19"/>
        <v>0</v>
      </c>
      <c r="T41" s="493">
        <f t="shared" si="20"/>
        <v>0</v>
      </c>
      <c r="U41" s="493">
        <f t="shared" si="21"/>
        <v>0</v>
      </c>
    </row>
    <row r="42" spans="1:21" s="417" customFormat="1">
      <c r="A42" s="219">
        <f t="shared" si="22"/>
        <v>33</v>
      </c>
      <c r="B42" s="66" t="s">
        <v>501</v>
      </c>
      <c r="C42" s="66" t="s">
        <v>358</v>
      </c>
      <c r="D42" s="66" t="s">
        <v>362</v>
      </c>
      <c r="E42" s="535">
        <v>262500</v>
      </c>
      <c r="F42" s="60">
        <v>1750</v>
      </c>
      <c r="G42" s="284">
        <v>0</v>
      </c>
      <c r="H42" s="492">
        <v>10</v>
      </c>
      <c r="I42" s="151">
        <f t="shared" si="12"/>
        <v>32850</v>
      </c>
      <c r="J42" s="151">
        <f t="shared" si="13"/>
        <v>0</v>
      </c>
      <c r="K42" s="150">
        <f t="shared" si="14"/>
        <v>410625</v>
      </c>
      <c r="L42" s="468">
        <v>1582</v>
      </c>
      <c r="M42" s="527">
        <v>0</v>
      </c>
      <c r="N42" s="519">
        <f t="shared" si="23"/>
        <v>412207</v>
      </c>
      <c r="O42" s="494">
        <f t="shared" si="16"/>
        <v>235.54685714285714</v>
      </c>
      <c r="P42" s="494">
        <f t="shared" si="17"/>
        <v>0</v>
      </c>
      <c r="Q42" s="37"/>
      <c r="R42" s="493">
        <f t="shared" si="18"/>
        <v>0</v>
      </c>
      <c r="S42" s="493">
        <f t="shared" si="19"/>
        <v>0</v>
      </c>
      <c r="T42" s="493">
        <f t="shared" si="20"/>
        <v>0</v>
      </c>
      <c r="U42" s="493">
        <f t="shared" si="21"/>
        <v>0</v>
      </c>
    </row>
    <row r="43" spans="1:21" s="417" customFormat="1">
      <c r="A43" s="219">
        <f t="shared" si="22"/>
        <v>34</v>
      </c>
      <c r="B43" s="66" t="s">
        <v>501</v>
      </c>
      <c r="C43" s="66" t="s">
        <v>358</v>
      </c>
      <c r="D43" s="66" t="s">
        <v>362</v>
      </c>
      <c r="E43" s="535">
        <v>525000</v>
      </c>
      <c r="F43" s="60">
        <v>3500</v>
      </c>
      <c r="G43" s="284">
        <v>0</v>
      </c>
      <c r="H43" s="492">
        <v>20</v>
      </c>
      <c r="I43" s="151">
        <f t="shared" si="12"/>
        <v>65700</v>
      </c>
      <c r="J43" s="151">
        <f t="shared" si="13"/>
        <v>0</v>
      </c>
      <c r="K43" s="150">
        <f t="shared" si="14"/>
        <v>821250</v>
      </c>
      <c r="L43" s="468">
        <v>1884</v>
      </c>
      <c r="M43" s="527">
        <v>0</v>
      </c>
      <c r="N43" s="519">
        <f t="shared" si="23"/>
        <v>823134</v>
      </c>
      <c r="O43" s="494">
        <f t="shared" si="16"/>
        <v>235.18114285714285</v>
      </c>
      <c r="P43" s="494">
        <f t="shared" si="17"/>
        <v>0</v>
      </c>
      <c r="Q43" s="37"/>
      <c r="R43" s="493">
        <f t="shared" si="18"/>
        <v>0</v>
      </c>
      <c r="S43" s="493">
        <f t="shared" si="19"/>
        <v>0</v>
      </c>
      <c r="T43" s="493">
        <f t="shared" si="20"/>
        <v>0</v>
      </c>
      <c r="U43" s="493">
        <f t="shared" si="21"/>
        <v>0</v>
      </c>
    </row>
    <row r="44" spans="1:21" s="417" customFormat="1">
      <c r="A44" s="219">
        <f t="shared" si="22"/>
        <v>35</v>
      </c>
      <c r="B44" s="66" t="s">
        <v>501</v>
      </c>
      <c r="C44" s="66" t="s">
        <v>358</v>
      </c>
      <c r="D44" s="66" t="s">
        <v>362</v>
      </c>
      <c r="E44" s="535">
        <v>525000</v>
      </c>
      <c r="F44" s="60">
        <v>3500</v>
      </c>
      <c r="G44" s="284">
        <v>0</v>
      </c>
      <c r="H44" s="492">
        <v>20</v>
      </c>
      <c r="I44" s="151">
        <f t="shared" si="12"/>
        <v>65700</v>
      </c>
      <c r="J44" s="151">
        <f t="shared" si="13"/>
        <v>0</v>
      </c>
      <c r="K44" s="150">
        <f t="shared" si="14"/>
        <v>821250</v>
      </c>
      <c r="L44" s="468">
        <v>4606</v>
      </c>
      <c r="M44" s="527">
        <v>0</v>
      </c>
      <c r="N44" s="519">
        <f t="shared" si="23"/>
        <v>825856</v>
      </c>
      <c r="O44" s="494">
        <f t="shared" si="16"/>
        <v>235.95885714285714</v>
      </c>
      <c r="P44" s="494">
        <f t="shared" si="17"/>
        <v>0</v>
      </c>
      <c r="Q44" s="37"/>
      <c r="R44" s="493">
        <f t="shared" si="18"/>
        <v>0</v>
      </c>
      <c r="S44" s="493">
        <f t="shared" si="19"/>
        <v>0</v>
      </c>
      <c r="T44" s="493">
        <f t="shared" si="20"/>
        <v>0</v>
      </c>
      <c r="U44" s="493">
        <f t="shared" si="21"/>
        <v>0</v>
      </c>
    </row>
    <row r="45" spans="1:21" s="417" customFormat="1">
      <c r="A45" s="219">
        <f t="shared" si="22"/>
        <v>36</v>
      </c>
      <c r="B45" s="66" t="s">
        <v>501</v>
      </c>
      <c r="C45" s="66" t="s">
        <v>358</v>
      </c>
      <c r="D45" s="66" t="s">
        <v>362</v>
      </c>
      <c r="E45" s="535">
        <v>525000</v>
      </c>
      <c r="F45" s="60">
        <v>3500</v>
      </c>
      <c r="G45" s="284">
        <v>0</v>
      </c>
      <c r="H45" s="492">
        <v>20</v>
      </c>
      <c r="I45" s="151">
        <f t="shared" si="12"/>
        <v>65700</v>
      </c>
      <c r="J45" s="151">
        <f t="shared" si="13"/>
        <v>0</v>
      </c>
      <c r="K45" s="150">
        <f t="shared" si="14"/>
        <v>821250</v>
      </c>
      <c r="L45" s="468">
        <v>2888</v>
      </c>
      <c r="M45" s="527">
        <v>0</v>
      </c>
      <c r="N45" s="519">
        <f t="shared" si="23"/>
        <v>824138</v>
      </c>
      <c r="O45" s="494">
        <f t="shared" si="16"/>
        <v>235.46799999999999</v>
      </c>
      <c r="P45" s="494">
        <f t="shared" si="17"/>
        <v>0</v>
      </c>
      <c r="Q45" s="37"/>
      <c r="R45" s="493">
        <f t="shared" si="18"/>
        <v>0</v>
      </c>
      <c r="S45" s="493">
        <f t="shared" si="19"/>
        <v>0</v>
      </c>
      <c r="T45" s="493">
        <f t="shared" si="20"/>
        <v>0</v>
      </c>
      <c r="U45" s="493">
        <f t="shared" si="21"/>
        <v>0</v>
      </c>
    </row>
    <row r="46" spans="1:21" s="417" customFormat="1">
      <c r="A46" s="219">
        <f t="shared" si="22"/>
        <v>37</v>
      </c>
      <c r="B46" s="66" t="s">
        <v>501</v>
      </c>
      <c r="C46" s="66" t="s">
        <v>358</v>
      </c>
      <c r="D46" s="66" t="s">
        <v>202</v>
      </c>
      <c r="E46" s="535">
        <v>1585500</v>
      </c>
      <c r="F46" s="60">
        <v>10570</v>
      </c>
      <c r="G46" s="284">
        <v>7992</v>
      </c>
      <c r="H46" s="492">
        <v>0</v>
      </c>
      <c r="I46" s="151">
        <f t="shared" si="12"/>
        <v>0</v>
      </c>
      <c r="J46" s="151">
        <f t="shared" si="13"/>
        <v>68731.200000000012</v>
      </c>
      <c r="K46" s="530">
        <f t="shared" si="14"/>
        <v>0</v>
      </c>
      <c r="L46" s="468">
        <v>14145</v>
      </c>
      <c r="M46" s="527">
        <v>0</v>
      </c>
      <c r="N46" s="519">
        <f t="shared" si="23"/>
        <v>14145</v>
      </c>
      <c r="O46" s="494">
        <f t="shared" si="16"/>
        <v>1.3382213812677388</v>
      </c>
      <c r="P46" s="494">
        <f t="shared" si="17"/>
        <v>15984</v>
      </c>
      <c r="Q46" s="37"/>
      <c r="R46" s="493">
        <f t="shared" si="18"/>
        <v>0</v>
      </c>
      <c r="S46" s="493">
        <f t="shared" si="19"/>
        <v>0</v>
      </c>
      <c r="T46" s="493">
        <f t="shared" si="20"/>
        <v>0</v>
      </c>
      <c r="U46" s="493">
        <f t="shared" si="21"/>
        <v>68731.200000000012</v>
      </c>
    </row>
    <row r="47" spans="1:21" s="417" customFormat="1" ht="13">
      <c r="A47" s="989">
        <f t="shared" si="22"/>
        <v>38</v>
      </c>
      <c r="B47" s="386" t="s">
        <v>501</v>
      </c>
      <c r="C47" s="386" t="s">
        <v>357</v>
      </c>
      <c r="D47" s="386" t="s">
        <v>202</v>
      </c>
      <c r="E47" s="535">
        <v>2100000</v>
      </c>
      <c r="F47" s="60">
        <v>14000</v>
      </c>
      <c r="G47" s="284">
        <v>4645</v>
      </c>
      <c r="H47" s="492">
        <v>0</v>
      </c>
      <c r="I47" s="151">
        <f t="shared" si="12"/>
        <v>0</v>
      </c>
      <c r="J47" s="151">
        <f t="shared" si="13"/>
        <v>39946.999999999993</v>
      </c>
      <c r="K47" s="530">
        <f t="shared" si="14"/>
        <v>0</v>
      </c>
      <c r="L47" s="468">
        <v>28665</v>
      </c>
      <c r="M47" s="994">
        <f>'Existing Building Market Values'!F10</f>
        <v>570671.42857142841</v>
      </c>
      <c r="N47" s="519">
        <f t="shared" si="23"/>
        <v>599336.42857142841</v>
      </c>
      <c r="O47" s="494">
        <f t="shared" si="16"/>
        <v>42.80974489795917</v>
      </c>
      <c r="P47" s="494">
        <f t="shared" si="17"/>
        <v>9290</v>
      </c>
      <c r="Q47" s="37"/>
      <c r="R47" s="493">
        <f t="shared" si="18"/>
        <v>0</v>
      </c>
      <c r="S47" s="493">
        <f t="shared" si="19"/>
        <v>0</v>
      </c>
      <c r="T47" s="493">
        <f t="shared" si="20"/>
        <v>0</v>
      </c>
      <c r="U47" s="493">
        <f t="shared" si="21"/>
        <v>39946.999999999993</v>
      </c>
    </row>
    <row r="48" spans="1:21" s="417" customFormat="1">
      <c r="A48" s="219">
        <f t="shared" si="22"/>
        <v>39</v>
      </c>
      <c r="B48" s="66" t="s">
        <v>540</v>
      </c>
      <c r="C48" s="66" t="s">
        <v>358</v>
      </c>
      <c r="D48" s="66" t="s">
        <v>190</v>
      </c>
      <c r="E48" s="535">
        <v>1050000</v>
      </c>
      <c r="F48" s="60">
        <v>7000</v>
      </c>
      <c r="G48" s="284">
        <v>0</v>
      </c>
      <c r="H48" s="492">
        <v>0</v>
      </c>
      <c r="I48" s="151">
        <f t="shared" si="12"/>
        <v>0</v>
      </c>
      <c r="J48" s="151">
        <f t="shared" si="13"/>
        <v>0</v>
      </c>
      <c r="K48" s="530">
        <f t="shared" si="14"/>
        <v>0</v>
      </c>
      <c r="L48" s="468">
        <v>0</v>
      </c>
      <c r="M48" s="527">
        <v>0</v>
      </c>
      <c r="N48" s="519">
        <f t="shared" si="23"/>
        <v>0</v>
      </c>
      <c r="O48" s="494">
        <f t="shared" si="16"/>
        <v>0</v>
      </c>
      <c r="P48" s="494">
        <f t="shared" si="17"/>
        <v>0</v>
      </c>
      <c r="Q48" s="37"/>
      <c r="R48" s="493">
        <f t="shared" si="18"/>
        <v>0</v>
      </c>
      <c r="S48" s="493">
        <f t="shared" si="19"/>
        <v>0</v>
      </c>
      <c r="T48" s="493">
        <f t="shared" si="20"/>
        <v>0</v>
      </c>
      <c r="U48" s="493">
        <f t="shared" si="21"/>
        <v>0</v>
      </c>
    </row>
    <row r="49" spans="1:21" s="417" customFormat="1">
      <c r="A49" s="219">
        <f t="shared" si="22"/>
        <v>40</v>
      </c>
      <c r="B49" s="66" t="s">
        <v>501</v>
      </c>
      <c r="C49" s="66" t="s">
        <v>358</v>
      </c>
      <c r="D49" s="66" t="s">
        <v>202</v>
      </c>
      <c r="E49" s="535">
        <v>4987500</v>
      </c>
      <c r="F49" s="60">
        <v>35000</v>
      </c>
      <c r="G49" s="284">
        <v>9454</v>
      </c>
      <c r="H49" s="492">
        <v>0</v>
      </c>
      <c r="I49" s="151">
        <f t="shared" si="12"/>
        <v>0</v>
      </c>
      <c r="J49" s="151">
        <f t="shared" si="13"/>
        <v>81304.399999999994</v>
      </c>
      <c r="K49" s="530">
        <f t="shared" si="14"/>
        <v>0</v>
      </c>
      <c r="L49" s="468">
        <v>62291</v>
      </c>
      <c r="M49" s="527">
        <v>0</v>
      </c>
      <c r="N49" s="519">
        <f t="shared" si="23"/>
        <v>62291</v>
      </c>
      <c r="O49" s="494">
        <f t="shared" si="16"/>
        <v>1.7797428571428571</v>
      </c>
      <c r="P49" s="494">
        <f t="shared" si="17"/>
        <v>18908</v>
      </c>
      <c r="Q49" s="37"/>
      <c r="R49" s="493">
        <f t="shared" si="18"/>
        <v>0</v>
      </c>
      <c r="S49" s="493">
        <f t="shared" si="19"/>
        <v>0</v>
      </c>
      <c r="T49" s="493">
        <f t="shared" si="20"/>
        <v>0</v>
      </c>
      <c r="U49" s="493">
        <f t="shared" si="21"/>
        <v>81304.399999999994</v>
      </c>
    </row>
    <row r="50" spans="1:21" s="417" customFormat="1">
      <c r="A50" s="971">
        <f>A49+1</f>
        <v>41</v>
      </c>
      <c r="B50" s="250" t="s">
        <v>501</v>
      </c>
      <c r="C50" s="250" t="s">
        <v>358</v>
      </c>
      <c r="D50" s="250" t="s">
        <v>202</v>
      </c>
      <c r="E50" s="536">
        <v>2126250</v>
      </c>
      <c r="F50" s="998">
        <v>15750</v>
      </c>
      <c r="G50" s="537">
        <v>15270</v>
      </c>
      <c r="H50" s="974">
        <v>0</v>
      </c>
      <c r="I50" s="160">
        <f t="shared" si="12"/>
        <v>0</v>
      </c>
      <c r="J50" s="160">
        <f t="shared" si="13"/>
        <v>131322</v>
      </c>
      <c r="K50" s="531">
        <f t="shared" si="14"/>
        <v>0</v>
      </c>
      <c r="L50" s="497">
        <v>35914</v>
      </c>
      <c r="M50" s="528">
        <v>0</v>
      </c>
      <c r="N50" s="520">
        <f t="shared" si="23"/>
        <v>35914</v>
      </c>
      <c r="O50" s="498">
        <f t="shared" si="16"/>
        <v>2.2802539682539682</v>
      </c>
      <c r="P50" s="498">
        <f t="shared" si="17"/>
        <v>30540</v>
      </c>
      <c r="Q50" s="37"/>
      <c r="R50" s="493">
        <f t="shared" si="18"/>
        <v>0</v>
      </c>
      <c r="S50" s="493">
        <f t="shared" si="19"/>
        <v>0</v>
      </c>
      <c r="T50" s="493">
        <f t="shared" si="20"/>
        <v>0</v>
      </c>
      <c r="U50" s="493">
        <f t="shared" si="21"/>
        <v>131322</v>
      </c>
    </row>
    <row r="51" spans="1:21" s="417" customFormat="1" ht="13.5" thickBot="1">
      <c r="A51" s="499" t="s">
        <v>187</v>
      </c>
      <c r="B51" s="128"/>
      <c r="C51" s="128"/>
      <c r="D51" s="128"/>
      <c r="E51" s="155">
        <f t="shared" ref="E51:P51" si="24">SUM(E35:E50)</f>
        <v>24964975</v>
      </c>
      <c r="F51" s="1002">
        <f t="shared" si="24"/>
        <v>138628</v>
      </c>
      <c r="G51" s="538">
        <f t="shared" si="24"/>
        <v>66910</v>
      </c>
      <c r="H51" s="500">
        <f t="shared" si="24"/>
        <v>70</v>
      </c>
      <c r="I51" s="156">
        <f t="shared" si="24"/>
        <v>229950</v>
      </c>
      <c r="J51" s="156">
        <f t="shared" si="24"/>
        <v>1226365.3879999998</v>
      </c>
      <c r="K51" s="155">
        <f t="shared" si="24"/>
        <v>2874375</v>
      </c>
      <c r="L51" s="156">
        <f t="shared" si="24"/>
        <v>657704</v>
      </c>
      <c r="M51" s="157">
        <f t="shared" si="24"/>
        <v>15451341.228571428</v>
      </c>
      <c r="N51" s="521">
        <f t="shared" si="24"/>
        <v>18983420.228571426</v>
      </c>
      <c r="O51" s="501">
        <f t="shared" si="16"/>
        <v>136.93784970259563</v>
      </c>
      <c r="P51" s="521">
        <f t="shared" si="24"/>
        <v>133820</v>
      </c>
      <c r="Q51" s="37"/>
      <c r="R51" s="37"/>
      <c r="S51" s="37"/>
      <c r="T51" s="37"/>
      <c r="U51" s="37"/>
    </row>
    <row r="52" spans="1:21" s="417" customFormat="1" ht="4.5" customHeight="1">
      <c r="A52" s="65"/>
      <c r="B52" s="76"/>
      <c r="C52" s="76"/>
      <c r="D52" s="76"/>
      <c r="E52" s="65"/>
      <c r="F52" s="121"/>
      <c r="G52" s="1001"/>
      <c r="H52" s="76"/>
      <c r="I52" s="76"/>
      <c r="J52" s="76"/>
      <c r="K52" s="65"/>
      <c r="L52" s="76"/>
      <c r="M52" s="121"/>
      <c r="N52" s="517"/>
      <c r="O52" s="121"/>
      <c r="P52" s="121"/>
      <c r="Q52" s="37"/>
      <c r="R52" s="37"/>
      <c r="S52" s="37"/>
      <c r="T52" s="37"/>
      <c r="U52" s="37"/>
    </row>
    <row r="53" spans="1:21" s="417" customFormat="1" ht="13">
      <c r="A53" s="968" t="s">
        <v>188</v>
      </c>
      <c r="B53" s="490"/>
      <c r="C53" s="490"/>
      <c r="D53" s="490"/>
      <c r="E53" s="64"/>
      <c r="F53" s="76"/>
      <c r="G53" s="121"/>
      <c r="H53" s="76"/>
      <c r="I53" s="76"/>
      <c r="J53" s="76"/>
      <c r="K53" s="65"/>
      <c r="L53" s="76"/>
      <c r="M53" s="121"/>
      <c r="N53" s="517"/>
      <c r="O53" s="121"/>
      <c r="P53" s="121"/>
      <c r="Q53" s="37"/>
      <c r="R53" s="37"/>
      <c r="S53" s="37"/>
      <c r="T53" s="37"/>
      <c r="U53" s="37"/>
    </row>
    <row r="54" spans="1:21" s="417" customFormat="1">
      <c r="A54" s="970">
        <v>42</v>
      </c>
      <c r="B54" s="66" t="s">
        <v>501</v>
      </c>
      <c r="C54" s="66" t="s">
        <v>358</v>
      </c>
      <c r="D54" s="66" t="s">
        <v>45</v>
      </c>
      <c r="E54" s="534">
        <v>4970225</v>
      </c>
      <c r="F54" s="60">
        <v>15293</v>
      </c>
      <c r="G54" s="284">
        <v>10174</v>
      </c>
      <c r="H54" s="492">
        <v>0</v>
      </c>
      <c r="I54" s="493">
        <f t="shared" ref="I54:I63" si="25">H54*$E$136*$E$137*365</f>
        <v>0</v>
      </c>
      <c r="J54" s="493">
        <f t="shared" ref="J54:J63" si="26">MAX(R54:U54)</f>
        <v>330034.38599999994</v>
      </c>
      <c r="K54" s="526">
        <f t="shared" ref="K54:K63" si="27">I54/$E$138</f>
        <v>0</v>
      </c>
      <c r="L54" s="491">
        <v>85347</v>
      </c>
      <c r="M54" s="527">
        <v>0</v>
      </c>
      <c r="N54" s="518">
        <f>SUM(K54:M54)</f>
        <v>85347</v>
      </c>
      <c r="O54" s="438">
        <f t="shared" ref="O54:O64" si="28">N54/F54</f>
        <v>5.5807885960897146</v>
      </c>
      <c r="P54" s="438">
        <f t="shared" ref="P54:P63" si="29">IF(G54&gt;0,G54*2,0)</f>
        <v>20348</v>
      </c>
      <c r="Q54" s="37"/>
      <c r="R54" s="493">
        <f t="shared" ref="R54:R63" si="30">IF($D54=R$4,($G54*$E$111*(1-$E$112))-($G54*$E$112*$E$114),0)</f>
        <v>0</v>
      </c>
      <c r="S54" s="493">
        <f t="shared" ref="S54:S63" si="31">IF($D54=S$4,($G54*$E$117*(1-$E$118))-($G54*$E$118*$E$120),0)</f>
        <v>330034.38599999994</v>
      </c>
      <c r="T54" s="493">
        <f t="shared" ref="T54:T63" si="32">IF($D54=T$4,($G54*$E$123*(1-$E$124))-($G54*$E$124*$E$126),0)</f>
        <v>0</v>
      </c>
      <c r="U54" s="493">
        <f t="shared" ref="U54:U63" si="33">IF($D54=U$4,($G54*$E$129*(1-$E$130))-($G54*$E$130*$E$132),0)</f>
        <v>0</v>
      </c>
    </row>
    <row r="55" spans="1:21" s="417" customFormat="1" ht="13">
      <c r="A55" s="989">
        <f>A54+1</f>
        <v>43</v>
      </c>
      <c r="B55" s="386" t="s">
        <v>501</v>
      </c>
      <c r="C55" s="386" t="s">
        <v>357</v>
      </c>
      <c r="D55" s="386" t="s">
        <v>202</v>
      </c>
      <c r="E55" s="535">
        <v>4200000</v>
      </c>
      <c r="F55" s="60">
        <v>28000</v>
      </c>
      <c r="G55" s="284">
        <v>7533</v>
      </c>
      <c r="H55" s="492">
        <v>0</v>
      </c>
      <c r="I55" s="151">
        <f t="shared" si="25"/>
        <v>0</v>
      </c>
      <c r="J55" s="151">
        <f t="shared" si="26"/>
        <v>64783.799999999996</v>
      </c>
      <c r="K55" s="150">
        <f t="shared" si="27"/>
        <v>0</v>
      </c>
      <c r="L55" s="468">
        <v>12400</v>
      </c>
      <c r="M55" s="994">
        <f>'Existing Building Market Values'!F11</f>
        <v>925482.85714285704</v>
      </c>
      <c r="N55" s="519">
        <f t="shared" ref="N55:N57" si="34">SUM(K55:M55)</f>
        <v>937882.85714285704</v>
      </c>
      <c r="O55" s="494">
        <f t="shared" si="28"/>
        <v>33.495816326530608</v>
      </c>
      <c r="P55" s="494">
        <f t="shared" si="29"/>
        <v>15066</v>
      </c>
      <c r="Q55" s="37"/>
      <c r="R55" s="493">
        <f t="shared" si="30"/>
        <v>0</v>
      </c>
      <c r="S55" s="493">
        <f t="shared" si="31"/>
        <v>0</v>
      </c>
      <c r="T55" s="493">
        <f t="shared" si="32"/>
        <v>0</v>
      </c>
      <c r="U55" s="493">
        <f t="shared" si="33"/>
        <v>64783.799999999996</v>
      </c>
    </row>
    <row r="56" spans="1:21" s="417" customFormat="1">
      <c r="A56" s="219">
        <f t="shared" ref="A56:A62" si="35">A55+1</f>
        <v>44</v>
      </c>
      <c r="B56" s="66" t="s">
        <v>501</v>
      </c>
      <c r="C56" s="66"/>
      <c r="D56" s="66" t="s">
        <v>202</v>
      </c>
      <c r="E56" s="535">
        <v>1047750</v>
      </c>
      <c r="F56" s="60">
        <v>6985</v>
      </c>
      <c r="G56" s="284">
        <v>0</v>
      </c>
      <c r="H56" s="492">
        <v>0</v>
      </c>
      <c r="I56" s="151">
        <f t="shared" si="25"/>
        <v>0</v>
      </c>
      <c r="J56" s="151">
        <f t="shared" si="26"/>
        <v>0</v>
      </c>
      <c r="K56" s="530">
        <f t="shared" si="27"/>
        <v>0</v>
      </c>
      <c r="L56" s="468">
        <v>44065</v>
      </c>
      <c r="M56" s="176">
        <v>0</v>
      </c>
      <c r="N56" s="519">
        <f t="shared" si="34"/>
        <v>44065</v>
      </c>
      <c r="O56" s="494">
        <f t="shared" si="28"/>
        <v>6.3085182534001429</v>
      </c>
      <c r="P56" s="494">
        <f t="shared" si="29"/>
        <v>0</v>
      </c>
      <c r="Q56" s="37"/>
      <c r="R56" s="493">
        <f t="shared" si="30"/>
        <v>0</v>
      </c>
      <c r="S56" s="493">
        <f t="shared" si="31"/>
        <v>0</v>
      </c>
      <c r="T56" s="493">
        <f t="shared" si="32"/>
        <v>0</v>
      </c>
      <c r="U56" s="493">
        <f t="shared" si="33"/>
        <v>0</v>
      </c>
    </row>
    <row r="57" spans="1:21" s="417" customFormat="1">
      <c r="A57" s="970">
        <f t="shared" si="35"/>
        <v>45</v>
      </c>
      <c r="B57" s="66" t="s">
        <v>501</v>
      </c>
      <c r="C57" s="66" t="s">
        <v>358</v>
      </c>
      <c r="D57" s="66" t="s">
        <v>202</v>
      </c>
      <c r="E57" s="535">
        <v>7746600</v>
      </c>
      <c r="F57" s="60">
        <v>51644</v>
      </c>
      <c r="G57" s="284">
        <v>46169</v>
      </c>
      <c r="H57" s="492">
        <v>0</v>
      </c>
      <c r="I57" s="151">
        <f t="shared" si="25"/>
        <v>0</v>
      </c>
      <c r="J57" s="151">
        <f t="shared" si="26"/>
        <v>397053.39999999997</v>
      </c>
      <c r="K57" s="530">
        <f t="shared" si="27"/>
        <v>0</v>
      </c>
      <c r="L57" s="468">
        <v>344660</v>
      </c>
      <c r="M57" s="176">
        <v>0</v>
      </c>
      <c r="N57" s="519">
        <f t="shared" si="34"/>
        <v>344660</v>
      </c>
      <c r="O57" s="494">
        <f t="shared" si="28"/>
        <v>6.6737665556502206</v>
      </c>
      <c r="P57" s="494">
        <f t="shared" si="29"/>
        <v>92338</v>
      </c>
      <c r="Q57" s="37"/>
      <c r="R57" s="493">
        <f t="shared" si="30"/>
        <v>0</v>
      </c>
      <c r="S57" s="493">
        <f t="shared" si="31"/>
        <v>0</v>
      </c>
      <c r="T57" s="493">
        <f t="shared" si="32"/>
        <v>0</v>
      </c>
      <c r="U57" s="493">
        <f t="shared" si="33"/>
        <v>397053.39999999997</v>
      </c>
    </row>
    <row r="58" spans="1:21" s="417" customFormat="1">
      <c r="A58" s="219">
        <f t="shared" si="35"/>
        <v>46</v>
      </c>
      <c r="B58" s="66" t="s">
        <v>501</v>
      </c>
      <c r="C58" s="66" t="s">
        <v>358</v>
      </c>
      <c r="D58" s="66" t="s">
        <v>45</v>
      </c>
      <c r="E58" s="535">
        <v>5997875</v>
      </c>
      <c r="F58" s="60">
        <v>18455</v>
      </c>
      <c r="G58" s="284">
        <v>7780</v>
      </c>
      <c r="H58" s="492">
        <v>0</v>
      </c>
      <c r="I58" s="151">
        <f t="shared" si="25"/>
        <v>0</v>
      </c>
      <c r="J58" s="151"/>
      <c r="K58" s="530">
        <f t="shared" si="27"/>
        <v>0</v>
      </c>
      <c r="L58" s="468">
        <v>25682</v>
      </c>
      <c r="M58" s="176">
        <v>0</v>
      </c>
      <c r="N58" s="519">
        <f t="shared" ref="N58:N63" si="36">SUM(K58:M58)</f>
        <v>25682</v>
      </c>
      <c r="O58" s="494">
        <f t="shared" si="28"/>
        <v>1.3916011920888649</v>
      </c>
      <c r="P58" s="494">
        <f t="shared" si="29"/>
        <v>15560</v>
      </c>
      <c r="Q58" s="37"/>
      <c r="R58" s="493">
        <f t="shared" si="30"/>
        <v>0</v>
      </c>
      <c r="S58" s="493">
        <f t="shared" si="31"/>
        <v>252375.41999999995</v>
      </c>
      <c r="T58" s="493">
        <f t="shared" si="32"/>
        <v>0</v>
      </c>
      <c r="U58" s="493">
        <f t="shared" si="33"/>
        <v>0</v>
      </c>
    </row>
    <row r="59" spans="1:21" s="417" customFormat="1">
      <c r="A59" s="219">
        <f t="shared" si="35"/>
        <v>47</v>
      </c>
      <c r="B59" s="66" t="s">
        <v>501</v>
      </c>
      <c r="C59" s="66" t="s">
        <v>358</v>
      </c>
      <c r="D59" s="66" t="s">
        <v>63</v>
      </c>
      <c r="E59" s="535">
        <v>2145000</v>
      </c>
      <c r="F59" s="60">
        <v>7150</v>
      </c>
      <c r="G59" s="284">
        <v>7020</v>
      </c>
      <c r="H59" s="492">
        <v>0</v>
      </c>
      <c r="I59" s="151">
        <f t="shared" si="25"/>
        <v>0</v>
      </c>
      <c r="J59" s="151">
        <f t="shared" si="26"/>
        <v>80730</v>
      </c>
      <c r="K59" s="530">
        <f t="shared" si="27"/>
        <v>0</v>
      </c>
      <c r="L59" s="468">
        <v>0</v>
      </c>
      <c r="M59" s="176">
        <v>0</v>
      </c>
      <c r="N59" s="519">
        <f t="shared" si="36"/>
        <v>0</v>
      </c>
      <c r="O59" s="494">
        <f t="shared" si="28"/>
        <v>0</v>
      </c>
      <c r="P59" s="494">
        <f t="shared" si="29"/>
        <v>14040</v>
      </c>
      <c r="Q59" s="37"/>
      <c r="R59" s="493">
        <f t="shared" si="30"/>
        <v>80730</v>
      </c>
      <c r="S59" s="493">
        <f t="shared" si="31"/>
        <v>0</v>
      </c>
      <c r="T59" s="493">
        <f t="shared" si="32"/>
        <v>0</v>
      </c>
      <c r="U59" s="493">
        <f t="shared" si="33"/>
        <v>0</v>
      </c>
    </row>
    <row r="60" spans="1:21" s="417" customFormat="1">
      <c r="A60" s="219">
        <f t="shared" si="35"/>
        <v>48</v>
      </c>
      <c r="B60" s="66" t="s">
        <v>540</v>
      </c>
      <c r="C60" s="66" t="s">
        <v>357</v>
      </c>
      <c r="D60" s="66" t="s">
        <v>190</v>
      </c>
      <c r="E60" s="535">
        <v>2140500</v>
      </c>
      <c r="F60" s="60">
        <v>7135</v>
      </c>
      <c r="G60" s="284">
        <v>0</v>
      </c>
      <c r="H60" s="492">
        <v>0</v>
      </c>
      <c r="I60" s="151">
        <f t="shared" si="25"/>
        <v>0</v>
      </c>
      <c r="J60" s="151">
        <f t="shared" si="26"/>
        <v>0</v>
      </c>
      <c r="K60" s="530">
        <f t="shared" si="27"/>
        <v>0</v>
      </c>
      <c r="L60" s="468">
        <v>0</v>
      </c>
      <c r="M60" s="176">
        <v>0</v>
      </c>
      <c r="N60" s="519">
        <f t="shared" si="36"/>
        <v>0</v>
      </c>
      <c r="O60" s="494">
        <f t="shared" si="28"/>
        <v>0</v>
      </c>
      <c r="P60" s="494">
        <f t="shared" si="29"/>
        <v>0</v>
      </c>
      <c r="Q60" s="37"/>
      <c r="R60" s="493">
        <f t="shared" si="30"/>
        <v>0</v>
      </c>
      <c r="S60" s="493">
        <f t="shared" si="31"/>
        <v>0</v>
      </c>
      <c r="T60" s="493">
        <f t="shared" si="32"/>
        <v>0</v>
      </c>
      <c r="U60" s="493">
        <f t="shared" si="33"/>
        <v>0</v>
      </c>
    </row>
    <row r="61" spans="1:21" s="417" customFormat="1" ht="13">
      <c r="A61" s="989">
        <f t="shared" si="35"/>
        <v>49</v>
      </c>
      <c r="B61" s="386" t="s">
        <v>501</v>
      </c>
      <c r="C61" s="386" t="s">
        <v>357</v>
      </c>
      <c r="D61" s="386" t="s">
        <v>45</v>
      </c>
      <c r="E61" s="535">
        <v>1070250</v>
      </c>
      <c r="F61" s="60">
        <v>7135</v>
      </c>
      <c r="G61" s="284">
        <v>3000</v>
      </c>
      <c r="H61" s="492">
        <v>0</v>
      </c>
      <c r="I61" s="151">
        <f t="shared" si="25"/>
        <v>0</v>
      </c>
      <c r="J61" s="151">
        <f t="shared" si="26"/>
        <v>97316.999999999985</v>
      </c>
      <c r="K61" s="530">
        <f t="shared" si="27"/>
        <v>0</v>
      </c>
      <c r="L61" s="468">
        <v>19155</v>
      </c>
      <c r="M61" s="994">
        <f>'Existing Building Market Values'!F12</f>
        <v>1621949.9999999998</v>
      </c>
      <c r="N61" s="519">
        <f t="shared" si="36"/>
        <v>1641104.9999999998</v>
      </c>
      <c r="O61" s="494">
        <f t="shared" si="28"/>
        <v>230.00770847932722</v>
      </c>
      <c r="P61" s="494">
        <f t="shared" si="29"/>
        <v>6000</v>
      </c>
      <c r="Q61" s="37"/>
      <c r="R61" s="493">
        <f t="shared" si="30"/>
        <v>0</v>
      </c>
      <c r="S61" s="493">
        <f t="shared" si="31"/>
        <v>97316.999999999985</v>
      </c>
      <c r="T61" s="493">
        <f t="shared" si="32"/>
        <v>0</v>
      </c>
      <c r="U61" s="493">
        <f t="shared" si="33"/>
        <v>0</v>
      </c>
    </row>
    <row r="62" spans="1:21" s="417" customFormat="1" ht="13">
      <c r="A62" s="989">
        <f t="shared" si="35"/>
        <v>50</v>
      </c>
      <c r="B62" s="386" t="s">
        <v>501</v>
      </c>
      <c r="C62" s="386" t="s">
        <v>357</v>
      </c>
      <c r="D62" s="386" t="s">
        <v>202</v>
      </c>
      <c r="E62" s="535">
        <v>1070250</v>
      </c>
      <c r="F62" s="60">
        <v>7135</v>
      </c>
      <c r="G62" s="284">
        <v>7000</v>
      </c>
      <c r="H62" s="492">
        <v>0</v>
      </c>
      <c r="I62" s="151">
        <f t="shared" si="25"/>
        <v>0</v>
      </c>
      <c r="J62" s="151">
        <f t="shared" si="26"/>
        <v>60200</v>
      </c>
      <c r="K62" s="530">
        <f t="shared" si="27"/>
        <v>0</v>
      </c>
      <c r="L62" s="468">
        <v>47095</v>
      </c>
      <c r="M62" s="994">
        <f>'Existing Building Market Values'!F13</f>
        <v>1003333.3333333334</v>
      </c>
      <c r="N62" s="519">
        <f t="shared" si="36"/>
        <v>1050428.3333333335</v>
      </c>
      <c r="O62" s="494">
        <f t="shared" si="28"/>
        <v>147.22191076851206</v>
      </c>
      <c r="P62" s="494">
        <f t="shared" si="29"/>
        <v>14000</v>
      </c>
      <c r="Q62" s="37"/>
      <c r="R62" s="493">
        <f t="shared" si="30"/>
        <v>0</v>
      </c>
      <c r="S62" s="493">
        <f t="shared" si="31"/>
        <v>0</v>
      </c>
      <c r="T62" s="493">
        <f t="shared" si="32"/>
        <v>0</v>
      </c>
      <c r="U62" s="493">
        <f t="shared" si="33"/>
        <v>60200</v>
      </c>
    </row>
    <row r="63" spans="1:21" s="417" customFormat="1">
      <c r="A63" s="971">
        <v>51</v>
      </c>
      <c r="B63" s="250" t="s">
        <v>540</v>
      </c>
      <c r="C63" s="250" t="s">
        <v>357</v>
      </c>
      <c r="D63" s="250" t="s">
        <v>190</v>
      </c>
      <c r="E63" s="536">
        <v>2140500</v>
      </c>
      <c r="F63" s="998">
        <v>14270</v>
      </c>
      <c r="G63" s="537">
        <v>0</v>
      </c>
      <c r="H63" s="974">
        <v>0</v>
      </c>
      <c r="I63" s="160">
        <f t="shared" si="25"/>
        <v>0</v>
      </c>
      <c r="J63" s="160">
        <f t="shared" si="26"/>
        <v>0</v>
      </c>
      <c r="K63" s="531">
        <f t="shared" si="27"/>
        <v>0</v>
      </c>
      <c r="L63" s="497">
        <v>0</v>
      </c>
      <c r="M63" s="528">
        <v>0</v>
      </c>
      <c r="N63" s="520">
        <f t="shared" si="36"/>
        <v>0</v>
      </c>
      <c r="O63" s="498">
        <f t="shared" si="28"/>
        <v>0</v>
      </c>
      <c r="P63" s="498">
        <f t="shared" si="29"/>
        <v>0</v>
      </c>
      <c r="Q63" s="37"/>
      <c r="R63" s="493">
        <f t="shared" si="30"/>
        <v>0</v>
      </c>
      <c r="S63" s="493">
        <f t="shared" si="31"/>
        <v>0</v>
      </c>
      <c r="T63" s="493">
        <f t="shared" si="32"/>
        <v>0</v>
      </c>
      <c r="U63" s="493">
        <f t="shared" si="33"/>
        <v>0</v>
      </c>
    </row>
    <row r="64" spans="1:21" s="417" customFormat="1" ht="13.5" thickBot="1">
      <c r="A64" s="499" t="s">
        <v>189</v>
      </c>
      <c r="B64" s="128"/>
      <c r="C64" s="128"/>
      <c r="D64" s="128"/>
      <c r="E64" s="155">
        <f t="shared" ref="E64:P64" si="37">SUM(E54:E63)</f>
        <v>32528950</v>
      </c>
      <c r="F64" s="1002">
        <f t="shared" si="37"/>
        <v>163202</v>
      </c>
      <c r="G64" s="538">
        <f t="shared" si="37"/>
        <v>88676</v>
      </c>
      <c r="H64" s="500">
        <f t="shared" si="37"/>
        <v>0</v>
      </c>
      <c r="I64" s="156">
        <f t="shared" si="37"/>
        <v>0</v>
      </c>
      <c r="J64" s="156">
        <f t="shared" si="37"/>
        <v>1030118.5859999999</v>
      </c>
      <c r="K64" s="155">
        <f t="shared" si="37"/>
        <v>0</v>
      </c>
      <c r="L64" s="156">
        <f t="shared" si="37"/>
        <v>578404</v>
      </c>
      <c r="M64" s="157">
        <f t="shared" si="37"/>
        <v>3550766.1904761903</v>
      </c>
      <c r="N64" s="521">
        <f t="shared" si="37"/>
        <v>4129170.1904761903</v>
      </c>
      <c r="O64" s="501">
        <f t="shared" si="28"/>
        <v>25.300977870836082</v>
      </c>
      <c r="P64" s="521">
        <f t="shared" si="37"/>
        <v>177352</v>
      </c>
      <c r="Q64" s="37"/>
      <c r="R64" s="37"/>
      <c r="S64" s="37"/>
      <c r="T64" s="37"/>
      <c r="U64" s="37"/>
    </row>
    <row r="65" spans="1:21" s="417" customFormat="1" ht="4.5" customHeight="1">
      <c r="A65" s="65"/>
      <c r="B65" s="76"/>
      <c r="C65" s="76"/>
      <c r="D65" s="76"/>
      <c r="E65" s="65"/>
      <c r="F65" s="338"/>
      <c r="G65" s="339"/>
      <c r="H65" s="76"/>
      <c r="I65" s="76"/>
      <c r="J65" s="76"/>
      <c r="K65" s="65"/>
      <c r="L65" s="76"/>
      <c r="M65" s="121"/>
      <c r="N65" s="517"/>
      <c r="O65" s="121"/>
      <c r="P65" s="121"/>
      <c r="Q65" s="37"/>
      <c r="R65" s="37"/>
      <c r="S65" s="37"/>
      <c r="T65" s="37"/>
      <c r="U65" s="37"/>
    </row>
    <row r="66" spans="1:21" s="417" customFormat="1" ht="13">
      <c r="A66" s="975" t="s">
        <v>363</v>
      </c>
      <c r="B66" s="490"/>
      <c r="C66" s="490"/>
      <c r="D66" s="490"/>
      <c r="E66" s="64"/>
      <c r="F66" s="76"/>
      <c r="G66" s="121"/>
      <c r="H66" s="76"/>
      <c r="I66" s="76"/>
      <c r="J66" s="76"/>
      <c r="K66" s="65"/>
      <c r="L66" s="76"/>
      <c r="M66" s="121"/>
      <c r="N66" s="517"/>
      <c r="O66" s="121"/>
      <c r="P66" s="121"/>
      <c r="Q66" s="37"/>
      <c r="R66" s="37"/>
      <c r="S66" s="37"/>
      <c r="T66" s="37"/>
      <c r="U66" s="37"/>
    </row>
    <row r="67" spans="1:21" s="417" customFormat="1">
      <c r="A67" s="219">
        <v>4</v>
      </c>
      <c r="B67" s="66" t="s">
        <v>501</v>
      </c>
      <c r="C67" s="66" t="s">
        <v>358</v>
      </c>
      <c r="D67" s="66" t="s">
        <v>202</v>
      </c>
      <c r="E67" s="534">
        <v>2388945</v>
      </c>
      <c r="F67" s="60">
        <v>36753</v>
      </c>
      <c r="G67" s="284">
        <v>21200</v>
      </c>
      <c r="H67" s="495">
        <f>F67/$E$135</f>
        <v>114.85312500000001</v>
      </c>
      <c r="I67" s="493">
        <f t="shared" ref="I67:I78" si="38">H67*$E$136*$E$137*365</f>
        <v>377292.51562500006</v>
      </c>
      <c r="J67" s="493">
        <f t="shared" ref="J67:J78" si="39">MAX(R67:U67)</f>
        <v>182320</v>
      </c>
      <c r="K67" s="526">
        <f t="shared" ref="K67:K78" si="40">I67/$E$138</f>
        <v>4716156.4453125009</v>
      </c>
      <c r="L67" s="491">
        <v>93933</v>
      </c>
      <c r="M67" s="529">
        <v>0</v>
      </c>
      <c r="N67" s="518">
        <f t="shared" ref="N67:N78" si="41">SUM(K67:M67)</f>
        <v>4810089.4453125009</v>
      </c>
      <c r="O67" s="438">
        <f t="shared" ref="O67:O79" si="42">N67/F67</f>
        <v>130.87610386397031</v>
      </c>
      <c r="P67" s="438">
        <f t="shared" ref="P67:P78" si="43">IF(G67&gt;0,G67*2,0)</f>
        <v>42400</v>
      </c>
      <c r="Q67" s="37"/>
      <c r="R67" s="493">
        <f t="shared" ref="R67:R78" si="44">IF($D67=R$4,($G67*$E$111*(1-$E$112))-($G67*$E$112*$E$114),0)</f>
        <v>0</v>
      </c>
      <c r="S67" s="493">
        <f t="shared" ref="S67:S78" si="45">IF($D67=S$4,($G67*$E$117*(1-$E$118))-($G67*$E$118*$E$120),0)</f>
        <v>0</v>
      </c>
      <c r="T67" s="493">
        <f t="shared" ref="T67:T78" si="46">IF($D67=T$4,($G67*$E$123*(1-$E$124))-($G67*$E$124*$E$126),0)</f>
        <v>0</v>
      </c>
      <c r="U67" s="493">
        <f t="shared" ref="U67:U78" si="47">IF($D67=U$4,($G67*$E$129*(1-$E$130))-($G67*$E$130*$E$132),0)</f>
        <v>182320</v>
      </c>
    </row>
    <row r="68" spans="1:21" s="417" customFormat="1">
      <c r="A68" s="219">
        <f>A67+1</f>
        <v>5</v>
      </c>
      <c r="B68" s="66" t="s">
        <v>540</v>
      </c>
      <c r="C68" s="66" t="s">
        <v>358</v>
      </c>
      <c r="D68" s="66" t="s">
        <v>190</v>
      </c>
      <c r="E68" s="535">
        <v>284440</v>
      </c>
      <c r="F68" s="60">
        <v>2188</v>
      </c>
      <c r="G68" s="284">
        <v>0</v>
      </c>
      <c r="H68" s="495">
        <f>F68/$E$135</f>
        <v>6.8375000000000004</v>
      </c>
      <c r="I68" s="151">
        <f t="shared" si="38"/>
        <v>22461.1875</v>
      </c>
      <c r="J68" s="151">
        <f t="shared" si="39"/>
        <v>0</v>
      </c>
      <c r="K68" s="150">
        <f t="shared" si="40"/>
        <v>280764.84375</v>
      </c>
      <c r="L68" s="468">
        <v>0</v>
      </c>
      <c r="M68" s="527">
        <v>0</v>
      </c>
      <c r="N68" s="519">
        <f t="shared" si="41"/>
        <v>280764.84375</v>
      </c>
      <c r="O68" s="494">
        <f t="shared" si="42"/>
        <v>128.3203125</v>
      </c>
      <c r="P68" s="494">
        <f t="shared" si="43"/>
        <v>0</v>
      </c>
      <c r="Q68" s="37"/>
      <c r="R68" s="493">
        <f t="shared" si="44"/>
        <v>0</v>
      </c>
      <c r="S68" s="493">
        <f t="shared" si="45"/>
        <v>0</v>
      </c>
      <c r="T68" s="493">
        <f t="shared" si="46"/>
        <v>0</v>
      </c>
      <c r="U68" s="493">
        <f t="shared" si="47"/>
        <v>0</v>
      </c>
    </row>
    <row r="69" spans="1:21" s="417" customFormat="1">
      <c r="A69" s="219">
        <f t="shared" ref="A69:A77" si="48">A68+1</f>
        <v>6</v>
      </c>
      <c r="B69" s="66" t="s">
        <v>540</v>
      </c>
      <c r="C69" s="66" t="s">
        <v>358</v>
      </c>
      <c r="D69" s="66" t="s">
        <v>190</v>
      </c>
      <c r="E69" s="535">
        <v>306800</v>
      </c>
      <c r="F69" s="60">
        <v>2360</v>
      </c>
      <c r="G69" s="284">
        <v>0</v>
      </c>
      <c r="H69" s="495">
        <f>F69/$E$135</f>
        <v>7.375</v>
      </c>
      <c r="I69" s="151">
        <f t="shared" si="38"/>
        <v>24226.875</v>
      </c>
      <c r="J69" s="151">
        <f t="shared" si="39"/>
        <v>0</v>
      </c>
      <c r="K69" s="150">
        <f t="shared" si="40"/>
        <v>302835.9375</v>
      </c>
      <c r="L69" s="468">
        <v>0</v>
      </c>
      <c r="M69" s="527">
        <v>0</v>
      </c>
      <c r="N69" s="519">
        <f t="shared" si="41"/>
        <v>302835.9375</v>
      </c>
      <c r="O69" s="494">
        <f t="shared" si="42"/>
        <v>128.3203125</v>
      </c>
      <c r="P69" s="494">
        <f t="shared" si="43"/>
        <v>0</v>
      </c>
      <c r="Q69" s="37"/>
      <c r="R69" s="493">
        <f t="shared" si="44"/>
        <v>0</v>
      </c>
      <c r="S69" s="493">
        <f t="shared" si="45"/>
        <v>0</v>
      </c>
      <c r="T69" s="493">
        <f t="shared" si="46"/>
        <v>0</v>
      </c>
      <c r="U69" s="493">
        <f t="shared" si="47"/>
        <v>0</v>
      </c>
    </row>
    <row r="70" spans="1:21" s="417" customFormat="1">
      <c r="A70" s="219">
        <f t="shared" si="48"/>
        <v>7</v>
      </c>
      <c r="B70" s="66" t="s">
        <v>501</v>
      </c>
      <c r="C70" s="66" t="s">
        <v>358</v>
      </c>
      <c r="D70" s="66" t="s">
        <v>202</v>
      </c>
      <c r="E70" s="535">
        <v>304720</v>
      </c>
      <c r="F70" s="60">
        <v>4688</v>
      </c>
      <c r="G70" s="284">
        <v>3294</v>
      </c>
      <c r="H70" s="502">
        <v>0</v>
      </c>
      <c r="I70" s="151">
        <f t="shared" si="38"/>
        <v>0</v>
      </c>
      <c r="J70" s="151">
        <f t="shared" si="39"/>
        <v>28328.400000000001</v>
      </c>
      <c r="K70" s="530">
        <f t="shared" si="40"/>
        <v>0</v>
      </c>
      <c r="L70" s="468">
        <v>3908</v>
      </c>
      <c r="M70" s="527">
        <v>0</v>
      </c>
      <c r="N70" s="519">
        <f t="shared" si="41"/>
        <v>3908</v>
      </c>
      <c r="O70" s="494">
        <f t="shared" si="42"/>
        <v>0.83361774744027306</v>
      </c>
      <c r="P70" s="494">
        <f t="shared" si="43"/>
        <v>6588</v>
      </c>
      <c r="Q70" s="37"/>
      <c r="R70" s="493">
        <f t="shared" si="44"/>
        <v>0</v>
      </c>
      <c r="S70" s="493">
        <f t="shared" si="45"/>
        <v>0</v>
      </c>
      <c r="T70" s="493">
        <f t="shared" si="46"/>
        <v>0</v>
      </c>
      <c r="U70" s="493">
        <f t="shared" si="47"/>
        <v>28328.400000000001</v>
      </c>
    </row>
    <row r="71" spans="1:21" s="417" customFormat="1">
      <c r="A71" s="219">
        <f t="shared" si="48"/>
        <v>8</v>
      </c>
      <c r="B71" s="66" t="s">
        <v>540</v>
      </c>
      <c r="C71" s="66" t="s">
        <v>357</v>
      </c>
      <c r="D71" s="66" t="s">
        <v>190</v>
      </c>
      <c r="E71" s="535">
        <v>243750</v>
      </c>
      <c r="F71" s="60">
        <v>1875</v>
      </c>
      <c r="G71" s="284">
        <v>0</v>
      </c>
      <c r="H71" s="502">
        <v>0</v>
      </c>
      <c r="I71" s="151">
        <f t="shared" si="38"/>
        <v>0</v>
      </c>
      <c r="J71" s="151">
        <f t="shared" si="39"/>
        <v>0</v>
      </c>
      <c r="K71" s="150">
        <f t="shared" si="40"/>
        <v>0</v>
      </c>
      <c r="L71" s="468">
        <v>0</v>
      </c>
      <c r="M71" s="527">
        <v>0</v>
      </c>
      <c r="N71" s="519">
        <f t="shared" si="41"/>
        <v>0</v>
      </c>
      <c r="O71" s="494">
        <f t="shared" si="42"/>
        <v>0</v>
      </c>
      <c r="P71" s="494">
        <f t="shared" si="43"/>
        <v>0</v>
      </c>
      <c r="Q71" s="37"/>
      <c r="R71" s="493">
        <f t="shared" si="44"/>
        <v>0</v>
      </c>
      <c r="S71" s="493">
        <f t="shared" si="45"/>
        <v>0</v>
      </c>
      <c r="T71" s="493">
        <f t="shared" si="46"/>
        <v>0</v>
      </c>
      <c r="U71" s="493">
        <f t="shared" si="47"/>
        <v>0</v>
      </c>
    </row>
    <row r="72" spans="1:21" s="417" customFormat="1" ht="13">
      <c r="A72" s="989">
        <f t="shared" si="48"/>
        <v>9</v>
      </c>
      <c r="B72" s="386" t="s">
        <v>501</v>
      </c>
      <c r="C72" s="386" t="s">
        <v>357</v>
      </c>
      <c r="D72" s="386" t="s">
        <v>359</v>
      </c>
      <c r="E72" s="535">
        <v>306250</v>
      </c>
      <c r="F72" s="60">
        <v>1750</v>
      </c>
      <c r="G72" s="284">
        <v>984</v>
      </c>
      <c r="H72" s="495">
        <f t="shared" ref="H72:H77" si="49">F72/$E$135</f>
        <v>5.46875</v>
      </c>
      <c r="I72" s="151">
        <f t="shared" si="38"/>
        <v>17964.84375</v>
      </c>
      <c r="J72" s="151">
        <f t="shared" si="39"/>
        <v>22482.432000000001</v>
      </c>
      <c r="K72" s="150">
        <f t="shared" si="40"/>
        <v>224560.546875</v>
      </c>
      <c r="L72" s="468">
        <v>0</v>
      </c>
      <c r="M72" s="994">
        <f>'Existing Building Market Values'!F14</f>
        <v>374707.20000000001</v>
      </c>
      <c r="N72" s="519">
        <f t="shared" si="41"/>
        <v>599267.74687499995</v>
      </c>
      <c r="O72" s="494">
        <f t="shared" si="42"/>
        <v>342.43871249999995</v>
      </c>
      <c r="P72" s="494">
        <f t="shared" si="43"/>
        <v>1968</v>
      </c>
      <c r="Q72" s="37"/>
      <c r="R72" s="493">
        <f t="shared" si="44"/>
        <v>0</v>
      </c>
      <c r="S72" s="493">
        <f t="shared" si="45"/>
        <v>0</v>
      </c>
      <c r="T72" s="493">
        <f t="shared" si="46"/>
        <v>22482.432000000001</v>
      </c>
      <c r="U72" s="493">
        <f t="shared" si="47"/>
        <v>0</v>
      </c>
    </row>
    <row r="73" spans="1:21" s="417" customFormat="1">
      <c r="A73" s="219">
        <f t="shared" si="48"/>
        <v>10</v>
      </c>
      <c r="B73" s="66" t="s">
        <v>540</v>
      </c>
      <c r="C73" s="66" t="s">
        <v>357</v>
      </c>
      <c r="D73" s="66" t="s">
        <v>190</v>
      </c>
      <c r="E73" s="535">
        <v>612500</v>
      </c>
      <c r="F73" s="60">
        <v>3500</v>
      </c>
      <c r="G73" s="284">
        <v>0</v>
      </c>
      <c r="H73" s="495">
        <f t="shared" si="49"/>
        <v>10.9375</v>
      </c>
      <c r="I73" s="151">
        <f t="shared" si="38"/>
        <v>35929.6875</v>
      </c>
      <c r="J73" s="151">
        <f t="shared" si="39"/>
        <v>0</v>
      </c>
      <c r="K73" s="150">
        <f t="shared" si="40"/>
        <v>449121.09375</v>
      </c>
      <c r="L73" s="468">
        <v>0</v>
      </c>
      <c r="M73" s="527">
        <v>0</v>
      </c>
      <c r="N73" s="519">
        <f t="shared" si="41"/>
        <v>449121.09375</v>
      </c>
      <c r="O73" s="494">
        <f t="shared" si="42"/>
        <v>128.3203125</v>
      </c>
      <c r="P73" s="494">
        <f t="shared" si="43"/>
        <v>0</v>
      </c>
      <c r="Q73" s="37"/>
      <c r="R73" s="493">
        <f t="shared" si="44"/>
        <v>0</v>
      </c>
      <c r="S73" s="493">
        <f t="shared" si="45"/>
        <v>0</v>
      </c>
      <c r="T73" s="493">
        <f t="shared" si="46"/>
        <v>0</v>
      </c>
      <c r="U73" s="493">
        <f t="shared" si="47"/>
        <v>0</v>
      </c>
    </row>
    <row r="74" spans="1:21" s="417" customFormat="1">
      <c r="A74" s="970">
        <f t="shared" si="48"/>
        <v>11</v>
      </c>
      <c r="B74" s="66" t="s">
        <v>540</v>
      </c>
      <c r="C74" s="66" t="s">
        <v>357</v>
      </c>
      <c r="D74" s="66" t="s">
        <v>367</v>
      </c>
      <c r="E74" s="535">
        <v>2362500</v>
      </c>
      <c r="F74" s="60">
        <v>10500</v>
      </c>
      <c r="G74" s="284">
        <v>0</v>
      </c>
      <c r="H74" s="495">
        <f t="shared" si="49"/>
        <v>32.8125</v>
      </c>
      <c r="I74" s="151">
        <f t="shared" si="38"/>
        <v>107789.0625</v>
      </c>
      <c r="J74" s="151">
        <f t="shared" si="39"/>
        <v>0</v>
      </c>
      <c r="K74" s="150">
        <f t="shared" si="40"/>
        <v>1347363.28125</v>
      </c>
      <c r="L74" s="468">
        <v>9776</v>
      </c>
      <c r="M74" s="527">
        <v>0</v>
      </c>
      <c r="N74" s="519">
        <f t="shared" si="41"/>
        <v>1357139.28125</v>
      </c>
      <c r="O74" s="494">
        <f t="shared" si="42"/>
        <v>129.25136011904763</v>
      </c>
      <c r="P74" s="494">
        <f t="shared" si="43"/>
        <v>0</v>
      </c>
      <c r="Q74" s="37"/>
      <c r="R74" s="493">
        <f t="shared" si="44"/>
        <v>0</v>
      </c>
      <c r="S74" s="493">
        <f t="shared" si="45"/>
        <v>0</v>
      </c>
      <c r="T74" s="493">
        <f t="shared" si="46"/>
        <v>0</v>
      </c>
      <c r="U74" s="493">
        <f t="shared" si="47"/>
        <v>0</v>
      </c>
    </row>
    <row r="75" spans="1:21" s="417" customFormat="1">
      <c r="A75" s="219">
        <f t="shared" si="48"/>
        <v>12</v>
      </c>
      <c r="B75" s="66" t="s">
        <v>540</v>
      </c>
      <c r="C75" s="66" t="s">
        <v>358</v>
      </c>
      <c r="D75" s="66" t="s">
        <v>190</v>
      </c>
      <c r="E75" s="535">
        <v>910000</v>
      </c>
      <c r="F75" s="60">
        <v>14000</v>
      </c>
      <c r="G75" s="284">
        <v>0</v>
      </c>
      <c r="H75" s="495">
        <f t="shared" si="49"/>
        <v>43.75</v>
      </c>
      <c r="I75" s="151">
        <f t="shared" si="38"/>
        <v>143718.75</v>
      </c>
      <c r="J75" s="151">
        <f t="shared" si="39"/>
        <v>0</v>
      </c>
      <c r="K75" s="150">
        <f t="shared" si="40"/>
        <v>1796484.375</v>
      </c>
      <c r="L75" s="468">
        <v>0</v>
      </c>
      <c r="M75" s="527">
        <v>0</v>
      </c>
      <c r="N75" s="519">
        <f t="shared" si="41"/>
        <v>1796484.375</v>
      </c>
      <c r="O75" s="494">
        <f t="shared" si="42"/>
        <v>128.3203125</v>
      </c>
      <c r="P75" s="494">
        <f t="shared" si="43"/>
        <v>0</v>
      </c>
      <c r="Q75" s="37"/>
      <c r="R75" s="493">
        <f t="shared" si="44"/>
        <v>0</v>
      </c>
      <c r="S75" s="493">
        <f t="shared" si="45"/>
        <v>0</v>
      </c>
      <c r="T75" s="493">
        <f t="shared" si="46"/>
        <v>0</v>
      </c>
      <c r="U75" s="493">
        <f t="shared" si="47"/>
        <v>0</v>
      </c>
    </row>
    <row r="76" spans="1:21" s="417" customFormat="1">
      <c r="A76" s="219">
        <f t="shared" si="48"/>
        <v>13</v>
      </c>
      <c r="B76" s="66" t="s">
        <v>540</v>
      </c>
      <c r="C76" s="66" t="s">
        <v>358</v>
      </c>
      <c r="D76" s="66" t="s">
        <v>190</v>
      </c>
      <c r="E76" s="535">
        <v>612500</v>
      </c>
      <c r="F76" s="60">
        <v>7000</v>
      </c>
      <c r="G76" s="284">
        <v>0</v>
      </c>
      <c r="H76" s="495">
        <f t="shared" si="49"/>
        <v>21.875</v>
      </c>
      <c r="I76" s="151">
        <f t="shared" si="38"/>
        <v>71859.375</v>
      </c>
      <c r="J76" s="151">
        <f t="shared" si="39"/>
        <v>0</v>
      </c>
      <c r="K76" s="150">
        <f t="shared" si="40"/>
        <v>898242.1875</v>
      </c>
      <c r="L76" s="468">
        <v>0</v>
      </c>
      <c r="M76" s="527">
        <v>0</v>
      </c>
      <c r="N76" s="519">
        <f t="shared" si="41"/>
        <v>898242.1875</v>
      </c>
      <c r="O76" s="494">
        <f t="shared" si="42"/>
        <v>128.3203125</v>
      </c>
      <c r="P76" s="494">
        <f t="shared" si="43"/>
        <v>0</v>
      </c>
      <c r="Q76" s="37"/>
      <c r="R76" s="493">
        <f t="shared" si="44"/>
        <v>0</v>
      </c>
      <c r="S76" s="493">
        <f t="shared" si="45"/>
        <v>0</v>
      </c>
      <c r="T76" s="493">
        <f t="shared" si="46"/>
        <v>0</v>
      </c>
      <c r="U76" s="493">
        <f t="shared" si="47"/>
        <v>0</v>
      </c>
    </row>
    <row r="77" spans="1:21" s="417" customFormat="1">
      <c r="A77" s="219">
        <f t="shared" si="48"/>
        <v>14</v>
      </c>
      <c r="B77" s="66" t="s">
        <v>540</v>
      </c>
      <c r="C77" s="66" t="s">
        <v>358</v>
      </c>
      <c r="D77" s="66" t="s">
        <v>190</v>
      </c>
      <c r="E77" s="535">
        <v>612500</v>
      </c>
      <c r="F77" s="60">
        <v>7000</v>
      </c>
      <c r="G77" s="284">
        <v>0</v>
      </c>
      <c r="H77" s="495">
        <f t="shared" si="49"/>
        <v>21.875</v>
      </c>
      <c r="I77" s="151">
        <f t="shared" si="38"/>
        <v>71859.375</v>
      </c>
      <c r="J77" s="151">
        <f t="shared" si="39"/>
        <v>0</v>
      </c>
      <c r="K77" s="150">
        <f t="shared" si="40"/>
        <v>898242.1875</v>
      </c>
      <c r="L77" s="468">
        <v>0</v>
      </c>
      <c r="M77" s="527">
        <v>0</v>
      </c>
      <c r="N77" s="519">
        <f t="shared" si="41"/>
        <v>898242.1875</v>
      </c>
      <c r="O77" s="494">
        <f t="shared" si="42"/>
        <v>128.3203125</v>
      </c>
      <c r="P77" s="494">
        <f t="shared" si="43"/>
        <v>0</v>
      </c>
      <c r="Q77" s="37"/>
      <c r="R77" s="493">
        <f t="shared" si="44"/>
        <v>0</v>
      </c>
      <c r="S77" s="493">
        <f t="shared" si="45"/>
        <v>0</v>
      </c>
      <c r="T77" s="493">
        <f t="shared" si="46"/>
        <v>0</v>
      </c>
      <c r="U77" s="493">
        <f t="shared" si="47"/>
        <v>0</v>
      </c>
    </row>
    <row r="78" spans="1:21" s="417" customFormat="1">
      <c r="A78" s="972">
        <v>15</v>
      </c>
      <c r="B78" s="250" t="s">
        <v>540</v>
      </c>
      <c r="C78" s="250" t="s">
        <v>357</v>
      </c>
      <c r="D78" s="250" t="s">
        <v>367</v>
      </c>
      <c r="E78" s="536">
        <v>3948750</v>
      </c>
      <c r="F78" s="998">
        <v>17550</v>
      </c>
      <c r="G78" s="537">
        <v>0</v>
      </c>
      <c r="H78" s="496">
        <v>0</v>
      </c>
      <c r="I78" s="160">
        <f t="shared" si="38"/>
        <v>0</v>
      </c>
      <c r="J78" s="160">
        <f t="shared" si="39"/>
        <v>0</v>
      </c>
      <c r="K78" s="159">
        <f t="shared" si="40"/>
        <v>0</v>
      </c>
      <c r="L78" s="497">
        <v>14508</v>
      </c>
      <c r="M78" s="178">
        <f>'Existing Building Market Values'!F20</f>
        <v>0</v>
      </c>
      <c r="N78" s="520">
        <f t="shared" si="41"/>
        <v>14508</v>
      </c>
      <c r="O78" s="498">
        <f t="shared" si="42"/>
        <v>0.82666666666666666</v>
      </c>
      <c r="P78" s="498">
        <f t="shared" si="43"/>
        <v>0</v>
      </c>
      <c r="Q78" s="37"/>
      <c r="R78" s="493">
        <f t="shared" si="44"/>
        <v>0</v>
      </c>
      <c r="S78" s="493">
        <f t="shared" si="45"/>
        <v>0</v>
      </c>
      <c r="T78" s="493">
        <f t="shared" si="46"/>
        <v>0</v>
      </c>
      <c r="U78" s="493">
        <f t="shared" si="47"/>
        <v>0</v>
      </c>
    </row>
    <row r="79" spans="1:21" s="417" customFormat="1" ht="13.5" thickBot="1">
      <c r="A79" s="499" t="s">
        <v>364</v>
      </c>
      <c r="B79" s="128"/>
      <c r="C79" s="128"/>
      <c r="D79" s="128"/>
      <c r="E79" s="155">
        <f t="shared" ref="E79:P79" si="50">SUM(E67:E78)</f>
        <v>12893655</v>
      </c>
      <c r="F79" s="1002">
        <f t="shared" si="50"/>
        <v>109164</v>
      </c>
      <c r="G79" s="538">
        <f t="shared" si="50"/>
        <v>25478</v>
      </c>
      <c r="H79" s="500">
        <f t="shared" si="50"/>
        <v>265.78437500000001</v>
      </c>
      <c r="I79" s="156">
        <f t="shared" si="50"/>
        <v>873101.671875</v>
      </c>
      <c r="J79" s="156">
        <f t="shared" si="50"/>
        <v>233130.83199999999</v>
      </c>
      <c r="K79" s="155">
        <f t="shared" si="50"/>
        <v>10913770.8984375</v>
      </c>
      <c r="L79" s="156">
        <f t="shared" si="50"/>
        <v>122125</v>
      </c>
      <c r="M79" s="157">
        <f t="shared" si="50"/>
        <v>374707.20000000001</v>
      </c>
      <c r="N79" s="521">
        <f t="shared" si="50"/>
        <v>11410603.098437501</v>
      </c>
      <c r="O79" s="501">
        <f t="shared" si="42"/>
        <v>104.52716187055715</v>
      </c>
      <c r="P79" s="501">
        <f t="shared" si="50"/>
        <v>50956</v>
      </c>
      <c r="Q79" s="37"/>
      <c r="R79" s="37"/>
      <c r="S79" s="37"/>
      <c r="T79" s="37"/>
      <c r="U79" s="37"/>
    </row>
    <row r="80" spans="1:21" s="417" customFormat="1" ht="4.5" customHeight="1">
      <c r="A80" s="503"/>
      <c r="B80" s="504"/>
      <c r="C80" s="504"/>
      <c r="D80" s="504"/>
      <c r="E80" s="503"/>
      <c r="F80" s="505"/>
      <c r="G80" s="505"/>
      <c r="H80" s="504"/>
      <c r="I80" s="504"/>
      <c r="J80" s="504"/>
      <c r="K80" s="503"/>
      <c r="L80" s="504"/>
      <c r="M80" s="505"/>
      <c r="N80" s="522"/>
      <c r="O80" s="505"/>
      <c r="P80" s="505"/>
      <c r="Q80" s="37"/>
      <c r="R80" s="37"/>
      <c r="S80" s="37"/>
      <c r="T80" s="37"/>
      <c r="U80" s="37"/>
    </row>
    <row r="81" spans="1:21" s="417" customFormat="1" ht="13">
      <c r="A81" s="975" t="s">
        <v>366</v>
      </c>
      <c r="B81" s="490"/>
      <c r="C81" s="490"/>
      <c r="D81" s="490"/>
      <c r="E81" s="64"/>
      <c r="F81" s="76"/>
      <c r="G81" s="121"/>
      <c r="H81" s="76"/>
      <c r="I81" s="76"/>
      <c r="J81" s="76"/>
      <c r="K81" s="65"/>
      <c r="L81" s="76"/>
      <c r="M81" s="121"/>
      <c r="N81" s="517"/>
      <c r="O81" s="121"/>
      <c r="P81" s="121"/>
      <c r="Q81" s="37"/>
      <c r="R81" s="37"/>
      <c r="S81" s="37"/>
      <c r="T81" s="37"/>
      <c r="U81" s="37"/>
    </row>
    <row r="82" spans="1:21" s="417" customFormat="1">
      <c r="A82" s="219">
        <v>16</v>
      </c>
      <c r="B82" s="66" t="s">
        <v>501</v>
      </c>
      <c r="C82" s="66" t="s">
        <v>358</v>
      </c>
      <c r="D82" s="66" t="s">
        <v>202</v>
      </c>
      <c r="E82" s="534">
        <v>5773625</v>
      </c>
      <c r="F82" s="60">
        <v>52250</v>
      </c>
      <c r="G82" s="284">
        <v>72978</v>
      </c>
      <c r="H82" s="502">
        <v>0</v>
      </c>
      <c r="I82" s="493">
        <f t="shared" ref="I82:I98" si="51">H82*$E$136*$E$137*365</f>
        <v>0</v>
      </c>
      <c r="J82" s="493">
        <f t="shared" ref="J82:J98" si="52">MAX(R82:U82)</f>
        <v>627610.79999999993</v>
      </c>
      <c r="K82" s="526">
        <f t="shared" ref="K82:K98" si="53">I82/$E$138</f>
        <v>0</v>
      </c>
      <c r="L82" s="491">
        <v>706239</v>
      </c>
      <c r="M82" s="529">
        <v>0</v>
      </c>
      <c r="N82" s="518">
        <f>SUM(K82:M82)</f>
        <v>706239</v>
      </c>
      <c r="O82" s="438">
        <f t="shared" ref="O82:O99" si="54">N82/F82</f>
        <v>13.516535885167464</v>
      </c>
      <c r="P82" s="438">
        <f t="shared" ref="P82:P98" si="55">IF(G82&gt;0,G82*2,0)</f>
        <v>145956</v>
      </c>
      <c r="Q82" s="37"/>
      <c r="R82" s="493">
        <f t="shared" ref="R82:R98" si="56">IF($D82=R$4,($G82*$E$111*(1-$E$112))-($G82*$E$112*$E$114),0)</f>
        <v>0</v>
      </c>
      <c r="S82" s="493">
        <f t="shared" ref="S82:S98" si="57">IF($D82=S$4,($G82*$E$117*(1-$E$118))-($G82*$E$118*$E$120),0)</f>
        <v>0</v>
      </c>
      <c r="T82" s="493">
        <f t="shared" ref="T82:T98" si="58">IF($D82=T$4,($G82*$E$123*(1-$E$124))-($G82*$E$124*$E$126),0)</f>
        <v>0</v>
      </c>
      <c r="U82" s="493">
        <f t="shared" ref="U82:U98" si="59">IF($D82=U$4,($G82*$E$129*(1-$E$130))-($G82*$E$130*$E$132),0)</f>
        <v>627610.79999999993</v>
      </c>
    </row>
    <row r="83" spans="1:21" s="417" customFormat="1">
      <c r="A83" s="219">
        <f>A82+1</f>
        <v>17</v>
      </c>
      <c r="B83" s="66" t="s">
        <v>501</v>
      </c>
      <c r="C83" s="66" t="s">
        <v>358</v>
      </c>
      <c r="D83" s="66" t="s">
        <v>202</v>
      </c>
      <c r="E83" s="535">
        <v>1820000</v>
      </c>
      <c r="F83" s="60">
        <v>14000</v>
      </c>
      <c r="G83" s="284">
        <v>1350</v>
      </c>
      <c r="H83" s="502">
        <v>0</v>
      </c>
      <c r="I83" s="151">
        <f t="shared" si="51"/>
        <v>0</v>
      </c>
      <c r="J83" s="151">
        <f t="shared" si="52"/>
        <v>11610</v>
      </c>
      <c r="K83" s="150">
        <f t="shared" si="53"/>
        <v>0</v>
      </c>
      <c r="L83" s="468">
        <v>2888</v>
      </c>
      <c r="M83" s="527">
        <v>0</v>
      </c>
      <c r="N83" s="519">
        <f t="shared" ref="N83:N84" si="60">SUM(K83:M83)</f>
        <v>2888</v>
      </c>
      <c r="O83" s="494">
        <f t="shared" si="54"/>
        <v>0.20628571428571429</v>
      </c>
      <c r="P83" s="494">
        <f t="shared" si="55"/>
        <v>2700</v>
      </c>
      <c r="Q83" s="37"/>
      <c r="R83" s="493">
        <f t="shared" si="56"/>
        <v>0</v>
      </c>
      <c r="S83" s="493">
        <f t="shared" si="57"/>
        <v>0</v>
      </c>
      <c r="T83" s="493">
        <f t="shared" si="58"/>
        <v>0</v>
      </c>
      <c r="U83" s="493">
        <f t="shared" si="59"/>
        <v>11610</v>
      </c>
    </row>
    <row r="84" spans="1:21" s="417" customFormat="1">
      <c r="A84" s="219">
        <f t="shared" ref="A84:A97" si="61">A83+1</f>
        <v>18</v>
      </c>
      <c r="B84" s="66" t="s">
        <v>540</v>
      </c>
      <c r="C84" s="66" t="s">
        <v>358</v>
      </c>
      <c r="D84" s="66" t="s">
        <v>190</v>
      </c>
      <c r="E84" s="535">
        <v>910000</v>
      </c>
      <c r="F84" s="60">
        <v>7000</v>
      </c>
      <c r="G84" s="284">
        <v>0</v>
      </c>
      <c r="H84" s="502">
        <v>0</v>
      </c>
      <c r="I84" s="151">
        <f t="shared" si="51"/>
        <v>0</v>
      </c>
      <c r="J84" s="151">
        <f t="shared" si="52"/>
        <v>0</v>
      </c>
      <c r="K84" s="530">
        <f t="shared" si="53"/>
        <v>0</v>
      </c>
      <c r="L84" s="468">
        <v>0</v>
      </c>
      <c r="M84" s="527">
        <v>0</v>
      </c>
      <c r="N84" s="519">
        <f t="shared" si="60"/>
        <v>0</v>
      </c>
      <c r="O84" s="494">
        <f t="shared" si="54"/>
        <v>0</v>
      </c>
      <c r="P84" s="494">
        <f t="shared" si="55"/>
        <v>0</v>
      </c>
      <c r="Q84" s="37"/>
      <c r="R84" s="493">
        <f t="shared" si="56"/>
        <v>0</v>
      </c>
      <c r="S84" s="493">
        <f t="shared" si="57"/>
        <v>0</v>
      </c>
      <c r="T84" s="493">
        <f t="shared" si="58"/>
        <v>0</v>
      </c>
      <c r="U84" s="493">
        <f t="shared" si="59"/>
        <v>0</v>
      </c>
    </row>
    <row r="85" spans="1:21" s="417" customFormat="1">
      <c r="A85" s="219">
        <f t="shared" si="61"/>
        <v>19</v>
      </c>
      <c r="B85" s="66" t="s">
        <v>501</v>
      </c>
      <c r="C85" s="66" t="s">
        <v>358</v>
      </c>
      <c r="D85" s="66" t="s">
        <v>359</v>
      </c>
      <c r="E85" s="535">
        <v>910000</v>
      </c>
      <c r="F85" s="60">
        <v>7000</v>
      </c>
      <c r="G85" s="284">
        <v>2164</v>
      </c>
      <c r="H85" s="502">
        <v>0</v>
      </c>
      <c r="I85" s="151">
        <f t="shared" si="51"/>
        <v>0</v>
      </c>
      <c r="J85" s="151">
        <f t="shared" si="52"/>
        <v>49443.072</v>
      </c>
      <c r="K85" s="530">
        <f t="shared" si="53"/>
        <v>0</v>
      </c>
      <c r="L85" s="468">
        <v>0</v>
      </c>
      <c r="M85" s="527">
        <v>0</v>
      </c>
      <c r="N85" s="519">
        <f t="shared" ref="N85:N98" si="62">SUM(K85:M85)</f>
        <v>0</v>
      </c>
      <c r="O85" s="494">
        <f t="shared" si="54"/>
        <v>0</v>
      </c>
      <c r="P85" s="494">
        <f t="shared" si="55"/>
        <v>4328</v>
      </c>
      <c r="Q85" s="37"/>
      <c r="R85" s="493">
        <f t="shared" si="56"/>
        <v>0</v>
      </c>
      <c r="S85" s="493">
        <f t="shared" si="57"/>
        <v>0</v>
      </c>
      <c r="T85" s="493">
        <f t="shared" si="58"/>
        <v>49443.072</v>
      </c>
      <c r="U85" s="493">
        <f t="shared" si="59"/>
        <v>0</v>
      </c>
    </row>
    <row r="86" spans="1:21" s="417" customFormat="1">
      <c r="A86" s="219">
        <f t="shared" si="61"/>
        <v>20</v>
      </c>
      <c r="B86" s="66" t="s">
        <v>501</v>
      </c>
      <c r="C86" s="66" t="s">
        <v>358</v>
      </c>
      <c r="D86" s="66" t="s">
        <v>359</v>
      </c>
      <c r="E86" s="535">
        <v>1225000</v>
      </c>
      <c r="F86" s="60">
        <v>7000</v>
      </c>
      <c r="G86" s="284">
        <v>982</v>
      </c>
      <c r="H86" s="502">
        <v>0</v>
      </c>
      <c r="I86" s="151">
        <f t="shared" si="51"/>
        <v>0</v>
      </c>
      <c r="J86" s="151">
        <f t="shared" si="52"/>
        <v>22436.735999999997</v>
      </c>
      <c r="K86" s="530">
        <f t="shared" si="53"/>
        <v>0</v>
      </c>
      <c r="L86" s="468">
        <v>0</v>
      </c>
      <c r="M86" s="527">
        <v>0</v>
      </c>
      <c r="N86" s="519">
        <f t="shared" si="62"/>
        <v>0</v>
      </c>
      <c r="O86" s="494">
        <f t="shared" si="54"/>
        <v>0</v>
      </c>
      <c r="P86" s="494">
        <f t="shared" si="55"/>
        <v>1964</v>
      </c>
      <c r="Q86" s="37"/>
      <c r="R86" s="493">
        <f t="shared" si="56"/>
        <v>0</v>
      </c>
      <c r="S86" s="493">
        <f t="shared" si="57"/>
        <v>0</v>
      </c>
      <c r="T86" s="493">
        <f t="shared" si="58"/>
        <v>22436.735999999997</v>
      </c>
      <c r="U86" s="493">
        <f t="shared" si="59"/>
        <v>0</v>
      </c>
    </row>
    <row r="87" spans="1:21" s="417" customFormat="1" ht="13">
      <c r="A87" s="989">
        <f t="shared" si="61"/>
        <v>21</v>
      </c>
      <c r="B87" s="386" t="s">
        <v>501</v>
      </c>
      <c r="C87" s="386" t="s">
        <v>357</v>
      </c>
      <c r="D87" s="386" t="s">
        <v>359</v>
      </c>
      <c r="E87" s="535">
        <v>1225000</v>
      </c>
      <c r="F87" s="60">
        <v>7000</v>
      </c>
      <c r="G87" s="284">
        <v>2271</v>
      </c>
      <c r="H87" s="502">
        <v>0</v>
      </c>
      <c r="I87" s="151">
        <f t="shared" si="51"/>
        <v>0</v>
      </c>
      <c r="J87" s="151">
        <f t="shared" si="52"/>
        <v>51887.807999999997</v>
      </c>
      <c r="K87" s="530">
        <f t="shared" si="53"/>
        <v>0</v>
      </c>
      <c r="L87" s="468">
        <v>0</v>
      </c>
      <c r="M87" s="994">
        <f>'Existing Building Market Values'!F15</f>
        <v>864796.79999999993</v>
      </c>
      <c r="N87" s="519">
        <f t="shared" si="62"/>
        <v>864796.79999999993</v>
      </c>
      <c r="O87" s="494">
        <f t="shared" si="54"/>
        <v>123.54239999999999</v>
      </c>
      <c r="P87" s="494">
        <f t="shared" si="55"/>
        <v>4542</v>
      </c>
      <c r="Q87" s="37"/>
      <c r="R87" s="493">
        <f t="shared" si="56"/>
        <v>0</v>
      </c>
      <c r="S87" s="493">
        <f t="shared" si="57"/>
        <v>0</v>
      </c>
      <c r="T87" s="493">
        <f t="shared" si="58"/>
        <v>51887.807999999997</v>
      </c>
      <c r="U87" s="493">
        <f t="shared" si="59"/>
        <v>0</v>
      </c>
    </row>
    <row r="88" spans="1:21" s="417" customFormat="1" ht="13">
      <c r="A88" s="990">
        <f t="shared" si="61"/>
        <v>22</v>
      </c>
      <c r="B88" s="386" t="s">
        <v>501</v>
      </c>
      <c r="C88" s="386" t="s">
        <v>357</v>
      </c>
      <c r="D88" s="386" t="s">
        <v>45</v>
      </c>
      <c r="E88" s="535">
        <v>2638350</v>
      </c>
      <c r="F88" s="60">
        <v>11726</v>
      </c>
      <c r="G88" s="284">
        <v>6957</v>
      </c>
      <c r="H88" s="502">
        <v>0</v>
      </c>
      <c r="I88" s="151">
        <f t="shared" si="51"/>
        <v>0</v>
      </c>
      <c r="J88" s="151">
        <f t="shared" si="52"/>
        <v>225678.12299999999</v>
      </c>
      <c r="K88" s="530">
        <f t="shared" si="53"/>
        <v>0</v>
      </c>
      <c r="L88" s="468">
        <v>9454</v>
      </c>
      <c r="M88" s="994">
        <f>'Existing Building Market Values'!F16</f>
        <v>3761302.05</v>
      </c>
      <c r="N88" s="519">
        <f t="shared" si="62"/>
        <v>3770756.05</v>
      </c>
      <c r="O88" s="494">
        <f t="shared" si="54"/>
        <v>321.57223690943204</v>
      </c>
      <c r="P88" s="494">
        <f t="shared" si="55"/>
        <v>13914</v>
      </c>
      <c r="Q88" s="37"/>
      <c r="R88" s="493">
        <f t="shared" si="56"/>
        <v>0</v>
      </c>
      <c r="S88" s="493">
        <f t="shared" si="57"/>
        <v>225678.12299999999</v>
      </c>
      <c r="T88" s="493">
        <f t="shared" si="58"/>
        <v>0</v>
      </c>
      <c r="U88" s="493">
        <f t="shared" si="59"/>
        <v>0</v>
      </c>
    </row>
    <row r="89" spans="1:21" s="417" customFormat="1">
      <c r="A89" s="219">
        <f t="shared" si="61"/>
        <v>23</v>
      </c>
      <c r="B89" s="66" t="s">
        <v>540</v>
      </c>
      <c r="C89" s="66" t="s">
        <v>357</v>
      </c>
      <c r="D89" s="66" t="s">
        <v>190</v>
      </c>
      <c r="E89" s="535">
        <v>1455750</v>
      </c>
      <c r="F89" s="60">
        <v>5823</v>
      </c>
      <c r="G89" s="284">
        <v>0</v>
      </c>
      <c r="H89" s="502">
        <v>0</v>
      </c>
      <c r="I89" s="151">
        <f t="shared" si="51"/>
        <v>0</v>
      </c>
      <c r="J89" s="151">
        <f t="shared" si="52"/>
        <v>0</v>
      </c>
      <c r="K89" s="530">
        <f t="shared" si="53"/>
        <v>0</v>
      </c>
      <c r="L89" s="468">
        <v>0</v>
      </c>
      <c r="M89" s="527">
        <v>0</v>
      </c>
      <c r="N89" s="519">
        <f t="shared" si="62"/>
        <v>0</v>
      </c>
      <c r="O89" s="494">
        <f t="shared" si="54"/>
        <v>0</v>
      </c>
      <c r="P89" s="494">
        <f t="shared" si="55"/>
        <v>0</v>
      </c>
      <c r="Q89" s="37"/>
      <c r="R89" s="493">
        <f t="shared" si="56"/>
        <v>0</v>
      </c>
      <c r="S89" s="493">
        <f t="shared" si="57"/>
        <v>0</v>
      </c>
      <c r="T89" s="493">
        <f t="shared" si="58"/>
        <v>0</v>
      </c>
      <c r="U89" s="493">
        <f t="shared" si="59"/>
        <v>0</v>
      </c>
    </row>
    <row r="90" spans="1:21" s="417" customFormat="1">
      <c r="A90" s="219">
        <f t="shared" si="61"/>
        <v>24</v>
      </c>
      <c r="B90" s="66" t="s">
        <v>540</v>
      </c>
      <c r="C90" s="66" t="s">
        <v>358</v>
      </c>
      <c r="D90" s="66" t="s">
        <v>190</v>
      </c>
      <c r="E90" s="535">
        <v>884000</v>
      </c>
      <c r="F90" s="60">
        <v>6800</v>
      </c>
      <c r="G90" s="284">
        <v>0</v>
      </c>
      <c r="H90" s="502">
        <v>0</v>
      </c>
      <c r="I90" s="151">
        <f t="shared" si="51"/>
        <v>0</v>
      </c>
      <c r="J90" s="151">
        <f t="shared" si="52"/>
        <v>0</v>
      </c>
      <c r="K90" s="530">
        <f t="shared" si="53"/>
        <v>0</v>
      </c>
      <c r="L90" s="468">
        <v>0</v>
      </c>
      <c r="M90" s="527">
        <v>0</v>
      </c>
      <c r="N90" s="519">
        <f t="shared" si="62"/>
        <v>0</v>
      </c>
      <c r="O90" s="494">
        <f t="shared" si="54"/>
        <v>0</v>
      </c>
      <c r="P90" s="494">
        <f t="shared" si="55"/>
        <v>0</v>
      </c>
      <c r="Q90" s="37"/>
      <c r="R90" s="493">
        <f t="shared" si="56"/>
        <v>0</v>
      </c>
      <c r="S90" s="493">
        <f t="shared" si="57"/>
        <v>0</v>
      </c>
      <c r="T90" s="493">
        <f t="shared" si="58"/>
        <v>0</v>
      </c>
      <c r="U90" s="493">
        <f t="shared" si="59"/>
        <v>0</v>
      </c>
    </row>
    <row r="91" spans="1:21" s="417" customFormat="1">
      <c r="A91" s="219">
        <f t="shared" si="61"/>
        <v>25</v>
      </c>
      <c r="B91" s="66" t="s">
        <v>540</v>
      </c>
      <c r="C91" s="66" t="s">
        <v>358</v>
      </c>
      <c r="D91" s="66" t="s">
        <v>190</v>
      </c>
      <c r="E91" s="535">
        <v>719940</v>
      </c>
      <c r="F91" s="60">
        <v>5538</v>
      </c>
      <c r="G91" s="284">
        <v>0</v>
      </c>
      <c r="H91" s="502">
        <v>0</v>
      </c>
      <c r="I91" s="151">
        <f t="shared" si="51"/>
        <v>0</v>
      </c>
      <c r="J91" s="151">
        <f t="shared" si="52"/>
        <v>0</v>
      </c>
      <c r="K91" s="530">
        <f t="shared" si="53"/>
        <v>0</v>
      </c>
      <c r="L91" s="468">
        <v>1870</v>
      </c>
      <c r="M91" s="527">
        <v>0</v>
      </c>
      <c r="N91" s="519">
        <f t="shared" si="62"/>
        <v>1870</v>
      </c>
      <c r="O91" s="494">
        <f t="shared" si="54"/>
        <v>0.33766702780787289</v>
      </c>
      <c r="P91" s="494">
        <f t="shared" si="55"/>
        <v>0</v>
      </c>
      <c r="Q91" s="37"/>
      <c r="R91" s="493">
        <f t="shared" si="56"/>
        <v>0</v>
      </c>
      <c r="S91" s="493">
        <f t="shared" si="57"/>
        <v>0</v>
      </c>
      <c r="T91" s="493">
        <f t="shared" si="58"/>
        <v>0</v>
      </c>
      <c r="U91" s="493">
        <f t="shared" si="59"/>
        <v>0</v>
      </c>
    </row>
    <row r="92" spans="1:21" s="417" customFormat="1">
      <c r="A92" s="219">
        <f t="shared" si="61"/>
        <v>26</v>
      </c>
      <c r="B92" s="66" t="s">
        <v>540</v>
      </c>
      <c r="C92" s="66" t="s">
        <v>358</v>
      </c>
      <c r="D92" s="66" t="s">
        <v>190</v>
      </c>
      <c r="E92" s="535">
        <v>210600</v>
      </c>
      <c r="F92" s="60">
        <v>1620</v>
      </c>
      <c r="G92" s="284">
        <v>0</v>
      </c>
      <c r="H92" s="502">
        <v>0</v>
      </c>
      <c r="I92" s="151">
        <f t="shared" si="51"/>
        <v>0</v>
      </c>
      <c r="J92" s="151">
        <f t="shared" si="52"/>
        <v>0</v>
      </c>
      <c r="K92" s="530">
        <f t="shared" si="53"/>
        <v>0</v>
      </c>
      <c r="L92" s="468">
        <v>0</v>
      </c>
      <c r="M92" s="527">
        <v>0</v>
      </c>
      <c r="N92" s="519">
        <f t="shared" si="62"/>
        <v>0</v>
      </c>
      <c r="O92" s="494">
        <f t="shared" si="54"/>
        <v>0</v>
      </c>
      <c r="P92" s="494">
        <f t="shared" si="55"/>
        <v>0</v>
      </c>
      <c r="Q92" s="37"/>
      <c r="R92" s="493">
        <f t="shared" si="56"/>
        <v>0</v>
      </c>
      <c r="S92" s="493">
        <f t="shared" si="57"/>
        <v>0</v>
      </c>
      <c r="T92" s="493">
        <f t="shared" si="58"/>
        <v>0</v>
      </c>
      <c r="U92" s="493">
        <f t="shared" si="59"/>
        <v>0</v>
      </c>
    </row>
    <row r="93" spans="1:21" s="417" customFormat="1">
      <c r="A93" s="219">
        <f t="shared" si="61"/>
        <v>27</v>
      </c>
      <c r="B93" s="66" t="s">
        <v>501</v>
      </c>
      <c r="C93" s="66" t="s">
        <v>358</v>
      </c>
      <c r="D93" s="66" t="s">
        <v>359</v>
      </c>
      <c r="E93" s="535">
        <v>386620</v>
      </c>
      <c r="F93" s="60">
        <v>2974</v>
      </c>
      <c r="G93" s="284">
        <v>220</v>
      </c>
      <c r="H93" s="502">
        <v>0</v>
      </c>
      <c r="I93" s="151">
        <f t="shared" si="51"/>
        <v>0</v>
      </c>
      <c r="J93" s="151">
        <f t="shared" si="52"/>
        <v>5026.5600000000004</v>
      </c>
      <c r="K93" s="530">
        <f t="shared" si="53"/>
        <v>0</v>
      </c>
      <c r="L93" s="468">
        <v>1055</v>
      </c>
      <c r="M93" s="527">
        <v>0</v>
      </c>
      <c r="N93" s="519">
        <f t="shared" si="62"/>
        <v>1055</v>
      </c>
      <c r="O93" s="494">
        <f t="shared" si="54"/>
        <v>0.35474108944182919</v>
      </c>
      <c r="P93" s="494">
        <f t="shared" si="55"/>
        <v>440</v>
      </c>
      <c r="Q93" s="37"/>
      <c r="R93" s="493">
        <f t="shared" si="56"/>
        <v>0</v>
      </c>
      <c r="S93" s="493">
        <f t="shared" si="57"/>
        <v>0</v>
      </c>
      <c r="T93" s="493">
        <f t="shared" si="58"/>
        <v>5026.5600000000004</v>
      </c>
      <c r="U93" s="493">
        <f t="shared" si="59"/>
        <v>0</v>
      </c>
    </row>
    <row r="94" spans="1:21" s="417" customFormat="1">
      <c r="A94" s="219">
        <f t="shared" si="61"/>
        <v>28</v>
      </c>
      <c r="B94" s="66" t="s">
        <v>501</v>
      </c>
      <c r="C94" s="66" t="s">
        <v>358</v>
      </c>
      <c r="D94" s="66" t="s">
        <v>359</v>
      </c>
      <c r="E94" s="535">
        <v>585130</v>
      </c>
      <c r="F94" s="60">
        <v>4501</v>
      </c>
      <c r="G94" s="284">
        <v>780</v>
      </c>
      <c r="H94" s="502">
        <v>0</v>
      </c>
      <c r="I94" s="151">
        <f t="shared" si="51"/>
        <v>0</v>
      </c>
      <c r="J94" s="151">
        <f t="shared" si="52"/>
        <v>17821.440000000002</v>
      </c>
      <c r="K94" s="530">
        <f t="shared" si="53"/>
        <v>0</v>
      </c>
      <c r="L94" s="468">
        <v>6408</v>
      </c>
      <c r="M94" s="527">
        <v>0</v>
      </c>
      <c r="N94" s="519">
        <f t="shared" si="62"/>
        <v>6408</v>
      </c>
      <c r="O94" s="494">
        <f t="shared" si="54"/>
        <v>1.4236836258609198</v>
      </c>
      <c r="P94" s="494">
        <f t="shared" si="55"/>
        <v>1560</v>
      </c>
      <c r="Q94" s="37"/>
      <c r="R94" s="493">
        <f t="shared" si="56"/>
        <v>0</v>
      </c>
      <c r="S94" s="493">
        <f t="shared" si="57"/>
        <v>0</v>
      </c>
      <c r="T94" s="493">
        <f t="shared" si="58"/>
        <v>17821.440000000002</v>
      </c>
      <c r="U94" s="493">
        <f t="shared" si="59"/>
        <v>0</v>
      </c>
    </row>
    <row r="95" spans="1:21" s="417" customFormat="1">
      <c r="A95" s="219">
        <f t="shared" si="61"/>
        <v>29</v>
      </c>
      <c r="B95" s="66" t="s">
        <v>501</v>
      </c>
      <c r="C95" s="66" t="s">
        <v>358</v>
      </c>
      <c r="D95" s="66" t="s">
        <v>202</v>
      </c>
      <c r="E95" s="535">
        <v>1415750</v>
      </c>
      <c r="F95" s="60">
        <v>8090</v>
      </c>
      <c r="G95" s="284">
        <v>5000</v>
      </c>
      <c r="H95" s="502">
        <v>0</v>
      </c>
      <c r="I95" s="151">
        <f t="shared" si="51"/>
        <v>0</v>
      </c>
      <c r="J95" s="151">
        <f t="shared" si="52"/>
        <v>43000</v>
      </c>
      <c r="K95" s="530">
        <f t="shared" si="53"/>
        <v>0</v>
      </c>
      <c r="L95" s="468">
        <v>40072</v>
      </c>
      <c r="M95" s="527">
        <v>0</v>
      </c>
      <c r="N95" s="519">
        <f t="shared" si="62"/>
        <v>40072</v>
      </c>
      <c r="O95" s="494">
        <f t="shared" si="54"/>
        <v>4.9532756489493197</v>
      </c>
      <c r="P95" s="494">
        <f t="shared" si="55"/>
        <v>10000</v>
      </c>
      <c r="Q95" s="37"/>
      <c r="R95" s="493">
        <f t="shared" si="56"/>
        <v>0</v>
      </c>
      <c r="S95" s="493">
        <f t="shared" si="57"/>
        <v>0</v>
      </c>
      <c r="T95" s="493">
        <f t="shared" si="58"/>
        <v>0</v>
      </c>
      <c r="U95" s="493">
        <f t="shared" si="59"/>
        <v>43000</v>
      </c>
    </row>
    <row r="96" spans="1:21" s="417" customFormat="1">
      <c r="A96" s="219">
        <f t="shared" si="61"/>
        <v>30</v>
      </c>
      <c r="B96" s="66" t="s">
        <v>501</v>
      </c>
      <c r="C96" s="66" t="s">
        <v>358</v>
      </c>
      <c r="D96" s="66" t="s">
        <v>359</v>
      </c>
      <c r="E96" s="535">
        <v>1737750</v>
      </c>
      <c r="F96" s="60">
        <v>9930</v>
      </c>
      <c r="G96" s="284">
        <v>3076</v>
      </c>
      <c r="H96" s="502">
        <v>0</v>
      </c>
      <c r="I96" s="151">
        <f t="shared" si="51"/>
        <v>0</v>
      </c>
      <c r="J96" s="151">
        <f t="shared" si="52"/>
        <v>70280.447999999989</v>
      </c>
      <c r="K96" s="530">
        <f t="shared" si="53"/>
        <v>0</v>
      </c>
      <c r="L96" s="468">
        <v>0</v>
      </c>
      <c r="M96" s="527">
        <v>0</v>
      </c>
      <c r="N96" s="519">
        <f t="shared" si="62"/>
        <v>0</v>
      </c>
      <c r="O96" s="494">
        <f t="shared" si="54"/>
        <v>0</v>
      </c>
      <c r="P96" s="494">
        <f t="shared" si="55"/>
        <v>6152</v>
      </c>
      <c r="Q96" s="37"/>
      <c r="R96" s="493">
        <f t="shared" si="56"/>
        <v>0</v>
      </c>
      <c r="S96" s="493">
        <f t="shared" si="57"/>
        <v>0</v>
      </c>
      <c r="T96" s="493">
        <f t="shared" si="58"/>
        <v>70280.447999999989</v>
      </c>
      <c r="U96" s="493">
        <f t="shared" si="59"/>
        <v>0</v>
      </c>
    </row>
    <row r="97" spans="1:21" s="417" customFormat="1" ht="13">
      <c r="A97" s="990">
        <f t="shared" si="61"/>
        <v>31</v>
      </c>
      <c r="B97" s="386" t="s">
        <v>501</v>
      </c>
      <c r="C97" s="386" t="s">
        <v>357</v>
      </c>
      <c r="D97" s="386" t="s">
        <v>45</v>
      </c>
      <c r="E97" s="535">
        <v>2936250</v>
      </c>
      <c r="F97" s="60">
        <v>13050</v>
      </c>
      <c r="G97" s="284">
        <v>8290</v>
      </c>
      <c r="H97" s="502">
        <v>0</v>
      </c>
      <c r="I97" s="151">
        <f t="shared" si="51"/>
        <v>0</v>
      </c>
      <c r="J97" s="151">
        <f t="shared" si="52"/>
        <v>268919.31</v>
      </c>
      <c r="K97" s="530">
        <f t="shared" si="53"/>
        <v>0</v>
      </c>
      <c r="L97" s="468">
        <v>77400</v>
      </c>
      <c r="M97" s="994">
        <f>'Existing Building Market Values'!F17</f>
        <v>4481988.5</v>
      </c>
      <c r="N97" s="519">
        <f t="shared" si="62"/>
        <v>4559388.5</v>
      </c>
      <c r="O97" s="494">
        <f t="shared" si="54"/>
        <v>349.37842911877397</v>
      </c>
      <c r="P97" s="494">
        <f t="shared" si="55"/>
        <v>16580</v>
      </c>
      <c r="Q97" s="37"/>
      <c r="R97" s="493">
        <f t="shared" si="56"/>
        <v>0</v>
      </c>
      <c r="S97" s="493">
        <f t="shared" si="57"/>
        <v>268919.31</v>
      </c>
      <c r="T97" s="493">
        <f t="shared" si="58"/>
        <v>0</v>
      </c>
      <c r="U97" s="493">
        <f t="shared" si="59"/>
        <v>0</v>
      </c>
    </row>
    <row r="98" spans="1:21" s="417" customFormat="1" ht="13">
      <c r="A98" s="991">
        <v>32</v>
      </c>
      <c r="B98" s="992" t="s">
        <v>501</v>
      </c>
      <c r="C98" s="992" t="s">
        <v>357</v>
      </c>
      <c r="D98" s="992" t="s">
        <v>45</v>
      </c>
      <c r="E98" s="536">
        <v>3184650</v>
      </c>
      <c r="F98" s="998">
        <v>14154.4</v>
      </c>
      <c r="G98" s="537">
        <v>2500</v>
      </c>
      <c r="H98" s="496">
        <v>0</v>
      </c>
      <c r="I98" s="160">
        <f t="shared" si="51"/>
        <v>0</v>
      </c>
      <c r="J98" s="160">
        <f t="shared" si="52"/>
        <v>81097.5</v>
      </c>
      <c r="K98" s="159">
        <f t="shared" si="53"/>
        <v>0</v>
      </c>
      <c r="L98" s="497">
        <v>0</v>
      </c>
      <c r="M98" s="996">
        <f>'Existing Building Market Values'!F18</f>
        <v>1351625</v>
      </c>
      <c r="N98" s="520">
        <f t="shared" si="62"/>
        <v>1351625</v>
      </c>
      <c r="O98" s="498">
        <f t="shared" si="54"/>
        <v>95.491507940993614</v>
      </c>
      <c r="P98" s="498">
        <f t="shared" si="55"/>
        <v>5000</v>
      </c>
      <c r="Q98" s="37"/>
      <c r="R98" s="493">
        <f t="shared" si="56"/>
        <v>0</v>
      </c>
      <c r="S98" s="493">
        <f t="shared" si="57"/>
        <v>81097.5</v>
      </c>
      <c r="T98" s="493">
        <f t="shared" si="58"/>
        <v>0</v>
      </c>
      <c r="U98" s="493">
        <f t="shared" si="59"/>
        <v>0</v>
      </c>
    </row>
    <row r="99" spans="1:21" s="417" customFormat="1" ht="13.5" thickBot="1">
      <c r="A99" s="499" t="s">
        <v>365</v>
      </c>
      <c r="B99" s="128"/>
      <c r="C99" s="128"/>
      <c r="D99" s="128"/>
      <c r="E99" s="155">
        <f t="shared" ref="E99:P99" si="63">SUM(E82:E98)</f>
        <v>28018415</v>
      </c>
      <c r="F99" s="1002">
        <f t="shared" si="63"/>
        <v>178456.4</v>
      </c>
      <c r="G99" s="538">
        <f t="shared" si="63"/>
        <v>106568</v>
      </c>
      <c r="H99" s="500">
        <f t="shared" si="63"/>
        <v>0</v>
      </c>
      <c r="I99" s="156">
        <f t="shared" si="63"/>
        <v>0</v>
      </c>
      <c r="J99" s="156">
        <f t="shared" si="63"/>
        <v>1474811.7970000003</v>
      </c>
      <c r="K99" s="155">
        <f t="shared" si="63"/>
        <v>0</v>
      </c>
      <c r="L99" s="156">
        <f t="shared" si="63"/>
        <v>845386</v>
      </c>
      <c r="M99" s="157">
        <f t="shared" si="63"/>
        <v>10459712.35</v>
      </c>
      <c r="N99" s="521">
        <f t="shared" si="63"/>
        <v>11305098.35</v>
      </c>
      <c r="O99" s="501">
        <f t="shared" si="54"/>
        <v>63.349357882373511</v>
      </c>
      <c r="P99" s="521">
        <f t="shared" si="63"/>
        <v>213136</v>
      </c>
      <c r="Q99" s="37"/>
      <c r="R99" s="37"/>
      <c r="S99" s="37"/>
      <c r="T99" s="37"/>
      <c r="U99" s="37"/>
    </row>
    <row r="100" spans="1:21" s="417" customFormat="1" ht="4.5" customHeight="1" thickBot="1">
      <c r="A100" s="65"/>
      <c r="B100" s="76"/>
      <c r="C100" s="76"/>
      <c r="D100" s="76"/>
      <c r="E100" s="65"/>
      <c r="F100" s="121"/>
      <c r="G100" s="121"/>
      <c r="H100" s="76"/>
      <c r="I100" s="76"/>
      <c r="J100" s="76"/>
      <c r="K100" s="65"/>
      <c r="L100" s="76"/>
      <c r="M100" s="121"/>
      <c r="N100" s="517"/>
      <c r="O100" s="121"/>
      <c r="P100" s="121"/>
      <c r="Q100" s="37"/>
      <c r="R100" s="37"/>
      <c r="S100" s="37"/>
      <c r="T100" s="37"/>
      <c r="U100" s="37"/>
    </row>
    <row r="101" spans="1:21" s="417" customFormat="1" ht="4.5" customHeight="1">
      <c r="A101" s="506"/>
      <c r="B101" s="338"/>
      <c r="C101" s="338"/>
      <c r="D101" s="338"/>
      <c r="E101" s="532"/>
      <c r="F101" s="539"/>
      <c r="G101" s="1003"/>
      <c r="H101" s="508"/>
      <c r="I101" s="507"/>
      <c r="J101" s="507"/>
      <c r="K101" s="532"/>
      <c r="L101" s="507"/>
      <c r="M101" s="533"/>
      <c r="N101" s="523"/>
      <c r="O101" s="509"/>
      <c r="P101" s="509"/>
      <c r="Q101" s="37"/>
      <c r="R101" s="37"/>
      <c r="S101" s="37"/>
      <c r="T101" s="37"/>
      <c r="U101" s="37"/>
    </row>
    <row r="102" spans="1:21" s="417" customFormat="1" ht="13">
      <c r="A102" s="980" t="s">
        <v>370</v>
      </c>
      <c r="B102" s="981"/>
      <c r="C102" s="981"/>
      <c r="D102" s="981"/>
      <c r="E102" s="982">
        <f t="shared" ref="E102:N102" si="64">SUMIFS(E7:E99,$C$7:$C$99,"Acquire")</f>
        <v>53742612</v>
      </c>
      <c r="F102" s="1000">
        <f t="shared" si="64"/>
        <v>247692.4</v>
      </c>
      <c r="G102" s="983">
        <f t="shared" si="64"/>
        <v>83282</v>
      </c>
      <c r="H102" s="984">
        <f t="shared" si="64"/>
        <v>49.21875</v>
      </c>
      <c r="I102" s="985">
        <f t="shared" si="64"/>
        <v>161683.59375</v>
      </c>
      <c r="J102" s="985">
        <f t="shared" si="64"/>
        <v>2002453.0329999998</v>
      </c>
      <c r="K102" s="982">
        <f t="shared" si="64"/>
        <v>2021044.921875</v>
      </c>
      <c r="L102" s="985">
        <f t="shared" si="64"/>
        <v>799485</v>
      </c>
      <c r="M102" s="986">
        <f t="shared" si="64"/>
        <v>33124858.16904762</v>
      </c>
      <c r="N102" s="987">
        <f t="shared" si="64"/>
        <v>35945388.090922624</v>
      </c>
      <c r="O102" s="988">
        <f>N102/F102</f>
        <v>145.12107796170824</v>
      </c>
      <c r="P102" s="987">
        <f>SUMIFS(P7:P99,$C$7:$C$99,"Acquire")</f>
        <v>166564</v>
      </c>
      <c r="Q102" s="37"/>
      <c r="R102" s="37"/>
      <c r="S102" s="37"/>
      <c r="T102" s="37"/>
      <c r="U102" s="37"/>
    </row>
    <row r="103" spans="1:21" s="417" customFormat="1" ht="13.5" thickBot="1">
      <c r="A103" s="499" t="s">
        <v>191</v>
      </c>
      <c r="B103" s="128"/>
      <c r="C103" s="128"/>
      <c r="D103" s="128"/>
      <c r="E103" s="155">
        <f>SUM(E32,E51,E64,E79,E99)</f>
        <v>137088392</v>
      </c>
      <c r="F103" s="999">
        <f>SUM(F32,F51,F64,F79,F99)</f>
        <v>739539.4</v>
      </c>
      <c r="G103" s="538">
        <f>SUM(G32,G51,G64,G79,G99)</f>
        <v>324249</v>
      </c>
      <c r="H103" s="156">
        <f>SUM(H32,H51,H64,H79,H99)</f>
        <v>395.78437500000001</v>
      </c>
      <c r="I103" s="156">
        <f>SUM(I32,I51,I64,I79,I99)</f>
        <v>1300151.671875</v>
      </c>
      <c r="J103" s="156">
        <f t="shared" ref="J103:N103" si="65">SUM(J32,J51,J64,J79,J99)</f>
        <v>4431060.5869999994</v>
      </c>
      <c r="K103" s="155">
        <f t="shared" si="65"/>
        <v>16251895.8984375</v>
      </c>
      <c r="L103" s="156">
        <f t="shared" si="65"/>
        <v>2366251</v>
      </c>
      <c r="M103" s="157">
        <f t="shared" si="65"/>
        <v>33124858.169047616</v>
      </c>
      <c r="N103" s="521">
        <f t="shared" si="65"/>
        <v>51743005.067485116</v>
      </c>
      <c r="O103" s="501">
        <f>N103/F103</f>
        <v>69.966529257920698</v>
      </c>
      <c r="P103" s="521">
        <f t="shared" ref="P103" si="66">SUM(P32,P51,P64,P79,P99)</f>
        <v>648498</v>
      </c>
      <c r="Q103" s="37"/>
      <c r="R103" s="37"/>
      <c r="S103" s="37"/>
      <c r="T103" s="37"/>
      <c r="U103" s="37"/>
    </row>
    <row r="104" spans="1:21" s="417" customFormat="1" ht="13">
      <c r="A104" s="976"/>
      <c r="B104" s="76"/>
      <c r="C104" s="76"/>
      <c r="D104" s="76"/>
      <c r="E104" s="977"/>
      <c r="F104" s="978"/>
      <c r="G104" s="978"/>
      <c r="H104" s="977"/>
      <c r="I104" s="977"/>
      <c r="J104" s="977"/>
      <c r="K104" s="977"/>
      <c r="L104" s="977"/>
      <c r="M104" s="977"/>
      <c r="N104" s="977"/>
      <c r="O104" s="979"/>
      <c r="P104" s="979"/>
      <c r="Q104" s="37"/>
      <c r="R104" s="37"/>
      <c r="S104" s="37"/>
      <c r="T104" s="37"/>
      <c r="U104" s="37"/>
    </row>
    <row r="105" spans="1:21" s="417" customFormat="1" ht="13">
      <c r="A105" s="997" t="s">
        <v>395</v>
      </c>
      <c r="B105" s="981"/>
      <c r="C105" s="981"/>
      <c r="D105" s="981"/>
      <c r="E105" s="985">
        <f>E102+N102</f>
        <v>89688000.090922624</v>
      </c>
      <c r="F105" s="978"/>
      <c r="G105" s="978">
        <f>E103+N103</f>
        <v>188831397.06748512</v>
      </c>
      <c r="H105" s="977"/>
      <c r="I105" s="977"/>
      <c r="J105" s="977"/>
      <c r="K105" s="977"/>
      <c r="L105" s="977"/>
      <c r="M105" s="977"/>
      <c r="N105" s="977"/>
      <c r="O105" s="979"/>
      <c r="P105" s="979"/>
      <c r="Q105" s="37"/>
      <c r="R105" s="37"/>
      <c r="S105" s="37"/>
      <c r="T105" s="37"/>
      <c r="U105" s="37"/>
    </row>
    <row r="106" spans="1:21" s="417" customFormat="1" ht="13">
      <c r="A106" s="997" t="s">
        <v>541</v>
      </c>
      <c r="B106" s="981"/>
      <c r="C106" s="981"/>
      <c r="D106" s="981"/>
      <c r="E106" s="985">
        <f>SUMIFS($F$5:$F$98,$B$5:$B$98,"Demolish")</f>
        <v>509961.4</v>
      </c>
      <c r="F106" s="978"/>
      <c r="G106" s="978"/>
      <c r="H106" s="977"/>
      <c r="I106" s="977"/>
      <c r="J106" s="977"/>
      <c r="K106" s="977"/>
      <c r="L106" s="977"/>
      <c r="M106" s="977"/>
      <c r="N106" s="977"/>
      <c r="O106" s="979"/>
      <c r="P106" s="979"/>
      <c r="Q106" s="37"/>
      <c r="R106" s="37"/>
      <c r="S106" s="37"/>
      <c r="T106" s="37"/>
      <c r="U106" s="37"/>
    </row>
    <row r="107" spans="1:21" s="417" customFormat="1">
      <c r="A107" s="37" t="s">
        <v>212</v>
      </c>
      <c r="B107" s="37"/>
      <c r="C107" s="37"/>
      <c r="D107" s="37"/>
      <c r="E107" s="37"/>
      <c r="F107" s="37">
        <f>F103/43560</f>
        <v>16.977488521579431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3" thickBot="1"/>
    <row r="109" spans="1:21" ht="13.5" thickBot="1">
      <c r="A109" s="193" t="s">
        <v>13</v>
      </c>
      <c r="B109" s="266"/>
      <c r="C109" s="266"/>
      <c r="D109" s="266"/>
      <c r="E109" s="267"/>
    </row>
    <row r="110" spans="1:21" ht="13">
      <c r="A110" s="336" t="s">
        <v>63</v>
      </c>
      <c r="B110" s="338"/>
      <c r="C110" s="338"/>
      <c r="D110" s="338"/>
      <c r="E110" s="339"/>
    </row>
    <row r="111" spans="1:21">
      <c r="A111" s="65" t="s">
        <v>203</v>
      </c>
      <c r="B111" s="76"/>
      <c r="C111" s="76"/>
      <c r="D111" s="76"/>
      <c r="E111" s="441">
        <v>31</v>
      </c>
    </row>
    <row r="112" spans="1:21">
      <c r="A112" s="65" t="s">
        <v>204</v>
      </c>
      <c r="B112" s="76"/>
      <c r="C112" s="76"/>
      <c r="D112" s="76"/>
      <c r="E112" s="516">
        <v>0.5</v>
      </c>
    </row>
    <row r="113" spans="1:5">
      <c r="A113" s="65" t="s">
        <v>205</v>
      </c>
      <c r="B113" s="76"/>
      <c r="C113" s="76"/>
      <c r="D113" s="76"/>
      <c r="E113" s="516">
        <v>0.06</v>
      </c>
    </row>
    <row r="114" spans="1:5">
      <c r="A114" s="65" t="s">
        <v>108</v>
      </c>
      <c r="B114" s="76"/>
      <c r="C114" s="76"/>
      <c r="D114" s="76"/>
      <c r="E114" s="442">
        <v>8</v>
      </c>
    </row>
    <row r="115" spans="1:5">
      <c r="A115" s="65"/>
      <c r="B115" s="76"/>
      <c r="C115" s="76"/>
      <c r="D115" s="76"/>
      <c r="E115" s="121"/>
    </row>
    <row r="116" spans="1:5" ht="13">
      <c r="A116" s="64" t="s">
        <v>45</v>
      </c>
      <c r="B116" s="76"/>
      <c r="C116" s="76"/>
      <c r="D116" s="76"/>
      <c r="E116" s="121"/>
    </row>
    <row r="117" spans="1:5">
      <c r="A117" s="65" t="s">
        <v>206</v>
      </c>
      <c r="B117" s="76"/>
      <c r="C117" s="76"/>
      <c r="D117" s="76"/>
      <c r="E117" s="993">
        <v>34.619999999999997</v>
      </c>
    </row>
    <row r="118" spans="1:5">
      <c r="A118" s="65" t="s">
        <v>207</v>
      </c>
      <c r="B118" s="76"/>
      <c r="C118" s="76"/>
      <c r="D118" s="76"/>
      <c r="E118" s="516">
        <v>0.05</v>
      </c>
    </row>
    <row r="119" spans="1:5">
      <c r="A119" s="65" t="s">
        <v>208</v>
      </c>
      <c r="B119" s="76"/>
      <c r="C119" s="76"/>
      <c r="D119" s="76"/>
      <c r="E119" s="516">
        <v>0.06</v>
      </c>
    </row>
    <row r="120" spans="1:5">
      <c r="A120" s="65" t="s">
        <v>108</v>
      </c>
      <c r="B120" s="76"/>
      <c r="C120" s="76"/>
      <c r="D120" s="76"/>
      <c r="E120" s="442">
        <v>9</v>
      </c>
    </row>
    <row r="121" spans="1:5">
      <c r="A121" s="65"/>
      <c r="B121" s="76"/>
      <c r="C121" s="76"/>
      <c r="D121" s="76"/>
      <c r="E121" s="121"/>
    </row>
    <row r="122" spans="1:5" ht="13">
      <c r="A122" s="64" t="s">
        <v>359</v>
      </c>
      <c r="B122" s="76"/>
      <c r="C122" s="76"/>
      <c r="D122" s="76"/>
      <c r="E122" s="121"/>
    </row>
    <row r="123" spans="1:5">
      <c r="A123" s="65" t="s">
        <v>386</v>
      </c>
      <c r="B123" s="76"/>
      <c r="C123" s="76"/>
      <c r="D123" s="76"/>
      <c r="E123" s="441">
        <f>2*12</f>
        <v>24</v>
      </c>
    </row>
    <row r="124" spans="1:5">
      <c r="A124" s="65" t="s">
        <v>387</v>
      </c>
      <c r="B124" s="76"/>
      <c r="C124" s="76"/>
      <c r="D124" s="76"/>
      <c r="E124" s="516">
        <v>0.04</v>
      </c>
    </row>
    <row r="125" spans="1:5">
      <c r="A125" s="65" t="s">
        <v>388</v>
      </c>
      <c r="B125" s="76"/>
      <c r="C125" s="76"/>
      <c r="D125" s="76"/>
      <c r="E125" s="516">
        <v>0.06</v>
      </c>
    </row>
    <row r="126" spans="1:5">
      <c r="A126" s="65" t="s">
        <v>108</v>
      </c>
      <c r="B126" s="76"/>
      <c r="C126" s="76"/>
      <c r="D126" s="76"/>
      <c r="E126" s="442">
        <f>4.8</f>
        <v>4.8</v>
      </c>
    </row>
    <row r="127" spans="1:5">
      <c r="A127" s="65"/>
      <c r="B127" s="76"/>
      <c r="C127" s="76"/>
      <c r="D127" s="76"/>
      <c r="E127" s="121"/>
    </row>
    <row r="128" spans="1:5" ht="13">
      <c r="A128" s="64" t="s">
        <v>202</v>
      </c>
      <c r="B128" s="76"/>
      <c r="C128" s="76"/>
      <c r="D128" s="76"/>
      <c r="E128" s="121"/>
    </row>
    <row r="129" spans="1:5">
      <c r="A129" s="65" t="s">
        <v>209</v>
      </c>
      <c r="B129" s="76"/>
      <c r="C129" s="76"/>
      <c r="D129" s="76"/>
      <c r="E129" s="441">
        <v>9</v>
      </c>
    </row>
    <row r="130" spans="1:5">
      <c r="A130" s="65" t="s">
        <v>210</v>
      </c>
      <c r="B130" s="76"/>
      <c r="C130" s="76"/>
      <c r="D130" s="76"/>
      <c r="E130" s="516">
        <v>0.04</v>
      </c>
    </row>
    <row r="131" spans="1:5">
      <c r="A131" s="65" t="s">
        <v>211</v>
      </c>
      <c r="B131" s="76"/>
      <c r="C131" s="76"/>
      <c r="D131" s="76"/>
      <c r="E131" s="516">
        <v>7.0000000000000007E-2</v>
      </c>
    </row>
    <row r="132" spans="1:5">
      <c r="A132" s="65" t="s">
        <v>108</v>
      </c>
      <c r="B132" s="76"/>
      <c r="C132" s="76"/>
      <c r="D132" s="76"/>
      <c r="E132" s="442">
        <v>1</v>
      </c>
    </row>
    <row r="133" spans="1:5">
      <c r="A133" s="65"/>
      <c r="B133" s="76"/>
      <c r="C133" s="76"/>
      <c r="D133" s="76"/>
      <c r="E133" s="121"/>
    </row>
    <row r="134" spans="1:5" ht="13">
      <c r="A134" s="64" t="s">
        <v>173</v>
      </c>
      <c r="B134" s="76"/>
      <c r="C134" s="76"/>
      <c r="D134" s="76"/>
      <c r="E134" s="121"/>
    </row>
    <row r="135" spans="1:5">
      <c r="A135" s="65" t="s">
        <v>160</v>
      </c>
      <c r="B135" s="76"/>
      <c r="C135" s="76"/>
      <c r="D135" s="76"/>
      <c r="E135" s="527">
        <v>320</v>
      </c>
    </row>
    <row r="136" spans="1:5">
      <c r="A136" s="65" t="s">
        <v>192</v>
      </c>
      <c r="B136" s="76"/>
      <c r="C136" s="76"/>
      <c r="D136" s="76"/>
      <c r="E136" s="441">
        <v>10</v>
      </c>
    </row>
    <row r="137" spans="1:5">
      <c r="A137" s="65" t="s">
        <v>193</v>
      </c>
      <c r="B137" s="76"/>
      <c r="C137" s="76"/>
      <c r="D137" s="76"/>
      <c r="E137" s="510">
        <v>0.9</v>
      </c>
    </row>
    <row r="138" spans="1:5" ht="13" thickBot="1">
      <c r="A138" s="68" t="s">
        <v>396</v>
      </c>
      <c r="B138" s="128"/>
      <c r="C138" s="128"/>
      <c r="D138" s="128"/>
      <c r="E138" s="511">
        <v>0.08</v>
      </c>
    </row>
    <row r="139" spans="1:5">
      <c r="A139" s="65"/>
      <c r="B139" s="76"/>
      <c r="C139" s="76"/>
      <c r="D139" s="76"/>
      <c r="E139" s="338"/>
    </row>
  </sheetData>
  <printOptions horizontalCentered="1"/>
  <pageMargins left="0.45" right="0.45" top="0.5" bottom="0.5" header="0.3" footer="0.3"/>
  <pageSetup scale="67" fitToHeight="2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9"/>
  <sheetViews>
    <sheetView topLeftCell="A16" zoomScale="85" zoomScaleNormal="85" workbookViewId="0">
      <selection activeCell="E24" sqref="E24"/>
    </sheetView>
  </sheetViews>
  <sheetFormatPr defaultColWidth="9.1796875" defaultRowHeight="12.5"/>
  <cols>
    <col min="1" max="1" width="24.1796875" style="37" customWidth="1"/>
    <col min="2" max="3" width="13.7265625" style="37" customWidth="1"/>
    <col min="4" max="4" width="11.81640625" style="37" customWidth="1"/>
    <col min="5" max="5" width="12.81640625" style="37" customWidth="1"/>
    <col min="6" max="6" width="15.54296875" style="37" customWidth="1"/>
    <col min="7" max="7" width="9" style="37" customWidth="1"/>
    <col min="8" max="8" width="11.1796875" style="37" customWidth="1"/>
    <col min="9" max="16384" width="9.1796875" style="37"/>
  </cols>
  <sheetData>
    <row r="1" spans="1:7" ht="13">
      <c r="A1" s="52" t="s">
        <v>79</v>
      </c>
      <c r="B1" s="486"/>
      <c r="C1" s="486"/>
      <c r="D1" s="486"/>
      <c r="E1" s="486"/>
      <c r="F1" s="436"/>
    </row>
    <row r="2" spans="1:7" ht="13.5" thickBot="1">
      <c r="A2" s="55" t="s">
        <v>194</v>
      </c>
      <c r="B2" s="487"/>
      <c r="C2" s="487"/>
      <c r="D2" s="487"/>
      <c r="E2" s="487"/>
      <c r="F2" s="437"/>
    </row>
    <row r="3" spans="1:7" ht="13">
      <c r="A3" s="133"/>
      <c r="B3" s="338"/>
      <c r="C3" s="424" t="s">
        <v>195</v>
      </c>
      <c r="D3" s="424" t="s">
        <v>196</v>
      </c>
      <c r="E3" s="424" t="s">
        <v>197</v>
      </c>
      <c r="F3" s="489" t="s">
        <v>195</v>
      </c>
    </row>
    <row r="4" spans="1:7" ht="13.5" thickBot="1">
      <c r="A4" s="125" t="s">
        <v>374</v>
      </c>
      <c r="B4" s="146" t="s">
        <v>178</v>
      </c>
      <c r="C4" s="146" t="s">
        <v>199</v>
      </c>
      <c r="D4" s="146" t="s">
        <v>200</v>
      </c>
      <c r="E4" s="146" t="s">
        <v>180</v>
      </c>
      <c r="F4" s="190" t="s">
        <v>201</v>
      </c>
    </row>
    <row r="5" spans="1:7">
      <c r="A5" s="65"/>
      <c r="B5" s="66" t="s">
        <v>371</v>
      </c>
      <c r="C5" s="66" t="s">
        <v>63</v>
      </c>
      <c r="D5" s="60">
        <v>8835</v>
      </c>
      <c r="E5" s="493">
        <f>(D5*$E$22*(1-$E$23))-(D5*$E$23*$E$25)</f>
        <v>101602.5</v>
      </c>
      <c r="F5" s="512">
        <f>E5/$E$24</f>
        <v>1693375</v>
      </c>
    </row>
    <row r="6" spans="1:7">
      <c r="A6" s="65"/>
      <c r="B6" s="66" t="s">
        <v>372</v>
      </c>
      <c r="C6" s="66" t="s">
        <v>359</v>
      </c>
      <c r="D6" s="60">
        <v>639</v>
      </c>
      <c r="E6" s="151">
        <f>(D6*$E$34*(1-$E$35))-(D6*$E$35*$E$37)</f>
        <v>14599.871999999999</v>
      </c>
      <c r="F6" s="152">
        <f>E6/$E$36</f>
        <v>243331.20000000001</v>
      </c>
    </row>
    <row r="7" spans="1:7">
      <c r="A7" s="65"/>
      <c r="B7" s="66" t="s">
        <v>373</v>
      </c>
      <c r="C7" s="66" t="s">
        <v>45</v>
      </c>
      <c r="D7" s="60">
        <v>2500</v>
      </c>
      <c r="E7" s="151">
        <f>(D7*$E$28*(1-$E$29))-(D7*$E$29*$E$31)</f>
        <v>81097.5</v>
      </c>
      <c r="F7" s="152">
        <f t="shared" ref="F7:F18" si="0">E7/$E$30</f>
        <v>1351625</v>
      </c>
    </row>
    <row r="8" spans="1:7">
      <c r="A8" s="65"/>
      <c r="B8" s="66" t="s">
        <v>375</v>
      </c>
      <c r="C8" s="66" t="s">
        <v>45</v>
      </c>
      <c r="D8" s="60">
        <v>26084</v>
      </c>
      <c r="E8" s="151">
        <f>(D8*$E$28*(1-$E$29))-(D8*$E$29*$E$31)</f>
        <v>846138.87599999993</v>
      </c>
      <c r="F8" s="152">
        <f t="shared" si="0"/>
        <v>14102314.6</v>
      </c>
    </row>
    <row r="9" spans="1:7">
      <c r="A9" s="65"/>
      <c r="B9" s="66" t="s">
        <v>376</v>
      </c>
      <c r="C9" s="66" t="s">
        <v>361</v>
      </c>
      <c r="D9" s="60">
        <v>2044</v>
      </c>
      <c r="E9" s="151">
        <f>(D9*$E$40*(1-$E$41))-(D9*$E$41*$E$43)</f>
        <v>46701.311999999998</v>
      </c>
      <c r="F9" s="152">
        <f>E9/$E$42</f>
        <v>778355.19999999995</v>
      </c>
    </row>
    <row r="10" spans="1:7">
      <c r="A10" s="65"/>
      <c r="B10" s="66" t="s">
        <v>377</v>
      </c>
      <c r="C10" s="66" t="s">
        <v>202</v>
      </c>
      <c r="D10" s="60">
        <v>4645</v>
      </c>
      <c r="E10" s="151">
        <f>(D10*$E$46*(1-$E$47))-(D10*$E$47*$E$49)</f>
        <v>39946.999999999993</v>
      </c>
      <c r="F10" s="152">
        <f>E10/$E$48</f>
        <v>570671.42857142841</v>
      </c>
    </row>
    <row r="11" spans="1:7">
      <c r="A11" s="65"/>
      <c r="B11" s="66" t="s">
        <v>378</v>
      </c>
      <c r="C11" s="66" t="s">
        <v>202</v>
      </c>
      <c r="D11" s="60">
        <v>7533</v>
      </c>
      <c r="E11" s="151">
        <f>(D11*$E$46*(1-$E$47))-(D11*$E$47*$E$49)</f>
        <v>64783.799999999996</v>
      </c>
      <c r="F11" s="152">
        <f>E11/$E$48</f>
        <v>925482.85714285704</v>
      </c>
    </row>
    <row r="12" spans="1:7">
      <c r="A12" s="65"/>
      <c r="B12" s="66" t="s">
        <v>379</v>
      </c>
      <c r="C12" s="66" t="s">
        <v>45</v>
      </c>
      <c r="D12" s="60">
        <v>3000</v>
      </c>
      <c r="E12" s="151">
        <f>(D12*$E$28*(1-$E$29))-(D12*$E$29*$E$31)</f>
        <v>97316.999999999985</v>
      </c>
      <c r="F12" s="152">
        <f t="shared" si="0"/>
        <v>1621949.9999999998</v>
      </c>
    </row>
    <row r="13" spans="1:7" ht="12" customHeight="1">
      <c r="A13" s="65"/>
      <c r="B13" s="66" t="s">
        <v>380</v>
      </c>
      <c r="C13" s="66" t="s">
        <v>202</v>
      </c>
      <c r="D13" s="60">
        <v>7000</v>
      </c>
      <c r="E13" s="151">
        <f>(D13*$E$46*(1-$E$47))-(D13*$E$47*$E$49)</f>
        <v>60200</v>
      </c>
      <c r="F13" s="152">
        <f t="shared" si="0"/>
        <v>1003333.3333333334</v>
      </c>
    </row>
    <row r="14" spans="1:7" ht="12" customHeight="1">
      <c r="A14" s="65"/>
      <c r="B14" s="66" t="s">
        <v>381</v>
      </c>
      <c r="C14" s="66" t="s">
        <v>359</v>
      </c>
      <c r="D14" s="60">
        <v>984</v>
      </c>
      <c r="E14" s="151">
        <f>(D14*$E$34*(1-$E$35))-(D14*$E$35*$E$37)</f>
        <v>22482.432000000001</v>
      </c>
      <c r="F14" s="152">
        <f>E14/$E$36</f>
        <v>374707.20000000001</v>
      </c>
      <c r="G14" s="513"/>
    </row>
    <row r="15" spans="1:7" ht="12" customHeight="1">
      <c r="A15" s="65"/>
      <c r="B15" s="66" t="s">
        <v>382</v>
      </c>
      <c r="C15" s="66" t="s">
        <v>361</v>
      </c>
      <c r="D15" s="60">
        <v>2271</v>
      </c>
      <c r="E15" s="151">
        <f>(D15*$E$40*(1-$E$41))-(D15*$E$41*$E$43)</f>
        <v>51887.807999999997</v>
      </c>
      <c r="F15" s="152">
        <f>E15/$E$42</f>
        <v>864796.79999999993</v>
      </c>
    </row>
    <row r="16" spans="1:7" ht="12" customHeight="1">
      <c r="A16" s="65"/>
      <c r="B16" s="66" t="s">
        <v>383</v>
      </c>
      <c r="C16" s="66" t="s">
        <v>45</v>
      </c>
      <c r="D16" s="60">
        <v>6957</v>
      </c>
      <c r="E16" s="151">
        <f>(D16*$E$28*(1-$E$29))-(D16*$E$29*$E$31)</f>
        <v>225678.12299999999</v>
      </c>
      <c r="F16" s="152">
        <f t="shared" si="0"/>
        <v>3761302.05</v>
      </c>
    </row>
    <row r="17" spans="1:6" ht="12" customHeight="1">
      <c r="A17" s="65"/>
      <c r="B17" s="66" t="s">
        <v>384</v>
      </c>
      <c r="C17" s="66" t="s">
        <v>45</v>
      </c>
      <c r="D17" s="60">
        <v>8290</v>
      </c>
      <c r="E17" s="151">
        <f>(D17*$E$28*(1-$E$29))-(D17*$E$29*$E$31)</f>
        <v>268919.31</v>
      </c>
      <c r="F17" s="152">
        <f t="shared" si="0"/>
        <v>4481988.5</v>
      </c>
    </row>
    <row r="18" spans="1:6" ht="12" customHeight="1" thickBot="1">
      <c r="A18" s="68"/>
      <c r="B18" s="69" t="s">
        <v>385</v>
      </c>
      <c r="C18" s="69" t="s">
        <v>45</v>
      </c>
      <c r="D18" s="70">
        <v>2500</v>
      </c>
      <c r="E18" s="514">
        <f>(D18*$E$28*(1-$E$29))-(D18*$E$29*$E$31)</f>
        <v>81097.5</v>
      </c>
      <c r="F18" s="515">
        <f t="shared" si="0"/>
        <v>1351625</v>
      </c>
    </row>
    <row r="19" spans="1:6" ht="13" thickBot="1"/>
    <row r="20" spans="1:6" ht="13.5" thickBot="1">
      <c r="A20" s="193" t="s">
        <v>13</v>
      </c>
      <c r="B20" s="266"/>
      <c r="C20" s="266"/>
      <c r="D20" s="266"/>
      <c r="E20" s="267"/>
    </row>
    <row r="21" spans="1:6" ht="13">
      <c r="A21" s="336" t="s">
        <v>63</v>
      </c>
      <c r="B21" s="338"/>
      <c r="C21" s="338"/>
      <c r="D21" s="338"/>
      <c r="E21" s="339"/>
    </row>
    <row r="22" spans="1:6">
      <c r="A22" s="65" t="s">
        <v>203</v>
      </c>
      <c r="B22" s="76"/>
      <c r="C22" s="76"/>
      <c r="D22" s="76"/>
      <c r="E22" s="441">
        <v>31</v>
      </c>
    </row>
    <row r="23" spans="1:6">
      <c r="A23" s="65" t="s">
        <v>204</v>
      </c>
      <c r="B23" s="76"/>
      <c r="C23" s="76"/>
      <c r="D23" s="76"/>
      <c r="E23" s="516">
        <v>0.5</v>
      </c>
    </row>
    <row r="24" spans="1:6">
      <c r="A24" s="65" t="s">
        <v>205</v>
      </c>
      <c r="B24" s="76"/>
      <c r="C24" s="76"/>
      <c r="D24" s="76"/>
      <c r="E24" s="516">
        <v>0.06</v>
      </c>
    </row>
    <row r="25" spans="1:6">
      <c r="A25" s="65" t="s">
        <v>108</v>
      </c>
      <c r="B25" s="76"/>
      <c r="C25" s="76"/>
      <c r="D25" s="76"/>
      <c r="E25" s="442">
        <v>8</v>
      </c>
    </row>
    <row r="26" spans="1:6" ht="4.5" customHeight="1">
      <c r="A26" s="65"/>
      <c r="B26" s="76"/>
      <c r="C26" s="76"/>
      <c r="D26" s="76"/>
      <c r="E26" s="121"/>
    </row>
    <row r="27" spans="1:6" ht="13">
      <c r="A27" s="64" t="s">
        <v>45</v>
      </c>
      <c r="B27" s="76"/>
      <c r="C27" s="76"/>
      <c r="D27" s="76"/>
      <c r="E27" s="121"/>
    </row>
    <row r="28" spans="1:6">
      <c r="A28" s="65" t="s">
        <v>206</v>
      </c>
      <c r="B28" s="76"/>
      <c r="C28" s="76"/>
      <c r="D28" s="76"/>
      <c r="E28" s="993">
        <v>34.619999999999997</v>
      </c>
    </row>
    <row r="29" spans="1:6">
      <c r="A29" s="65" t="s">
        <v>207</v>
      </c>
      <c r="B29" s="76"/>
      <c r="C29" s="76"/>
      <c r="D29" s="76"/>
      <c r="E29" s="516">
        <v>0.05</v>
      </c>
    </row>
    <row r="30" spans="1:6">
      <c r="A30" s="65" t="s">
        <v>208</v>
      </c>
      <c r="B30" s="76"/>
      <c r="C30" s="76"/>
      <c r="D30" s="76"/>
      <c r="E30" s="516">
        <v>0.06</v>
      </c>
    </row>
    <row r="31" spans="1:6">
      <c r="A31" s="65" t="s">
        <v>108</v>
      </c>
      <c r="B31" s="76"/>
      <c r="C31" s="76"/>
      <c r="D31" s="76"/>
      <c r="E31" s="442">
        <v>9</v>
      </c>
    </row>
    <row r="32" spans="1:6" ht="4.5" customHeight="1">
      <c r="A32" s="65"/>
      <c r="B32" s="76"/>
      <c r="C32" s="76"/>
      <c r="D32" s="76"/>
      <c r="E32" s="121"/>
    </row>
    <row r="33" spans="1:5" ht="13">
      <c r="A33" s="64" t="s">
        <v>359</v>
      </c>
      <c r="B33" s="76"/>
      <c r="C33" s="76"/>
      <c r="D33" s="76"/>
      <c r="E33" s="121"/>
    </row>
    <row r="34" spans="1:5">
      <c r="A34" s="65" t="s">
        <v>386</v>
      </c>
      <c r="B34" s="76"/>
      <c r="C34" s="76"/>
      <c r="D34" s="76"/>
      <c r="E34" s="441">
        <f>2*12</f>
        <v>24</v>
      </c>
    </row>
    <row r="35" spans="1:5">
      <c r="A35" s="65" t="s">
        <v>387</v>
      </c>
      <c r="B35" s="76"/>
      <c r="C35" s="76"/>
      <c r="D35" s="76"/>
      <c r="E35" s="516">
        <v>0.04</v>
      </c>
    </row>
    <row r="36" spans="1:5">
      <c r="A36" s="65" t="s">
        <v>388</v>
      </c>
      <c r="B36" s="76"/>
      <c r="C36" s="76"/>
      <c r="D36" s="76"/>
      <c r="E36" s="516">
        <v>0.06</v>
      </c>
    </row>
    <row r="37" spans="1:5">
      <c r="A37" s="65" t="s">
        <v>108</v>
      </c>
      <c r="B37" s="76"/>
      <c r="C37" s="76"/>
      <c r="D37" s="76"/>
      <c r="E37" s="442">
        <f>4.8</f>
        <v>4.8</v>
      </c>
    </row>
    <row r="38" spans="1:5" ht="4.5" customHeight="1">
      <c r="A38" s="65"/>
      <c r="B38" s="76"/>
      <c r="C38" s="76"/>
      <c r="D38" s="76"/>
      <c r="E38" s="121"/>
    </row>
    <row r="39" spans="1:5" ht="13">
      <c r="A39" s="64" t="s">
        <v>361</v>
      </c>
      <c r="B39" s="76"/>
      <c r="C39" s="76"/>
      <c r="D39" s="76"/>
      <c r="E39" s="121"/>
    </row>
    <row r="40" spans="1:5">
      <c r="A40" s="65" t="s">
        <v>389</v>
      </c>
      <c r="B40" s="76"/>
      <c r="C40" s="76"/>
      <c r="D40" s="76"/>
      <c r="E40" s="441">
        <f>2*12</f>
        <v>24</v>
      </c>
    </row>
    <row r="41" spans="1:5">
      <c r="A41" s="65" t="s">
        <v>390</v>
      </c>
      <c r="B41" s="76"/>
      <c r="C41" s="76"/>
      <c r="D41" s="76"/>
      <c r="E41" s="516">
        <v>0.04</v>
      </c>
    </row>
    <row r="42" spans="1:5">
      <c r="A42" s="65" t="s">
        <v>391</v>
      </c>
      <c r="B42" s="76"/>
      <c r="C42" s="76"/>
      <c r="D42" s="76"/>
      <c r="E42" s="516">
        <v>0.06</v>
      </c>
    </row>
    <row r="43" spans="1:5">
      <c r="A43" s="65" t="s">
        <v>108</v>
      </c>
      <c r="B43" s="76"/>
      <c r="C43" s="76"/>
      <c r="D43" s="76"/>
      <c r="E43" s="442">
        <f>4.8</f>
        <v>4.8</v>
      </c>
    </row>
    <row r="44" spans="1:5" ht="4.5" customHeight="1">
      <c r="A44" s="65"/>
      <c r="B44" s="76"/>
      <c r="C44" s="76"/>
      <c r="D44" s="76"/>
      <c r="E44" s="121"/>
    </row>
    <row r="45" spans="1:5" ht="13">
      <c r="A45" s="64" t="s">
        <v>202</v>
      </c>
      <c r="B45" s="76"/>
      <c r="C45" s="76"/>
      <c r="D45" s="76"/>
      <c r="E45" s="121"/>
    </row>
    <row r="46" spans="1:5">
      <c r="A46" s="65" t="s">
        <v>209</v>
      </c>
      <c r="B46" s="76"/>
      <c r="C46" s="76"/>
      <c r="D46" s="76"/>
      <c r="E46" s="441">
        <v>9</v>
      </c>
    </row>
    <row r="47" spans="1:5">
      <c r="A47" s="65" t="s">
        <v>210</v>
      </c>
      <c r="B47" s="76"/>
      <c r="C47" s="76"/>
      <c r="D47" s="76"/>
      <c r="E47" s="516">
        <v>0.04</v>
      </c>
    </row>
    <row r="48" spans="1:5" s="76" customFormat="1">
      <c r="A48" s="65" t="s">
        <v>211</v>
      </c>
      <c r="E48" s="516">
        <v>7.0000000000000007E-2</v>
      </c>
    </row>
    <row r="49" spans="1:5" ht="13" thickBot="1">
      <c r="A49" s="68" t="s">
        <v>108</v>
      </c>
      <c r="B49" s="128"/>
      <c r="C49" s="128"/>
      <c r="D49" s="128"/>
      <c r="E49" s="443">
        <v>1</v>
      </c>
    </row>
  </sheetData>
  <printOptions horizontalCentered="1"/>
  <pageMargins left="0.45" right="0.45" top="0.5" bottom="0.5" header="0.3" footer="0.3"/>
  <pageSetup scale="11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5"/>
  <sheetViews>
    <sheetView view="pageBreakPreview" topLeftCell="A18" zoomScale="85" zoomScaleNormal="85" zoomScaleSheetLayoutView="85" workbookViewId="0">
      <selection activeCell="B25" sqref="B25"/>
    </sheetView>
  </sheetViews>
  <sheetFormatPr defaultColWidth="10" defaultRowHeight="12.5"/>
  <cols>
    <col min="1" max="1" width="31" style="417" customWidth="1"/>
    <col min="2" max="2" width="19" style="417" customWidth="1"/>
    <col min="3" max="3" width="19" style="440" customWidth="1"/>
    <col min="4" max="5" width="19" style="417" customWidth="1"/>
    <col min="6" max="16384" width="10" style="417"/>
  </cols>
  <sheetData>
    <row r="1" spans="1:5" s="37" customFormat="1" ht="13">
      <c r="A1" s="52" t="s">
        <v>79</v>
      </c>
      <c r="B1" s="53"/>
      <c r="C1" s="53"/>
      <c r="D1" s="53"/>
      <c r="E1" s="54"/>
    </row>
    <row r="2" spans="1:5" s="37" customFormat="1" ht="13.5" thickBot="1">
      <c r="A2" s="55" t="s">
        <v>120</v>
      </c>
      <c r="B2" s="56"/>
      <c r="C2" s="56"/>
      <c r="D2" s="56"/>
      <c r="E2" s="57"/>
    </row>
    <row r="3" spans="1:5" s="37" customFormat="1" ht="12.75" customHeight="1">
      <c r="A3" s="133"/>
      <c r="B3" s="424" t="s">
        <v>121</v>
      </c>
      <c r="C3" s="424" t="s">
        <v>122</v>
      </c>
      <c r="D3" s="424" t="s">
        <v>123</v>
      </c>
      <c r="E3" s="425" t="s">
        <v>30</v>
      </c>
    </row>
    <row r="4" spans="1:5" s="37" customFormat="1" ht="15.5" thickBot="1">
      <c r="A4" s="125" t="s">
        <v>124</v>
      </c>
      <c r="B4" s="146" t="s">
        <v>125</v>
      </c>
      <c r="C4" s="146" t="s">
        <v>126</v>
      </c>
      <c r="D4" s="146" t="s">
        <v>127</v>
      </c>
      <c r="E4" s="426" t="s">
        <v>126</v>
      </c>
    </row>
    <row r="5" spans="1:5" s="37" customFormat="1" ht="13">
      <c r="A5" s="65" t="s">
        <v>128</v>
      </c>
      <c r="B5" s="1004">
        <v>130.94999999999999</v>
      </c>
      <c r="C5" s="1005">
        <f t="shared" ref="C5:C30" si="0">B5*$B$34</f>
        <v>26.189999999999998</v>
      </c>
      <c r="D5" s="1006">
        <f t="shared" ref="D5:D30" si="1">B5*$B$35</f>
        <v>5.2379999999999995</v>
      </c>
      <c r="E5" s="1007">
        <f>SUM(B5:D5)</f>
        <v>162.37799999999999</v>
      </c>
    </row>
    <row r="6" spans="1:5" s="37" customFormat="1" ht="13">
      <c r="A6" s="65" t="s">
        <v>129</v>
      </c>
      <c r="B6" s="427">
        <v>135.55000000000001</v>
      </c>
      <c r="C6" s="428">
        <f t="shared" si="0"/>
        <v>27.110000000000003</v>
      </c>
      <c r="D6" s="429">
        <f t="shared" si="1"/>
        <v>5.4220000000000006</v>
      </c>
      <c r="E6" s="430">
        <f t="shared" ref="E6:E30" si="2">SUM(B6:D6)</f>
        <v>168.08200000000002</v>
      </c>
    </row>
    <row r="7" spans="1:5" s="37" customFormat="1" ht="13">
      <c r="A7" s="65" t="s">
        <v>130</v>
      </c>
      <c r="B7" s="427">
        <v>159.86000000000001</v>
      </c>
      <c r="C7" s="428">
        <f t="shared" si="0"/>
        <v>31.972000000000005</v>
      </c>
      <c r="D7" s="429">
        <f t="shared" si="1"/>
        <v>6.394400000000001</v>
      </c>
      <c r="E7" s="430">
        <f t="shared" si="2"/>
        <v>198.22640000000001</v>
      </c>
    </row>
    <row r="8" spans="1:5" s="37" customFormat="1" ht="13">
      <c r="A8" s="65" t="s">
        <v>131</v>
      </c>
      <c r="B8" s="427">
        <v>170.36</v>
      </c>
      <c r="C8" s="428">
        <f t="shared" si="0"/>
        <v>34.072000000000003</v>
      </c>
      <c r="D8" s="429">
        <f t="shared" si="1"/>
        <v>6.8144000000000009</v>
      </c>
      <c r="E8" s="430">
        <f t="shared" si="2"/>
        <v>211.24640000000002</v>
      </c>
    </row>
    <row r="9" spans="1:5" s="37" customFormat="1" ht="13">
      <c r="A9" s="65" t="s">
        <v>155</v>
      </c>
      <c r="B9" s="427">
        <v>195.21</v>
      </c>
      <c r="C9" s="428">
        <f t="shared" si="0"/>
        <v>39.042000000000002</v>
      </c>
      <c r="D9" s="429">
        <f t="shared" si="1"/>
        <v>7.8084000000000007</v>
      </c>
      <c r="E9" s="430">
        <f t="shared" si="2"/>
        <v>242.06040000000002</v>
      </c>
    </row>
    <row r="10" spans="1:5" s="37" customFormat="1" ht="13">
      <c r="A10" s="65" t="s">
        <v>132</v>
      </c>
      <c r="B10" s="427">
        <v>127.06</v>
      </c>
      <c r="C10" s="428">
        <f t="shared" si="0"/>
        <v>25.412000000000003</v>
      </c>
      <c r="D10" s="429">
        <f t="shared" si="1"/>
        <v>5.0823999999999998</v>
      </c>
      <c r="E10" s="430">
        <f t="shared" si="2"/>
        <v>157.55440000000002</v>
      </c>
    </row>
    <row r="11" spans="1:5" s="37" customFormat="1" ht="13">
      <c r="A11" s="65" t="s">
        <v>133</v>
      </c>
      <c r="B11" s="427">
        <v>105.75</v>
      </c>
      <c r="C11" s="428">
        <f t="shared" si="0"/>
        <v>21.150000000000002</v>
      </c>
      <c r="D11" s="429">
        <f t="shared" si="1"/>
        <v>4.2300000000000004</v>
      </c>
      <c r="E11" s="430">
        <f t="shared" si="2"/>
        <v>131.13</v>
      </c>
    </row>
    <row r="12" spans="1:5" s="37" customFormat="1" ht="13">
      <c r="A12" s="65" t="s">
        <v>134</v>
      </c>
      <c r="B12" s="427">
        <v>135.04</v>
      </c>
      <c r="C12" s="428">
        <f t="shared" si="0"/>
        <v>27.007999999999999</v>
      </c>
      <c r="D12" s="429">
        <f t="shared" si="1"/>
        <v>5.4016000000000002</v>
      </c>
      <c r="E12" s="430">
        <f t="shared" si="2"/>
        <v>167.4496</v>
      </c>
    </row>
    <row r="13" spans="1:5" s="37" customFormat="1" ht="13">
      <c r="A13" s="1008" t="s">
        <v>135</v>
      </c>
      <c r="B13" s="1009">
        <v>82.9</v>
      </c>
      <c r="C13" s="1010">
        <f t="shared" si="0"/>
        <v>16.580000000000002</v>
      </c>
      <c r="D13" s="1011">
        <f t="shared" si="1"/>
        <v>3.3160000000000003</v>
      </c>
      <c r="E13" s="1012">
        <f t="shared" si="2"/>
        <v>102.79600000000001</v>
      </c>
    </row>
    <row r="14" spans="1:5" s="37" customFormat="1" ht="13">
      <c r="A14" s="1008" t="s">
        <v>156</v>
      </c>
      <c r="B14" s="1009">
        <v>125.27</v>
      </c>
      <c r="C14" s="1010">
        <f t="shared" si="0"/>
        <v>25.054000000000002</v>
      </c>
      <c r="D14" s="1011">
        <f t="shared" si="1"/>
        <v>5.0107999999999997</v>
      </c>
      <c r="E14" s="1012">
        <f t="shared" si="2"/>
        <v>155.3348</v>
      </c>
    </row>
    <row r="15" spans="1:5" s="37" customFormat="1" ht="13">
      <c r="A15" s="65" t="s">
        <v>398</v>
      </c>
      <c r="B15" s="427">
        <v>134.99</v>
      </c>
      <c r="C15" s="428">
        <f t="shared" si="0"/>
        <v>26.998000000000005</v>
      </c>
      <c r="D15" s="429">
        <f t="shared" si="1"/>
        <v>5.3996000000000004</v>
      </c>
      <c r="E15" s="430">
        <f t="shared" si="2"/>
        <v>167.38759999999999</v>
      </c>
    </row>
    <row r="16" spans="1:5" s="37" customFormat="1" ht="13">
      <c r="A16" s="65" t="s">
        <v>136</v>
      </c>
      <c r="B16" s="427">
        <v>147.66999999999999</v>
      </c>
      <c r="C16" s="428">
        <f t="shared" si="0"/>
        <v>29.533999999999999</v>
      </c>
      <c r="D16" s="429">
        <f t="shared" si="1"/>
        <v>5.9067999999999996</v>
      </c>
      <c r="E16" s="430">
        <f t="shared" si="2"/>
        <v>183.11079999999998</v>
      </c>
    </row>
    <row r="17" spans="1:6" s="37" customFormat="1" ht="13">
      <c r="A17" s="65" t="s">
        <v>137</v>
      </c>
      <c r="B17" s="427">
        <v>158.43</v>
      </c>
      <c r="C17" s="428">
        <f t="shared" si="0"/>
        <v>31.686000000000003</v>
      </c>
      <c r="D17" s="429">
        <f t="shared" si="1"/>
        <v>6.3372000000000002</v>
      </c>
      <c r="E17" s="430">
        <f t="shared" si="2"/>
        <v>196.45320000000001</v>
      </c>
    </row>
    <row r="18" spans="1:6" s="37" customFormat="1" ht="13">
      <c r="A18" s="65" t="s">
        <v>138</v>
      </c>
      <c r="B18" s="427">
        <v>140.52000000000001</v>
      </c>
      <c r="C18" s="428">
        <f t="shared" si="0"/>
        <v>28.104000000000003</v>
      </c>
      <c r="D18" s="429">
        <f t="shared" si="1"/>
        <v>5.6208000000000009</v>
      </c>
      <c r="E18" s="430">
        <f t="shared" si="2"/>
        <v>174.24480000000003</v>
      </c>
    </row>
    <row r="19" spans="1:6" s="37" customFormat="1" ht="13">
      <c r="A19" s="65" t="s">
        <v>399</v>
      </c>
      <c r="B19" s="427">
        <v>163.61000000000001</v>
      </c>
      <c r="C19" s="428">
        <f t="shared" si="0"/>
        <v>32.722000000000001</v>
      </c>
      <c r="D19" s="429">
        <f t="shared" si="1"/>
        <v>6.5444000000000004</v>
      </c>
      <c r="E19" s="430">
        <f t="shared" si="2"/>
        <v>202.87640000000002</v>
      </c>
    </row>
    <row r="20" spans="1:6" s="37" customFormat="1" ht="13">
      <c r="A20" s="65" t="s">
        <v>400</v>
      </c>
      <c r="B20" s="427">
        <v>188.44</v>
      </c>
      <c r="C20" s="428">
        <f t="shared" si="0"/>
        <v>37.688000000000002</v>
      </c>
      <c r="D20" s="429">
        <f t="shared" si="1"/>
        <v>7.5376000000000003</v>
      </c>
      <c r="E20" s="430">
        <f t="shared" si="2"/>
        <v>233.66559999999998</v>
      </c>
    </row>
    <row r="21" spans="1:6" s="37" customFormat="1" ht="13">
      <c r="A21" s="65" t="s">
        <v>139</v>
      </c>
      <c r="B21" s="427">
        <v>136.16999999999999</v>
      </c>
      <c r="C21" s="428">
        <f t="shared" si="0"/>
        <v>27.233999999999998</v>
      </c>
      <c r="D21" s="429">
        <f t="shared" si="1"/>
        <v>5.4467999999999996</v>
      </c>
      <c r="E21" s="430">
        <f t="shared" si="2"/>
        <v>168.85079999999999</v>
      </c>
    </row>
    <row r="22" spans="1:6" s="37" customFormat="1" ht="13">
      <c r="A22" s="65" t="s">
        <v>140</v>
      </c>
      <c r="B22" s="427">
        <v>169.95</v>
      </c>
      <c r="C22" s="428">
        <f t="shared" si="0"/>
        <v>33.99</v>
      </c>
      <c r="D22" s="429">
        <f t="shared" si="1"/>
        <v>6.798</v>
      </c>
      <c r="E22" s="430">
        <f t="shared" si="2"/>
        <v>210.738</v>
      </c>
      <c r="F22" s="431"/>
    </row>
    <row r="23" spans="1:6" s="37" customFormat="1" ht="13">
      <c r="A23" s="65" t="s">
        <v>141</v>
      </c>
      <c r="B23" s="427">
        <v>150.94999999999999</v>
      </c>
      <c r="C23" s="428">
        <f t="shared" si="0"/>
        <v>30.189999999999998</v>
      </c>
      <c r="D23" s="429">
        <f t="shared" si="1"/>
        <v>6.0379999999999994</v>
      </c>
      <c r="E23" s="430">
        <f t="shared" si="2"/>
        <v>187.178</v>
      </c>
    </row>
    <row r="24" spans="1:6" s="37" customFormat="1" ht="13">
      <c r="A24" s="65" t="s">
        <v>142</v>
      </c>
      <c r="B24" s="427">
        <v>131.94999999999999</v>
      </c>
      <c r="C24" s="428">
        <f t="shared" si="0"/>
        <v>26.39</v>
      </c>
      <c r="D24" s="429">
        <f t="shared" si="1"/>
        <v>5.2779999999999996</v>
      </c>
      <c r="E24" s="430">
        <f t="shared" si="2"/>
        <v>163.61799999999997</v>
      </c>
    </row>
    <row r="25" spans="1:6" s="37" customFormat="1" ht="13">
      <c r="A25" s="65" t="s">
        <v>143</v>
      </c>
      <c r="B25" s="427">
        <v>158.22</v>
      </c>
      <c r="C25" s="428">
        <f t="shared" si="0"/>
        <v>31.644000000000002</v>
      </c>
      <c r="D25" s="429">
        <f t="shared" si="1"/>
        <v>6.3288000000000002</v>
      </c>
      <c r="E25" s="430">
        <f t="shared" si="2"/>
        <v>196.19280000000001</v>
      </c>
    </row>
    <row r="26" spans="1:6" s="37" customFormat="1" ht="13">
      <c r="A26" s="65" t="s">
        <v>144</v>
      </c>
      <c r="B26" s="427">
        <v>177.44</v>
      </c>
      <c r="C26" s="428">
        <f t="shared" si="0"/>
        <v>35.488</v>
      </c>
      <c r="D26" s="429">
        <f t="shared" si="1"/>
        <v>7.0975999999999999</v>
      </c>
      <c r="E26" s="430">
        <f t="shared" si="2"/>
        <v>220.0256</v>
      </c>
    </row>
    <row r="27" spans="1:6" s="37" customFormat="1" ht="13">
      <c r="A27" s="65" t="s">
        <v>401</v>
      </c>
      <c r="B27" s="427">
        <v>99.25</v>
      </c>
      <c r="C27" s="428">
        <f t="shared" si="0"/>
        <v>19.850000000000001</v>
      </c>
      <c r="D27" s="429">
        <f t="shared" si="1"/>
        <v>3.97</v>
      </c>
      <c r="E27" s="430">
        <f t="shared" si="2"/>
        <v>123.07</v>
      </c>
    </row>
    <row r="28" spans="1:6" s="37" customFormat="1" ht="13">
      <c r="A28" s="65" t="s">
        <v>402</v>
      </c>
      <c r="B28" s="427">
        <v>105.02</v>
      </c>
      <c r="C28" s="428">
        <f t="shared" si="0"/>
        <v>21.004000000000001</v>
      </c>
      <c r="D28" s="429">
        <f t="shared" si="1"/>
        <v>4.2008000000000001</v>
      </c>
      <c r="E28" s="430">
        <f t="shared" si="2"/>
        <v>130.22479999999999</v>
      </c>
    </row>
    <row r="29" spans="1:6" ht="13">
      <c r="A29" s="65" t="s">
        <v>145</v>
      </c>
      <c r="B29" s="427">
        <v>83.97</v>
      </c>
      <c r="C29" s="428">
        <f t="shared" si="0"/>
        <v>16.794</v>
      </c>
      <c r="D29" s="429">
        <f t="shared" si="1"/>
        <v>3.3588</v>
      </c>
      <c r="E29" s="430">
        <f t="shared" si="2"/>
        <v>104.1228</v>
      </c>
      <c r="F29" s="37"/>
    </row>
    <row r="30" spans="1:6" ht="13.5" thickBot="1">
      <c r="A30" s="68" t="s">
        <v>146</v>
      </c>
      <c r="B30" s="432">
        <v>77.62</v>
      </c>
      <c r="C30" s="433">
        <f t="shared" si="0"/>
        <v>15.524000000000001</v>
      </c>
      <c r="D30" s="434">
        <f t="shared" si="1"/>
        <v>3.1048000000000004</v>
      </c>
      <c r="E30" s="435">
        <f t="shared" si="2"/>
        <v>96.248800000000003</v>
      </c>
      <c r="F30" s="37"/>
    </row>
    <row r="31" spans="1:6">
      <c r="A31" s="37" t="s">
        <v>403</v>
      </c>
      <c r="B31" s="37"/>
      <c r="C31" s="59"/>
      <c r="D31" s="37"/>
      <c r="E31" s="37"/>
      <c r="F31" s="37"/>
    </row>
    <row r="32" spans="1:6" ht="13" thickBot="1">
      <c r="A32" s="37"/>
      <c r="B32" s="37"/>
      <c r="C32" s="59"/>
      <c r="D32" s="37"/>
      <c r="E32" s="37"/>
      <c r="F32" s="37"/>
    </row>
    <row r="33" spans="1:6" ht="13.5" thickBot="1">
      <c r="A33" s="136" t="s">
        <v>13</v>
      </c>
      <c r="B33" s="138"/>
      <c r="C33" s="66"/>
      <c r="D33" s="37" t="s">
        <v>404</v>
      </c>
      <c r="E33" s="1013">
        <v>47.91</v>
      </c>
      <c r="F33" s="37"/>
    </row>
    <row r="34" spans="1:6">
      <c r="A34" s="65" t="s">
        <v>147</v>
      </c>
      <c r="B34" s="516">
        <v>0.2</v>
      </c>
      <c r="C34" s="66"/>
      <c r="D34" s="76"/>
      <c r="E34" s="76"/>
      <c r="F34" s="37"/>
    </row>
    <row r="35" spans="1:6" ht="13" thickBot="1">
      <c r="A35" s="68" t="s">
        <v>148</v>
      </c>
      <c r="B35" s="511">
        <v>0.04</v>
      </c>
      <c r="C35" s="66"/>
      <c r="D35" s="76"/>
      <c r="E35" s="76"/>
      <c r="F35" s="37"/>
    </row>
    <row r="36" spans="1:6" ht="13.5" thickBot="1">
      <c r="A36" s="58"/>
      <c r="B36" s="37"/>
      <c r="C36" s="59"/>
      <c r="D36" s="37"/>
      <c r="E36" s="37"/>
      <c r="F36" s="37"/>
    </row>
    <row r="37" spans="1:6" ht="13">
      <c r="A37" s="52" t="s">
        <v>79</v>
      </c>
      <c r="B37" s="436"/>
      <c r="C37" s="59"/>
      <c r="D37" s="37"/>
      <c r="E37" s="37"/>
      <c r="F37" s="37"/>
    </row>
    <row r="38" spans="1:6" ht="13.5" thickBot="1">
      <c r="A38" s="55" t="s">
        <v>149</v>
      </c>
      <c r="B38" s="437"/>
      <c r="C38" s="59"/>
      <c r="D38" s="37"/>
      <c r="E38" s="37"/>
      <c r="F38" s="37"/>
    </row>
    <row r="39" spans="1:6" ht="13.5" thickBot="1">
      <c r="A39" s="89" t="s">
        <v>150</v>
      </c>
      <c r="B39" s="93" t="s">
        <v>151</v>
      </c>
      <c r="C39" s="59"/>
      <c r="D39" s="37"/>
      <c r="E39" s="37"/>
      <c r="F39" s="37"/>
    </row>
    <row r="40" spans="1:6">
      <c r="A40" s="65" t="s">
        <v>152</v>
      </c>
      <c r="B40" s="441">
        <v>35</v>
      </c>
      <c r="C40" s="59"/>
      <c r="D40" s="37"/>
      <c r="E40" s="37"/>
      <c r="F40" s="37"/>
    </row>
    <row r="41" spans="1:6">
      <c r="A41" s="65" t="s">
        <v>52</v>
      </c>
      <c r="B41" s="442">
        <v>10</v>
      </c>
      <c r="C41" s="59"/>
      <c r="D41" s="37"/>
      <c r="E41" s="37"/>
      <c r="F41" s="37"/>
    </row>
    <row r="42" spans="1:6">
      <c r="A42" s="65" t="s">
        <v>153</v>
      </c>
      <c r="B42" s="442">
        <v>25</v>
      </c>
      <c r="C42" s="59"/>
      <c r="D42" s="37"/>
      <c r="E42" s="37"/>
      <c r="F42" s="37"/>
    </row>
    <row r="43" spans="1:6">
      <c r="A43" s="65" t="s">
        <v>405</v>
      </c>
      <c r="B43" s="442">
        <v>250</v>
      </c>
      <c r="C43" s="59"/>
      <c r="D43" s="37" t="s">
        <v>407</v>
      </c>
      <c r="E43" s="37"/>
      <c r="F43" s="37"/>
    </row>
    <row r="44" spans="1:6" ht="13" thickBot="1">
      <c r="A44" s="68" t="s">
        <v>154</v>
      </c>
      <c r="B44" s="443">
        <v>50</v>
      </c>
      <c r="C44" s="59"/>
      <c r="D44" s="37"/>
      <c r="E44" s="37"/>
      <c r="F44" s="37"/>
    </row>
    <row r="45" spans="1:6">
      <c r="A45" s="37"/>
      <c r="B45" s="37"/>
      <c r="C45" s="59"/>
      <c r="D45" s="37"/>
      <c r="E45" s="37"/>
      <c r="F45" s="37"/>
    </row>
  </sheetData>
  <printOptions horizontalCentered="1"/>
  <pageMargins left="0.45" right="0.45" top="0.5" bottom="0.5" header="0.3" footer="0.3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52"/>
  <sheetViews>
    <sheetView zoomScale="85" zoomScaleNormal="85" workbookViewId="0">
      <selection activeCell="I15" sqref="I15"/>
    </sheetView>
  </sheetViews>
  <sheetFormatPr defaultColWidth="9.1796875" defaultRowHeight="12.5"/>
  <cols>
    <col min="1" max="1" width="31.54296875" style="576" customWidth="1"/>
    <col min="2" max="2" width="13.7265625" style="576" bestFit="1" customWidth="1"/>
    <col min="3" max="3" width="13.453125" style="576" bestFit="1" customWidth="1"/>
    <col min="4" max="4" width="14.26953125" style="576" customWidth="1"/>
    <col min="5" max="9" width="12.7265625" style="576" bestFit="1" customWidth="1"/>
    <col min="10" max="10" width="13.7265625" style="576" customWidth="1"/>
    <col min="11" max="11" width="12.7265625" style="576" bestFit="1" customWidth="1"/>
    <col min="12" max="12" width="13.7265625" style="576" customWidth="1"/>
    <col min="13" max="13" width="14.453125" style="576" customWidth="1"/>
    <col min="14" max="14" width="12.7265625" style="576" bestFit="1" customWidth="1"/>
    <col min="15" max="16384" width="9.1796875" style="576"/>
  </cols>
  <sheetData>
    <row r="1" spans="1:16" ht="13">
      <c r="A1" s="52" t="s">
        <v>79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8"/>
    </row>
    <row r="2" spans="1:16" ht="13.5" thickBot="1">
      <c r="A2" s="55" t="s">
        <v>244</v>
      </c>
      <c r="B2" s="620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21"/>
    </row>
    <row r="3" spans="1:16" ht="13.5" thickBot="1">
      <c r="A3" s="133"/>
      <c r="B3" s="47" t="s">
        <v>53</v>
      </c>
      <c r="C3" s="112" t="s">
        <v>34</v>
      </c>
      <c r="D3" s="113"/>
      <c r="E3" s="44"/>
      <c r="F3" s="112" t="s">
        <v>76</v>
      </c>
      <c r="G3" s="154"/>
      <c r="H3" s="44"/>
      <c r="I3" s="112" t="s">
        <v>77</v>
      </c>
      <c r="J3" s="42"/>
      <c r="K3" s="43"/>
      <c r="L3" s="44"/>
      <c r="M3" s="602"/>
    </row>
    <row r="4" spans="1:16" ht="14.15" customHeight="1" thickBot="1">
      <c r="A4" s="65"/>
      <c r="B4" s="303">
        <v>0</v>
      </c>
      <c r="C4" s="110">
        <f>B4+1</f>
        <v>1</v>
      </c>
      <c r="D4" s="109">
        <f t="shared" ref="D4:L5" si="0">C4+1</f>
        <v>2</v>
      </c>
      <c r="E4" s="111">
        <f t="shared" si="0"/>
        <v>3</v>
      </c>
      <c r="F4" s="110">
        <f t="shared" si="0"/>
        <v>4</v>
      </c>
      <c r="G4" s="146">
        <f t="shared" si="0"/>
        <v>5</v>
      </c>
      <c r="H4" s="111">
        <f t="shared" si="0"/>
        <v>6</v>
      </c>
      <c r="I4" s="110">
        <f t="shared" si="0"/>
        <v>7</v>
      </c>
      <c r="J4" s="109">
        <f t="shared" si="0"/>
        <v>8</v>
      </c>
      <c r="K4" s="109">
        <f t="shared" si="0"/>
        <v>9</v>
      </c>
      <c r="L4" s="111">
        <f t="shared" si="0"/>
        <v>10</v>
      </c>
      <c r="M4" s="603"/>
    </row>
    <row r="5" spans="1:16" ht="14.15" customHeight="1" thickBot="1">
      <c r="A5" s="68"/>
      <c r="B5" s="303" t="s">
        <v>58</v>
      </c>
      <c r="C5" s="292">
        <v>2015</v>
      </c>
      <c r="D5" s="109">
        <f>C5+1</f>
        <v>2016</v>
      </c>
      <c r="E5" s="111">
        <f t="shared" si="0"/>
        <v>2017</v>
      </c>
      <c r="F5" s="110">
        <f t="shared" si="0"/>
        <v>2018</v>
      </c>
      <c r="G5" s="109">
        <f t="shared" si="0"/>
        <v>2019</v>
      </c>
      <c r="H5" s="111">
        <f t="shared" si="0"/>
        <v>2020</v>
      </c>
      <c r="I5" s="110">
        <f t="shared" si="0"/>
        <v>2021</v>
      </c>
      <c r="J5" s="109">
        <f t="shared" si="0"/>
        <v>2022</v>
      </c>
      <c r="K5" s="109">
        <f>J5+1</f>
        <v>2023</v>
      </c>
      <c r="L5" s="111">
        <f>K5+1</f>
        <v>2024</v>
      </c>
      <c r="M5" s="604" t="s">
        <v>30</v>
      </c>
    </row>
    <row r="6" spans="1:16" ht="14.15" customHeight="1">
      <c r="A6" s="580" t="s">
        <v>65</v>
      </c>
      <c r="B6" s="610">
        <f>'Summary Board'!D21</f>
        <v>89688000.090922624</v>
      </c>
      <c r="C6" s="610">
        <f>'Summary Board'!E21</f>
        <v>0</v>
      </c>
      <c r="D6" s="606">
        <f>'Summary Board'!F21</f>
        <v>0</v>
      </c>
      <c r="E6" s="589">
        <f>'Summary Board'!G21</f>
        <v>0</v>
      </c>
      <c r="F6" s="610">
        <f>'Summary Board'!H21</f>
        <v>0</v>
      </c>
      <c r="G6" s="606">
        <f>'Summary Board'!I21</f>
        <v>0</v>
      </c>
      <c r="H6" s="589">
        <f>'Summary Board'!J21</f>
        <v>0</v>
      </c>
      <c r="I6" s="610">
        <f>'Summary Board'!K21</f>
        <v>0</v>
      </c>
      <c r="J6" s="606">
        <f>'Summary Board'!L21</f>
        <v>0</v>
      </c>
      <c r="K6" s="606">
        <f>'Summary Board'!M21</f>
        <v>0</v>
      </c>
      <c r="L6" s="589">
        <f>'Summary Board'!N21</f>
        <v>0</v>
      </c>
      <c r="M6" s="622">
        <f>SUM(B6:L6)</f>
        <v>89688000.090922624</v>
      </c>
      <c r="P6" s="576">
        <f>95*65</f>
        <v>6175</v>
      </c>
    </row>
    <row r="7" spans="1:16" ht="14.15" customHeight="1">
      <c r="A7" s="580" t="s">
        <v>230</v>
      </c>
      <c r="B7" s="611">
        <f>'Summary Board'!D23</f>
        <v>917142.8</v>
      </c>
      <c r="C7" s="611">
        <f>'Summary Board'!E23</f>
        <v>0</v>
      </c>
      <c r="D7" s="608">
        <f>'Summary Board'!F23</f>
        <v>0</v>
      </c>
      <c r="E7" s="612">
        <f>'Summary Board'!G23</f>
        <v>0</v>
      </c>
      <c r="F7" s="611">
        <f>'Summary Board'!H23</f>
        <v>0</v>
      </c>
      <c r="G7" s="608">
        <f>'Summary Board'!I23</f>
        <v>0</v>
      </c>
      <c r="H7" s="612">
        <f>'Summary Board'!J23</f>
        <v>0</v>
      </c>
      <c r="I7" s="611">
        <f>'Summary Board'!K23</f>
        <v>0</v>
      </c>
      <c r="J7" s="608">
        <f>'Summary Board'!L23</f>
        <v>0</v>
      </c>
      <c r="K7" s="608">
        <f>'Summary Board'!M23</f>
        <v>0</v>
      </c>
      <c r="L7" s="612">
        <f>'Summary Board'!N23</f>
        <v>0</v>
      </c>
      <c r="M7" s="623">
        <f t="shared" ref="M7:M9" si="1">SUM(B7:L7)</f>
        <v>917142.8</v>
      </c>
      <c r="P7" s="576">
        <f>P6/850</f>
        <v>7.2647058823529411</v>
      </c>
    </row>
    <row r="8" spans="1:16">
      <c r="A8" s="580" t="s">
        <v>237</v>
      </c>
      <c r="B8" s="611">
        <f>SUM('Summary Board'!D14:D20,'Summary Board'!D22)</f>
        <v>0</v>
      </c>
      <c r="C8" s="611">
        <f>SUM('Summary Board'!E14:E20,'Summary Board'!E22)</f>
        <v>49920064.810200006</v>
      </c>
      <c r="D8" s="608">
        <f>SUM('Summary Board'!F14:F20,'Summary Board'!F22)</f>
        <v>6441024.3454080001</v>
      </c>
      <c r="E8" s="612">
        <f>SUM('Summary Board'!G14:G20,'Summary Board'!G22)</f>
        <v>44569777.219796158</v>
      </c>
      <c r="F8" s="611">
        <f>SUM('Summary Board'!H14:H20,'Summary Board'!H22)</f>
        <v>87628773.77462557</v>
      </c>
      <c r="G8" s="608">
        <f>SUM('Summary Board'!I14:I20,'Summary Board'!I22)</f>
        <v>61051379.570916742</v>
      </c>
      <c r="H8" s="612">
        <f>SUM('Summary Board'!J14:J20,'Summary Board'!J22)</f>
        <v>38237677.701284811</v>
      </c>
      <c r="I8" s="611">
        <f>SUM('Summary Board'!K14:K20,'Summary Board'!K22)</f>
        <v>53628118.20124048</v>
      </c>
      <c r="J8" s="608">
        <f>SUM('Summary Board'!L14:L20,'Summary Board'!L22)</f>
        <v>5668868.8745877864</v>
      </c>
      <c r="K8" s="608">
        <f>SUM('Summary Board'!M14:M20,'Summary Board'!M22)</f>
        <v>11250528.540363748</v>
      </c>
      <c r="L8" s="612">
        <f>SUM('Summary Board'!N14:N20,'Summary Board'!N22)</f>
        <v>1523743.0249934464</v>
      </c>
      <c r="M8" s="623">
        <f t="shared" si="1"/>
        <v>359919956.06341666</v>
      </c>
    </row>
    <row r="9" spans="1:16" ht="13" thickBot="1">
      <c r="A9" s="591" t="s">
        <v>241</v>
      </c>
      <c r="B9" s="611">
        <f>Budget!C7</f>
        <v>2252625.4947716966</v>
      </c>
      <c r="C9" s="613">
        <v>0</v>
      </c>
      <c r="D9" s="605">
        <f>C9</f>
        <v>0</v>
      </c>
      <c r="E9" s="592">
        <f t="shared" ref="E9:L9" si="2">D9</f>
        <v>0</v>
      </c>
      <c r="F9" s="635">
        <f t="shared" si="2"/>
        <v>0</v>
      </c>
      <c r="G9" s="605">
        <f t="shared" si="2"/>
        <v>0</v>
      </c>
      <c r="H9" s="592">
        <f t="shared" si="2"/>
        <v>0</v>
      </c>
      <c r="I9" s="635">
        <f t="shared" si="2"/>
        <v>0</v>
      </c>
      <c r="J9" s="605">
        <f t="shared" si="2"/>
        <v>0</v>
      </c>
      <c r="K9" s="605">
        <f t="shared" si="2"/>
        <v>0</v>
      </c>
      <c r="L9" s="592">
        <f t="shared" si="2"/>
        <v>0</v>
      </c>
      <c r="M9" s="624">
        <f t="shared" si="1"/>
        <v>2252625.4947716966</v>
      </c>
    </row>
    <row r="10" spans="1:16" ht="13.5" thickBot="1">
      <c r="A10" s="593" t="s">
        <v>3</v>
      </c>
      <c r="B10" s="653">
        <f t="shared" ref="B10:K10" si="3">SUM(B6:B9)</f>
        <v>92857768.385694325</v>
      </c>
      <c r="C10" s="614">
        <f t="shared" si="3"/>
        <v>49920064.810200006</v>
      </c>
      <c r="D10" s="609">
        <f t="shared" si="3"/>
        <v>6441024.3454080001</v>
      </c>
      <c r="E10" s="596">
        <f t="shared" si="3"/>
        <v>44569777.219796158</v>
      </c>
      <c r="F10" s="614">
        <f t="shared" si="3"/>
        <v>87628773.77462557</v>
      </c>
      <c r="G10" s="609">
        <f t="shared" si="3"/>
        <v>61051379.570916742</v>
      </c>
      <c r="H10" s="596">
        <f t="shared" si="3"/>
        <v>38237677.701284811</v>
      </c>
      <c r="I10" s="614">
        <f t="shared" si="3"/>
        <v>53628118.20124048</v>
      </c>
      <c r="J10" s="609">
        <f t="shared" si="3"/>
        <v>5668868.8745877864</v>
      </c>
      <c r="K10" s="609">
        <f t="shared" si="3"/>
        <v>11250528.540363748</v>
      </c>
      <c r="L10" s="596">
        <f>SUM(L6:L9)</f>
        <v>1523743.0249934464</v>
      </c>
      <c r="M10" s="616">
        <f t="shared" ref="M10" si="4">SUM(M6:M9)</f>
        <v>452777724.44911098</v>
      </c>
    </row>
    <row r="11" spans="1:16" ht="4.5" customHeight="1">
      <c r="A11" s="626"/>
      <c r="B11" s="636"/>
      <c r="C11" s="636"/>
      <c r="D11" s="627"/>
      <c r="E11" s="628"/>
      <c r="F11" s="636"/>
      <c r="G11" s="627"/>
      <c r="H11" s="628"/>
      <c r="I11" s="636"/>
      <c r="J11" s="627"/>
      <c r="K11" s="627"/>
      <c r="L11" s="628"/>
      <c r="M11" s="633"/>
    </row>
    <row r="12" spans="1:16" ht="13">
      <c r="A12" s="595" t="s">
        <v>247</v>
      </c>
      <c r="B12" s="637"/>
      <c r="C12" s="637"/>
      <c r="D12" s="601"/>
      <c r="E12" s="629"/>
      <c r="F12" s="637"/>
      <c r="G12" s="601"/>
      <c r="H12" s="629"/>
      <c r="I12" s="637"/>
      <c r="J12" s="601"/>
      <c r="K12" s="601"/>
      <c r="L12" s="629"/>
      <c r="M12" s="634"/>
    </row>
    <row r="13" spans="1:16">
      <c r="A13" s="580" t="s">
        <v>234</v>
      </c>
      <c r="B13" s="638">
        <f>B10</f>
        <v>92857768.385694325</v>
      </c>
      <c r="C13" s="638">
        <f>IF(SUM($B$10:C10)&gt;Budget!$C$16,MAX(0,Budget!$C$16-SUM($B$13:B13)),C10)</f>
        <v>46038841.091607213</v>
      </c>
      <c r="D13" s="630">
        <f>IF(SUM($B$10:D10)&gt;Budget!$C$16,MAX(0,Budget!$C$16-SUM($B$13:C13)),D10)</f>
        <v>0</v>
      </c>
      <c r="E13" s="607">
        <f>IF(SUM($B$10:E10)&gt;Budget!$C$16,MAX(0,Budget!$C$16-SUM($B$13:D13)),E10)</f>
        <v>0</v>
      </c>
      <c r="F13" s="638">
        <f>IF(SUM($B$10:F10)&gt;Budget!$C$16,MAX(0,Budget!$C$16-SUM($B$13:E13)),F10)</f>
        <v>0</v>
      </c>
      <c r="G13" s="630">
        <f>IF(SUM($B$10:G10)&gt;Budget!$C$16,MAX(0,Budget!$C$16-SUM($B$13:F13)),G10)</f>
        <v>0</v>
      </c>
      <c r="H13" s="607">
        <f>IF(SUM($B$10:H10)&gt;Budget!$C$16,MAX(0,Budget!$C$16-SUM($B$13:G13)),H10)</f>
        <v>0</v>
      </c>
      <c r="I13" s="638">
        <f>IF(SUM($B$10:I10)&gt;Budget!$C$16,MAX(0,Budget!$C$16-SUM($B$13:H13)),I10)</f>
        <v>0</v>
      </c>
      <c r="J13" s="630">
        <f>IF(SUM($B$10:J10)&gt;Budget!$C$16,MAX(0,Budget!$C$16-SUM($B$13:I13)),J10)</f>
        <v>0</v>
      </c>
      <c r="K13" s="630">
        <f>IF(SUM($B$10:K10)&gt;Budget!$C$16,MAX(0,Budget!$C$16-SUM($B$13:J13)),K10)</f>
        <v>0</v>
      </c>
      <c r="L13" s="607">
        <f>IF(SUM($B$10:L10)&gt;Budget!$C$16,MAX(0,Budget!$C$16-SUM($B$13:K13)),L10)</f>
        <v>0</v>
      </c>
      <c r="M13" s="622">
        <f>SUM(B13:L13)</f>
        <v>138896609.47730154</v>
      </c>
      <c r="N13" s="598"/>
    </row>
    <row r="14" spans="1:16">
      <c r="A14" s="580"/>
      <c r="B14" s="610"/>
      <c r="C14" s="610"/>
      <c r="D14" s="606"/>
      <c r="E14" s="589"/>
      <c r="F14" s="610"/>
      <c r="G14" s="606"/>
      <c r="H14" s="589"/>
      <c r="I14" s="610"/>
      <c r="J14" s="606"/>
      <c r="K14" s="606"/>
      <c r="L14" s="589"/>
      <c r="M14" s="615"/>
      <c r="N14" s="598"/>
    </row>
    <row r="15" spans="1:16">
      <c r="A15" s="580" t="s">
        <v>235</v>
      </c>
      <c r="B15" s="638">
        <f>B10-B13</f>
        <v>0</v>
      </c>
      <c r="C15" s="638">
        <f t="shared" ref="C15:L15" si="5">C10-C13</f>
        <v>3881223.7185927927</v>
      </c>
      <c r="D15" s="630">
        <f t="shared" si="5"/>
        <v>6441024.3454080001</v>
      </c>
      <c r="E15" s="607">
        <f t="shared" si="5"/>
        <v>44569777.219796158</v>
      </c>
      <c r="F15" s="638">
        <f t="shared" si="5"/>
        <v>87628773.77462557</v>
      </c>
      <c r="G15" s="630">
        <f t="shared" si="5"/>
        <v>61051379.570916742</v>
      </c>
      <c r="H15" s="607">
        <f t="shared" si="5"/>
        <v>38237677.701284811</v>
      </c>
      <c r="I15" s="638">
        <f t="shared" si="5"/>
        <v>53628118.20124048</v>
      </c>
      <c r="J15" s="630">
        <f t="shared" si="5"/>
        <v>5668868.8745877864</v>
      </c>
      <c r="K15" s="630">
        <f t="shared" si="5"/>
        <v>11250528.540363748</v>
      </c>
      <c r="L15" s="607">
        <f t="shared" si="5"/>
        <v>1523743.0249934464</v>
      </c>
      <c r="M15" s="622">
        <f>SUM(B15:L15)</f>
        <v>313881114.97180945</v>
      </c>
      <c r="N15" s="599"/>
    </row>
    <row r="16" spans="1:16" ht="13" thickBot="1">
      <c r="A16" s="631" t="s">
        <v>236</v>
      </c>
      <c r="B16" s="639">
        <f>SUM($B$15:B15)</f>
        <v>0</v>
      </c>
      <c r="C16" s="639">
        <f>SUM($B$15:C15)</f>
        <v>3881223.7185927927</v>
      </c>
      <c r="D16" s="632">
        <f>SUM($B$15:D15)</f>
        <v>10322248.064000793</v>
      </c>
      <c r="E16" s="640">
        <f>SUM($B$15:E15)</f>
        <v>54892025.283796951</v>
      </c>
      <c r="F16" s="639">
        <f>SUM($B$15:F15)</f>
        <v>142520799.05842251</v>
      </c>
      <c r="G16" s="632">
        <f>SUM($B$15:G15)</f>
        <v>203572178.62933925</v>
      </c>
      <c r="H16" s="640">
        <f>SUM($B$15:H15)</f>
        <v>241809856.33062404</v>
      </c>
      <c r="I16" s="639">
        <f>SUM($B$15:I15)</f>
        <v>295437974.53186452</v>
      </c>
      <c r="J16" s="632">
        <f>SUM($B$15:J15)</f>
        <v>301106843.4064523</v>
      </c>
      <c r="K16" s="632">
        <f>SUM($B$15:K15)</f>
        <v>312357371.94681603</v>
      </c>
      <c r="L16" s="640">
        <f>SUM($B$15:L15)</f>
        <v>313881114.97180945</v>
      </c>
      <c r="M16" s="625"/>
    </row>
    <row r="17" spans="1:14" ht="4.5" customHeight="1">
      <c r="A17" s="580"/>
      <c r="B17" s="637"/>
      <c r="C17" s="637"/>
      <c r="D17" s="601"/>
      <c r="E17" s="629"/>
      <c r="F17" s="637"/>
      <c r="G17" s="601"/>
      <c r="H17" s="629"/>
      <c r="I17" s="637"/>
      <c r="J17" s="601"/>
      <c r="K17" s="601"/>
      <c r="L17" s="629"/>
      <c r="M17" s="634"/>
      <c r="N17" s="598"/>
    </row>
    <row r="18" spans="1:14" ht="13">
      <c r="A18" s="595" t="s">
        <v>248</v>
      </c>
      <c r="B18" s="637"/>
      <c r="C18" s="637"/>
      <c r="D18" s="601"/>
      <c r="E18" s="629"/>
      <c r="F18" s="637"/>
      <c r="G18" s="601"/>
      <c r="H18" s="629"/>
      <c r="I18" s="637"/>
      <c r="J18" s="601"/>
      <c r="K18" s="601"/>
      <c r="L18" s="629"/>
      <c r="M18" s="634"/>
      <c r="N18" s="598"/>
    </row>
    <row r="19" spans="1:14">
      <c r="A19" s="580" t="s">
        <v>245</v>
      </c>
      <c r="B19" s="638">
        <f t="shared" ref="B19:L19" si="6">B16*$B$39</f>
        <v>0</v>
      </c>
      <c r="C19" s="638">
        <f t="shared" si="6"/>
        <v>232873.42311556757</v>
      </c>
      <c r="D19" s="630">
        <f t="shared" si="6"/>
        <v>619334.88384004752</v>
      </c>
      <c r="E19" s="607">
        <f t="shared" si="6"/>
        <v>3293521.5170278167</v>
      </c>
      <c r="F19" s="638">
        <f t="shared" si="6"/>
        <v>8551247.9435053505</v>
      </c>
      <c r="G19" s="630">
        <f t="shared" si="6"/>
        <v>12214330.717760354</v>
      </c>
      <c r="H19" s="607">
        <f t="shared" si="6"/>
        <v>14508591.379837442</v>
      </c>
      <c r="I19" s="638">
        <f t="shared" si="6"/>
        <v>17726278.47191187</v>
      </c>
      <c r="J19" s="630">
        <f t="shared" si="6"/>
        <v>18066410.604387138</v>
      </c>
      <c r="K19" s="630">
        <f t="shared" si="6"/>
        <v>18741442.316808961</v>
      </c>
      <c r="L19" s="607">
        <f t="shared" si="6"/>
        <v>18832866.898308568</v>
      </c>
      <c r="M19" s="622">
        <f>SUM(B19:L19)</f>
        <v>112786898.15650311</v>
      </c>
    </row>
    <row r="20" spans="1:14">
      <c r="A20" s="591" t="s">
        <v>246</v>
      </c>
      <c r="B20" s="613">
        <v>0</v>
      </c>
      <c r="C20" s="635">
        <f>B20</f>
        <v>0</v>
      </c>
      <c r="D20" s="605">
        <f t="shared" ref="D20:K20" si="7">C20</f>
        <v>0</v>
      </c>
      <c r="E20" s="592">
        <f t="shared" si="7"/>
        <v>0</v>
      </c>
      <c r="F20" s="635">
        <f t="shared" si="7"/>
        <v>0</v>
      </c>
      <c r="G20" s="605">
        <f t="shared" si="7"/>
        <v>0</v>
      </c>
      <c r="H20" s="592">
        <f t="shared" si="7"/>
        <v>0</v>
      </c>
      <c r="I20" s="635">
        <f t="shared" si="7"/>
        <v>0</v>
      </c>
      <c r="J20" s="605">
        <f t="shared" si="7"/>
        <v>0</v>
      </c>
      <c r="K20" s="605">
        <f t="shared" si="7"/>
        <v>0</v>
      </c>
      <c r="L20" s="592">
        <f>L16</f>
        <v>313881114.97180945</v>
      </c>
      <c r="M20" s="624">
        <f>SUM(B20:L20)</f>
        <v>313881114.97180945</v>
      </c>
    </row>
    <row r="21" spans="1:14" ht="13.5" thickBot="1">
      <c r="A21" s="593" t="s">
        <v>249</v>
      </c>
      <c r="B21" s="614">
        <f>SUM(B19:B20)</f>
        <v>0</v>
      </c>
      <c r="C21" s="614">
        <f t="shared" ref="C21:M21" si="8">SUM(C19:C20)</f>
        <v>232873.42311556757</v>
      </c>
      <c r="D21" s="609">
        <f t="shared" si="8"/>
        <v>619334.88384004752</v>
      </c>
      <c r="E21" s="596">
        <f t="shared" si="8"/>
        <v>3293521.5170278167</v>
      </c>
      <c r="F21" s="614">
        <f t="shared" si="8"/>
        <v>8551247.9435053505</v>
      </c>
      <c r="G21" s="609">
        <f t="shared" si="8"/>
        <v>12214330.717760354</v>
      </c>
      <c r="H21" s="596">
        <f t="shared" si="8"/>
        <v>14508591.379837442</v>
      </c>
      <c r="I21" s="614">
        <f t="shared" si="8"/>
        <v>17726278.47191187</v>
      </c>
      <c r="J21" s="609">
        <f t="shared" si="8"/>
        <v>18066410.604387138</v>
      </c>
      <c r="K21" s="609">
        <f t="shared" si="8"/>
        <v>18741442.316808961</v>
      </c>
      <c r="L21" s="596">
        <f t="shared" si="8"/>
        <v>332713981.87011802</v>
      </c>
      <c r="M21" s="616">
        <f t="shared" si="8"/>
        <v>426668013.12831259</v>
      </c>
      <c r="N21" s="578"/>
    </row>
    <row r="22" spans="1:14" ht="4.5" customHeight="1">
      <c r="A22" s="646"/>
      <c r="B22" s="654"/>
      <c r="C22" s="654"/>
      <c r="D22" s="647"/>
      <c r="E22" s="656"/>
      <c r="F22" s="654"/>
      <c r="G22" s="647"/>
      <c r="H22" s="656"/>
      <c r="I22" s="654"/>
      <c r="J22" s="647"/>
      <c r="K22" s="647"/>
      <c r="L22" s="656"/>
      <c r="M22" s="649"/>
      <c r="N22" s="578"/>
    </row>
    <row r="23" spans="1:14" ht="13">
      <c r="A23" s="595" t="s">
        <v>255</v>
      </c>
      <c r="B23" s="637"/>
      <c r="C23" s="637"/>
      <c r="D23" s="601"/>
      <c r="E23" s="629"/>
      <c r="F23" s="637"/>
      <c r="G23" s="601"/>
      <c r="H23" s="629"/>
      <c r="I23" s="637"/>
      <c r="J23" s="601"/>
      <c r="K23" s="601"/>
      <c r="L23" s="629"/>
      <c r="M23" s="634"/>
      <c r="N23" s="578"/>
    </row>
    <row r="24" spans="1:14">
      <c r="A24" s="580" t="s">
        <v>5</v>
      </c>
      <c r="B24" s="610">
        <f>'Summary Board'!D12</f>
        <v>1387530</v>
      </c>
      <c r="C24" s="610">
        <f>'Summary Board'!E12</f>
        <v>2798029.2562500001</v>
      </c>
      <c r="D24" s="606">
        <f>'Summary Board'!F12</f>
        <v>6557101.4274750007</v>
      </c>
      <c r="E24" s="589">
        <f>'Summary Board'!G12</f>
        <v>11200118.765701501</v>
      </c>
      <c r="F24" s="610">
        <f>'Summary Board'!H12</f>
        <v>18472188.184011448</v>
      </c>
      <c r="G24" s="606">
        <f>'Summary Board'!I12</f>
        <v>31090333.636533763</v>
      </c>
      <c r="H24" s="589">
        <f>'Summary Board'!J12</f>
        <v>39299939.776077166</v>
      </c>
      <c r="I24" s="610">
        <f>'Summary Board'!K12</f>
        <v>43192148.602576368</v>
      </c>
      <c r="J24" s="606">
        <f>'Summary Board'!L12</f>
        <v>39465582.462436892</v>
      </c>
      <c r="K24" s="606">
        <f>'Summary Board'!M12</f>
        <v>42494036.049201801</v>
      </c>
      <c r="L24" s="589">
        <f>'Summary Board'!N12</f>
        <v>45682437.944847614</v>
      </c>
      <c r="M24" s="622">
        <f>SUM(B24:L24)</f>
        <v>281639446.1051116</v>
      </c>
      <c r="N24" s="578"/>
    </row>
    <row r="25" spans="1:14">
      <c r="A25" s="591" t="s">
        <v>257</v>
      </c>
      <c r="B25" s="613">
        <f>-B19</f>
        <v>0</v>
      </c>
      <c r="C25" s="635">
        <f t="shared" ref="C25:L25" si="9">-C19</f>
        <v>-232873.42311556757</v>
      </c>
      <c r="D25" s="605">
        <f t="shared" si="9"/>
        <v>-619334.88384004752</v>
      </c>
      <c r="E25" s="592">
        <f t="shared" si="9"/>
        <v>-3293521.5170278167</v>
      </c>
      <c r="F25" s="635">
        <f t="shared" si="9"/>
        <v>-8551247.9435053505</v>
      </c>
      <c r="G25" s="605">
        <f t="shared" si="9"/>
        <v>-12214330.717760354</v>
      </c>
      <c r="H25" s="592">
        <f t="shared" si="9"/>
        <v>-14508591.379837442</v>
      </c>
      <c r="I25" s="635">
        <f t="shared" si="9"/>
        <v>-17726278.47191187</v>
      </c>
      <c r="J25" s="605">
        <f t="shared" si="9"/>
        <v>-18066410.604387138</v>
      </c>
      <c r="K25" s="605">
        <f t="shared" si="9"/>
        <v>-18741442.316808961</v>
      </c>
      <c r="L25" s="592">
        <f t="shared" si="9"/>
        <v>-18832866.898308568</v>
      </c>
      <c r="M25" s="624">
        <f>SUM(B25:L25)</f>
        <v>-112786898.15650311</v>
      </c>
      <c r="N25" s="578"/>
    </row>
    <row r="26" spans="1:14" ht="13.5" thickBot="1">
      <c r="A26" s="593" t="s">
        <v>256</v>
      </c>
      <c r="B26" s="614">
        <f>SUM(B24:B25)</f>
        <v>1387530</v>
      </c>
      <c r="C26" s="614">
        <f t="shared" ref="C26:L26" si="10">SUM(C24:C25)</f>
        <v>2565155.8331344323</v>
      </c>
      <c r="D26" s="609">
        <f t="shared" si="10"/>
        <v>5937766.543634953</v>
      </c>
      <c r="E26" s="596">
        <f t="shared" si="10"/>
        <v>7906597.248673684</v>
      </c>
      <c r="F26" s="614">
        <f t="shared" si="10"/>
        <v>9920940.2405060977</v>
      </c>
      <c r="G26" s="609">
        <f t="shared" si="10"/>
        <v>18876002.918773409</v>
      </c>
      <c r="H26" s="596">
        <f t="shared" si="10"/>
        <v>24791348.396239724</v>
      </c>
      <c r="I26" s="614">
        <f t="shared" si="10"/>
        <v>25465870.130664498</v>
      </c>
      <c r="J26" s="609">
        <f t="shared" si="10"/>
        <v>21399171.858049754</v>
      </c>
      <c r="K26" s="609">
        <f t="shared" si="10"/>
        <v>23752593.73239284</v>
      </c>
      <c r="L26" s="596">
        <f t="shared" si="10"/>
        <v>26849571.046539046</v>
      </c>
      <c r="M26" s="616">
        <f t="shared" ref="M26" si="11">SUM(M24:M25)</f>
        <v>168852547.94860849</v>
      </c>
      <c r="N26" s="578"/>
    </row>
    <row r="27" spans="1:14" ht="4.5" customHeight="1">
      <c r="A27" s="650"/>
      <c r="B27" s="655"/>
      <c r="C27" s="655"/>
      <c r="D27" s="652"/>
      <c r="E27" s="657"/>
      <c r="F27" s="655"/>
      <c r="G27" s="652"/>
      <c r="H27" s="657"/>
      <c r="I27" s="655"/>
      <c r="J27" s="652"/>
      <c r="K27" s="652"/>
      <c r="L27" s="657"/>
      <c r="M27" s="651"/>
      <c r="N27" s="578"/>
    </row>
    <row r="28" spans="1:14" ht="13">
      <c r="A28" s="595" t="s">
        <v>252</v>
      </c>
      <c r="B28" s="637"/>
      <c r="C28" s="637"/>
      <c r="D28" s="601"/>
      <c r="E28" s="629"/>
      <c r="F28" s="637"/>
      <c r="G28" s="601"/>
      <c r="H28" s="629"/>
      <c r="I28" s="637"/>
      <c r="J28" s="601"/>
      <c r="K28" s="601"/>
      <c r="L28" s="629"/>
      <c r="M28" s="634"/>
      <c r="N28" s="578"/>
    </row>
    <row r="29" spans="1:14">
      <c r="A29" s="580" t="s">
        <v>253</v>
      </c>
      <c r="B29" s="638">
        <f>-B13</f>
        <v>-92857768.385694325</v>
      </c>
      <c r="C29" s="638">
        <f t="shared" ref="C29:L29" si="12">-C13</f>
        <v>-46038841.091607213</v>
      </c>
      <c r="D29" s="630">
        <f t="shared" si="12"/>
        <v>0</v>
      </c>
      <c r="E29" s="607">
        <f t="shared" si="12"/>
        <v>0</v>
      </c>
      <c r="F29" s="638">
        <f t="shared" si="12"/>
        <v>0</v>
      </c>
      <c r="G29" s="630">
        <f t="shared" si="12"/>
        <v>0</v>
      </c>
      <c r="H29" s="607">
        <f t="shared" si="12"/>
        <v>0</v>
      </c>
      <c r="I29" s="638">
        <f t="shared" si="12"/>
        <v>0</v>
      </c>
      <c r="J29" s="630">
        <f t="shared" si="12"/>
        <v>0</v>
      </c>
      <c r="K29" s="630">
        <f t="shared" si="12"/>
        <v>0</v>
      </c>
      <c r="L29" s="607">
        <f t="shared" si="12"/>
        <v>0</v>
      </c>
      <c r="M29" s="622">
        <f>SUM(B29:L29)</f>
        <v>-138896609.47730154</v>
      </c>
      <c r="N29" s="578"/>
    </row>
    <row r="30" spans="1:14">
      <c r="A30" s="580" t="s">
        <v>254</v>
      </c>
      <c r="B30" s="644">
        <f>B26</f>
        <v>1387530</v>
      </c>
      <c r="C30" s="644">
        <f t="shared" ref="C30:L30" si="13">C26</f>
        <v>2565155.8331344323</v>
      </c>
      <c r="D30" s="645">
        <f t="shared" si="13"/>
        <v>5937766.543634953</v>
      </c>
      <c r="E30" s="590">
        <f t="shared" si="13"/>
        <v>7906597.248673684</v>
      </c>
      <c r="F30" s="644">
        <f t="shared" si="13"/>
        <v>9920940.2405060977</v>
      </c>
      <c r="G30" s="645">
        <f t="shared" si="13"/>
        <v>18876002.918773409</v>
      </c>
      <c r="H30" s="590">
        <f t="shared" si="13"/>
        <v>24791348.396239724</v>
      </c>
      <c r="I30" s="644">
        <f t="shared" si="13"/>
        <v>25465870.130664498</v>
      </c>
      <c r="J30" s="645">
        <f t="shared" si="13"/>
        <v>21399171.858049754</v>
      </c>
      <c r="K30" s="645">
        <f t="shared" si="13"/>
        <v>23752593.73239284</v>
      </c>
      <c r="L30" s="590">
        <f t="shared" si="13"/>
        <v>26849571.046539046</v>
      </c>
      <c r="M30" s="623">
        <f>SUM(B30:L30)</f>
        <v>168852547.94860843</v>
      </c>
      <c r="N30" s="578"/>
    </row>
    <row r="31" spans="1:14">
      <c r="A31" s="580" t="s">
        <v>258</v>
      </c>
      <c r="B31" s="611">
        <f>'Summary Board'!D27</f>
        <v>0</v>
      </c>
      <c r="C31" s="611">
        <f>'Summary Board'!E27</f>
        <v>0</v>
      </c>
      <c r="D31" s="608">
        <f>'Summary Board'!F27</f>
        <v>0</v>
      </c>
      <c r="E31" s="612">
        <f>'Summary Board'!G27</f>
        <v>0</v>
      </c>
      <c r="F31" s="611">
        <f>'Summary Board'!H27</f>
        <v>0</v>
      </c>
      <c r="G31" s="608">
        <f>'Summary Board'!I27</f>
        <v>0</v>
      </c>
      <c r="H31" s="612">
        <f>'Summary Board'!J27</f>
        <v>0</v>
      </c>
      <c r="I31" s="611">
        <f>'Summary Board'!K27</f>
        <v>0</v>
      </c>
      <c r="J31" s="608">
        <f>'Summary Board'!L27</f>
        <v>0</v>
      </c>
      <c r="K31" s="608">
        <f>'Summary Board'!M27</f>
        <v>0</v>
      </c>
      <c r="L31" s="612">
        <f>'Summary Board'!N27</f>
        <v>886876672.70016539</v>
      </c>
      <c r="M31" s="623">
        <f>SUM(B31:L31)</f>
        <v>886876672.70016539</v>
      </c>
      <c r="N31" s="578"/>
    </row>
    <row r="32" spans="1:14">
      <c r="A32" s="580" t="s">
        <v>259</v>
      </c>
      <c r="B32" s="644">
        <f>'Summary Board'!D28</f>
        <v>0</v>
      </c>
      <c r="C32" s="644">
        <f>'Summary Board'!E28</f>
        <v>0</v>
      </c>
      <c r="D32" s="645">
        <f>'Summary Board'!F28</f>
        <v>0</v>
      </c>
      <c r="E32" s="590">
        <f>'Summary Board'!G28</f>
        <v>0</v>
      </c>
      <c r="F32" s="644">
        <f>'Summary Board'!H28</f>
        <v>0</v>
      </c>
      <c r="G32" s="645">
        <f>'Summary Board'!I28</f>
        <v>0</v>
      </c>
      <c r="H32" s="590">
        <f>'Summary Board'!J28</f>
        <v>0</v>
      </c>
      <c r="I32" s="644">
        <f>'Summary Board'!K28</f>
        <v>0</v>
      </c>
      <c r="J32" s="645">
        <f>'Summary Board'!L28</f>
        <v>0</v>
      </c>
      <c r="K32" s="645">
        <f>'Summary Board'!M28</f>
        <v>0</v>
      </c>
      <c r="L32" s="612">
        <f>'Summary Board'!N28</f>
        <v>-26606300.18100496</v>
      </c>
      <c r="M32" s="623">
        <f>SUM(B32:L32)</f>
        <v>-26606300.18100496</v>
      </c>
      <c r="N32" s="578"/>
    </row>
    <row r="33" spans="1:14">
      <c r="A33" s="591" t="s">
        <v>260</v>
      </c>
      <c r="B33" s="635">
        <f>-B20</f>
        <v>0</v>
      </c>
      <c r="C33" s="635">
        <f t="shared" ref="C33:L33" si="14">-C20</f>
        <v>0</v>
      </c>
      <c r="D33" s="605">
        <f t="shared" si="14"/>
        <v>0</v>
      </c>
      <c r="E33" s="592">
        <f t="shared" si="14"/>
        <v>0</v>
      </c>
      <c r="F33" s="635">
        <f t="shared" si="14"/>
        <v>0</v>
      </c>
      <c r="G33" s="605">
        <f t="shared" si="14"/>
        <v>0</v>
      </c>
      <c r="H33" s="592">
        <f t="shared" si="14"/>
        <v>0</v>
      </c>
      <c r="I33" s="635">
        <f t="shared" si="14"/>
        <v>0</v>
      </c>
      <c r="J33" s="605">
        <f t="shared" si="14"/>
        <v>0</v>
      </c>
      <c r="K33" s="605">
        <f t="shared" si="14"/>
        <v>0</v>
      </c>
      <c r="L33" s="592">
        <f t="shared" si="14"/>
        <v>-313881114.97180945</v>
      </c>
      <c r="M33" s="624">
        <f>SUM(B33:L33)</f>
        <v>-313881114.97180945</v>
      </c>
      <c r="N33" s="578"/>
    </row>
    <row r="34" spans="1:14" ht="13.5" thickBot="1">
      <c r="A34" s="593" t="s">
        <v>261</v>
      </c>
      <c r="B34" s="614">
        <f t="shared" ref="B34:M34" si="15">SUM(B29:B33)</f>
        <v>-91470238.385694325</v>
      </c>
      <c r="C34" s="614">
        <f t="shared" si="15"/>
        <v>-43473685.258472778</v>
      </c>
      <c r="D34" s="609">
        <f t="shared" si="15"/>
        <v>5937766.543634953</v>
      </c>
      <c r="E34" s="596">
        <f t="shared" si="15"/>
        <v>7906597.248673684</v>
      </c>
      <c r="F34" s="614">
        <f t="shared" si="15"/>
        <v>9920940.2405060977</v>
      </c>
      <c r="G34" s="609">
        <f t="shared" si="15"/>
        <v>18876002.918773409</v>
      </c>
      <c r="H34" s="596">
        <f t="shared" si="15"/>
        <v>24791348.396239724</v>
      </c>
      <c r="I34" s="614">
        <f t="shared" si="15"/>
        <v>25465870.130664498</v>
      </c>
      <c r="J34" s="609">
        <f t="shared" si="15"/>
        <v>21399171.858049754</v>
      </c>
      <c r="K34" s="609">
        <f t="shared" si="15"/>
        <v>23752593.73239284</v>
      </c>
      <c r="L34" s="596">
        <f t="shared" si="15"/>
        <v>573238828.59388995</v>
      </c>
      <c r="M34" s="616">
        <f t="shared" si="15"/>
        <v>576345196.01865792</v>
      </c>
      <c r="N34" s="578"/>
    </row>
    <row r="35" spans="1:14" ht="13.5" thickBot="1">
      <c r="A35" s="124" t="s">
        <v>25</v>
      </c>
      <c r="B35" s="651">
        <f>B34+NPV(B40,C34:L34)</f>
        <v>191576167.6731624</v>
      </c>
      <c r="C35" s="644"/>
      <c r="D35" s="645"/>
      <c r="E35" s="590"/>
      <c r="F35" s="644"/>
      <c r="G35" s="645"/>
      <c r="H35" s="590"/>
      <c r="I35" s="644"/>
      <c r="J35" s="645"/>
      <c r="K35" s="645"/>
      <c r="L35" s="590"/>
      <c r="M35" s="649"/>
      <c r="N35" s="578"/>
    </row>
    <row r="36" spans="1:14" ht="13.5" thickBot="1">
      <c r="A36" s="89" t="s">
        <v>262</v>
      </c>
      <c r="B36" s="662">
        <f>IRR(B34:L34,0)</f>
        <v>0.21203119090955447</v>
      </c>
      <c r="C36" s="658"/>
      <c r="D36" s="659"/>
      <c r="E36" s="660"/>
      <c r="F36" s="658"/>
      <c r="G36" s="659"/>
      <c r="H36" s="660"/>
      <c r="I36" s="658"/>
      <c r="J36" s="659"/>
      <c r="K36" s="659"/>
      <c r="L36" s="660"/>
      <c r="M36" s="648"/>
      <c r="N36" s="578"/>
    </row>
    <row r="37" spans="1:14" ht="13.5" thickBot="1">
      <c r="A37" s="578"/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7"/>
      <c r="N37" s="578"/>
    </row>
    <row r="38" spans="1:14" ht="13.5" thickBot="1">
      <c r="A38" s="642" t="s">
        <v>251</v>
      </c>
      <c r="B38" s="643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578"/>
    </row>
    <row r="39" spans="1:14">
      <c r="A39" s="626" t="s">
        <v>250</v>
      </c>
      <c r="B39" s="661">
        <v>0.06</v>
      </c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8"/>
      <c r="N39" s="578"/>
    </row>
    <row r="40" spans="1:14" ht="13" thickBot="1">
      <c r="A40" s="631" t="s">
        <v>85</v>
      </c>
      <c r="B40" s="641">
        <v>0.09</v>
      </c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578"/>
      <c r="N40" s="578"/>
    </row>
    <row r="41" spans="1:14">
      <c r="A41" s="578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578"/>
      <c r="N41" s="578"/>
    </row>
    <row r="42" spans="1:14">
      <c r="A42" s="578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578"/>
      <c r="N42" s="578"/>
    </row>
    <row r="43" spans="1:14">
      <c r="A43" s="578"/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578"/>
      <c r="N43" s="578"/>
    </row>
    <row r="44" spans="1:14">
      <c r="A44" s="578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578"/>
      <c r="N44" s="578"/>
    </row>
    <row r="45" spans="1:14">
      <c r="A45" s="578"/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578"/>
      <c r="N45" s="578"/>
    </row>
    <row r="46" spans="1:14">
      <c r="A46" s="578"/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578"/>
      <c r="N46" s="578"/>
    </row>
    <row r="47" spans="1:14">
      <c r="A47" s="578"/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578"/>
      <c r="N47" s="578"/>
    </row>
    <row r="48" spans="1:14">
      <c r="A48" s="578"/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578"/>
      <c r="N48" s="578"/>
    </row>
    <row r="49" spans="1:14">
      <c r="A49" s="578"/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578"/>
      <c r="N49" s="578"/>
    </row>
    <row r="50" spans="1:14">
      <c r="A50" s="578"/>
      <c r="B50" s="579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</row>
    <row r="51" spans="1:14">
      <c r="A51" s="578"/>
      <c r="B51" s="601"/>
      <c r="C51" s="601"/>
      <c r="D51" s="601"/>
      <c r="E51" s="601"/>
      <c r="F51" s="601"/>
      <c r="G51" s="601"/>
      <c r="H51" s="601"/>
      <c r="I51" s="601"/>
      <c r="J51" s="601"/>
      <c r="K51" s="601"/>
      <c r="L51" s="601"/>
      <c r="M51" s="578"/>
      <c r="N51" s="578"/>
    </row>
    <row r="52" spans="1:14">
      <c r="B52" s="600"/>
    </row>
  </sheetData>
  <printOptions horizontalCentered="1"/>
  <pageMargins left="0.45" right="0.45" top="0.5" bottom="0.5" header="0.3" footer="0.3"/>
  <pageSetup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125"/>
  <sheetViews>
    <sheetView showGridLines="0" view="pageBreakPreview" zoomScale="70" zoomScaleNormal="100" zoomScaleSheetLayoutView="70" workbookViewId="0">
      <selection activeCell="H125" sqref="H125"/>
    </sheetView>
  </sheetViews>
  <sheetFormatPr defaultColWidth="9.1796875" defaultRowHeight="15.5"/>
  <cols>
    <col min="1" max="1" width="19.26953125" style="20" customWidth="1"/>
    <col min="2" max="2" width="29.453125" style="20" customWidth="1"/>
    <col min="3" max="3" width="21.81640625" style="20" customWidth="1"/>
    <col min="4" max="4" width="20.54296875" style="12" customWidth="1"/>
    <col min="5" max="5" width="20.54296875" style="20" customWidth="1"/>
    <col min="6" max="6" width="22.7265625" style="20" bestFit="1" customWidth="1"/>
    <col min="7" max="11" width="20.54296875" style="20" customWidth="1"/>
    <col min="12" max="12" width="21" style="20" customWidth="1"/>
    <col min="13" max="13" width="21.54296875" style="20" customWidth="1"/>
    <col min="14" max="14" width="22.54296875" style="20" customWidth="1"/>
    <col min="15" max="15" width="9.1796875" style="20"/>
    <col min="16" max="16" width="19.26953125" style="20" customWidth="1"/>
    <col min="17" max="16384" width="9.1796875" style="20"/>
  </cols>
  <sheetData>
    <row r="1" spans="1:14" ht="18.5" thickBot="1">
      <c r="A1" s="955" t="s">
        <v>59</v>
      </c>
      <c r="B1" s="85"/>
      <c r="C1" s="85"/>
      <c r="D1" s="956"/>
      <c r="E1" s="957"/>
      <c r="F1" s="957"/>
      <c r="G1" s="957"/>
      <c r="H1" s="957"/>
      <c r="I1" s="957"/>
      <c r="J1" s="957"/>
      <c r="K1" s="957"/>
      <c r="L1" s="957"/>
      <c r="M1" s="957"/>
      <c r="N1" s="83"/>
    </row>
    <row r="2" spans="1:14" ht="16" thickBot="1">
      <c r="A2" s="784"/>
      <c r="B2" s="785"/>
      <c r="C2" s="785"/>
      <c r="D2" s="786" t="s">
        <v>53</v>
      </c>
      <c r="E2" s="374" t="s">
        <v>34</v>
      </c>
      <c r="F2" s="375"/>
      <c r="G2" s="376"/>
      <c r="H2" s="374" t="s">
        <v>76</v>
      </c>
      <c r="I2" s="377"/>
      <c r="J2" s="376"/>
      <c r="K2" s="378" t="s">
        <v>77</v>
      </c>
      <c r="L2" s="378"/>
      <c r="M2" s="379"/>
      <c r="N2" s="376"/>
    </row>
    <row r="3" spans="1:14" ht="16" thickBot="1">
      <c r="A3" s="4"/>
      <c r="B3" s="5"/>
      <c r="C3" s="5"/>
      <c r="D3" s="6" t="s">
        <v>397</v>
      </c>
      <c r="E3" s="32">
        <v>2022</v>
      </c>
      <c r="F3" s="6">
        <v>2023</v>
      </c>
      <c r="G3" s="7">
        <v>2024</v>
      </c>
      <c r="H3" s="32">
        <v>2025</v>
      </c>
      <c r="I3" s="6">
        <v>2026</v>
      </c>
      <c r="J3" s="7">
        <v>2027</v>
      </c>
      <c r="K3" s="6">
        <v>2028</v>
      </c>
      <c r="L3" s="6">
        <v>2029</v>
      </c>
      <c r="M3" s="6">
        <v>2030</v>
      </c>
      <c r="N3" s="7">
        <v>2031</v>
      </c>
    </row>
    <row r="4" spans="1:14" ht="16" thickBot="1">
      <c r="A4" s="26" t="s">
        <v>0</v>
      </c>
      <c r="B4" s="27"/>
      <c r="C4" s="27"/>
      <c r="D4" s="16"/>
      <c r="E4" s="459"/>
      <c r="F4" s="17"/>
      <c r="G4" s="23"/>
      <c r="H4" s="459"/>
      <c r="I4" s="17"/>
      <c r="J4" s="23"/>
      <c r="K4" s="17"/>
      <c r="L4" s="17"/>
      <c r="M4" s="17"/>
      <c r="N4" s="23"/>
    </row>
    <row r="5" spans="1:14">
      <c r="A5" s="685" t="s">
        <v>60</v>
      </c>
      <c r="B5" s="720"/>
      <c r="C5" s="720"/>
      <c r="D5" s="753">
        <f>'2.Market-Rate Rental Housing'!C40</f>
        <v>0</v>
      </c>
      <c r="E5" s="673">
        <f>'2.Market-Rate Rental Housing'!D40</f>
        <v>0</v>
      </c>
      <c r="F5" s="762">
        <f>'2.Market-Rate Rental Housing'!E40</f>
        <v>1640309.2056</v>
      </c>
      <c r="G5" s="763">
        <f>'2.Market-Rate Rental Housing'!F40</f>
        <v>4162384.6280639996</v>
      </c>
      <c r="H5" s="673">
        <f>'2.Market-Rate Rental Housing'!G40</f>
        <v>6306012.7115169596</v>
      </c>
      <c r="I5" s="762">
        <f>'2.Market-Rate Rental Housing'!H40</f>
        <v>7875647.9547598939</v>
      </c>
      <c r="J5" s="763">
        <f>'2.Market-Rate Rental Housing'!I40</f>
        <v>8682742.6589107588</v>
      </c>
      <c r="K5" s="762">
        <f>'2.Market-Rate Rental Housing'!J40</f>
        <v>9761914.464696575</v>
      </c>
      <c r="L5" s="762">
        <f>'2.Market-Rate Rental Housing'!K40</f>
        <v>11353857.4389394</v>
      </c>
      <c r="M5" s="762">
        <f>'2.Market-Rate Rental Housing'!L40</f>
        <v>12224319.842591424</v>
      </c>
      <c r="N5" s="763">
        <f>'2.Market-Rate Rental Housing'!M40</f>
        <v>12468806.239443254</v>
      </c>
    </row>
    <row r="6" spans="1:14">
      <c r="A6" s="685" t="s">
        <v>483</v>
      </c>
      <c r="B6" s="720"/>
      <c r="C6" s="720"/>
      <c r="D6" s="756">
        <f>'3.Luxury Condos'!C28</f>
        <v>0</v>
      </c>
      <c r="E6" s="764">
        <f>'3.Luxury Condos'!D28</f>
        <v>0</v>
      </c>
      <c r="F6" s="756">
        <f>'3.Luxury Condos'!E28</f>
        <v>0</v>
      </c>
      <c r="G6" s="765">
        <f>'3.Luxury Condos'!F28</f>
        <v>0</v>
      </c>
      <c r="H6" s="764">
        <f>'3.Luxury Condos'!G28</f>
        <v>0</v>
      </c>
      <c r="I6" s="756">
        <f>'3.Luxury Condos'!H28</f>
        <v>8197799.9637599988</v>
      </c>
      <c r="J6" s="765">
        <f>'3.Luxury Condos'!I28</f>
        <v>8361755.9630351998</v>
      </c>
      <c r="K6" s="756">
        <f>'3.Luxury Condos'!J28</f>
        <v>8244691.3795527071</v>
      </c>
      <c r="L6" s="756">
        <f>'3.Luxury Condos'!K28</f>
        <v>0</v>
      </c>
      <c r="M6" s="756">
        <f>'3.Luxury Condos'!L28</f>
        <v>0</v>
      </c>
      <c r="N6" s="765">
        <f>'3.Luxury Condos'!M28</f>
        <v>0</v>
      </c>
    </row>
    <row r="7" spans="1:14">
      <c r="A7" s="685" t="s">
        <v>62</v>
      </c>
      <c r="B7" s="720"/>
      <c r="C7" s="720"/>
      <c r="D7" s="756">
        <f>'4.Affordable Rental Housing'!C39</f>
        <v>0</v>
      </c>
      <c r="E7" s="674">
        <f>'4.Affordable Rental Housing'!D39</f>
        <v>0</v>
      </c>
      <c r="F7" s="757">
        <f>'4.Affordable Rental Housing'!E39</f>
        <v>243453.6</v>
      </c>
      <c r="G7" s="742">
        <f>'4.Affordable Rental Housing'!F39</f>
        <v>615840.22655999986</v>
      </c>
      <c r="H7" s="674">
        <f>'4.Affordable Rental Housing'!G39</f>
        <v>982761.80670720013</v>
      </c>
      <c r="I7" s="757">
        <f>'4.Affordable Rental Housing'!H39</f>
        <v>1209100.9692003839</v>
      </c>
      <c r="J7" s="742">
        <f>'4.Affordable Rental Housing'!I39</f>
        <v>1359773.5515161245</v>
      </c>
      <c r="K7" s="757">
        <f>'4.Affordable Rental Housing'!J39</f>
        <v>1386969.0225464464</v>
      </c>
      <c r="L7" s="757">
        <f>'4.Affordable Rental Housing'!K39</f>
        <v>1557275.9164777312</v>
      </c>
      <c r="M7" s="757">
        <f>'4.Affordable Rental Housing'!L39</f>
        <v>1789770.6307687727</v>
      </c>
      <c r="N7" s="742">
        <f>'4.Affordable Rental Housing'!M39</f>
        <v>1951073.7088668083</v>
      </c>
    </row>
    <row r="8" spans="1:14">
      <c r="A8" s="685" t="s">
        <v>534</v>
      </c>
      <c r="B8" s="720"/>
      <c r="C8" s="720"/>
      <c r="D8" s="756">
        <f>'5.Office'!C38</f>
        <v>1387530</v>
      </c>
      <c r="E8" s="674">
        <f>'5.Office'!D38</f>
        <v>1415280.6</v>
      </c>
      <c r="F8" s="757">
        <f>'5.Office'!E38</f>
        <v>1443586.2120000001</v>
      </c>
      <c r="G8" s="742">
        <f>'5.Office'!F38</f>
        <v>1655595.9068400003</v>
      </c>
      <c r="H8" s="674">
        <f>'5.Office'!G38</f>
        <v>2155709.6500068004</v>
      </c>
      <c r="I8" s="757">
        <f>'5.Office'!H38</f>
        <v>666878.60614284</v>
      </c>
      <c r="J8" s="742">
        <f>'5.Office'!I38</f>
        <v>1591723.5941998344</v>
      </c>
      <c r="K8" s="757">
        <f>'5.Office'!J38</f>
        <v>2934438.1500051883</v>
      </c>
      <c r="L8" s="757">
        <f>'5.Office'!K38</f>
        <v>4731353.9042850146</v>
      </c>
      <c r="M8" s="757">
        <f>'5.Office'!L38</f>
        <v>5856389.7950368691</v>
      </c>
      <c r="N8" s="742">
        <f>'5.Office'!M38</f>
        <v>7198012.7232525907</v>
      </c>
    </row>
    <row r="9" spans="1:14">
      <c r="A9" s="685" t="s">
        <v>64</v>
      </c>
      <c r="B9" s="720"/>
      <c r="C9" s="720"/>
      <c r="D9" s="756">
        <f>'6.Retail'!C119</f>
        <v>0</v>
      </c>
      <c r="E9" s="674">
        <f>'6.Retail'!D119</f>
        <v>-634735.80000000005</v>
      </c>
      <c r="F9" s="757">
        <f>'6.Retail'!E119</f>
        <v>1171918.2645000003</v>
      </c>
      <c r="G9" s="742">
        <f>'6.Retail'!F119</f>
        <v>2667307.1759550003</v>
      </c>
      <c r="H9" s="674">
        <f>'6.Retail'!G119</f>
        <v>3387125.2017328199</v>
      </c>
      <c r="I9" s="757">
        <f>'6.Retail'!H119</f>
        <v>5007782.1972863488</v>
      </c>
      <c r="J9" s="742">
        <f>'6.Retail'!I119</f>
        <v>6208794.5068977149</v>
      </c>
      <c r="K9" s="757">
        <f>'6.Retail'!J119</f>
        <v>7164159.346146686</v>
      </c>
      <c r="L9" s="757">
        <f>'6.Retail'!K119</f>
        <v>7692121.7410402838</v>
      </c>
      <c r="M9" s="757">
        <f>'6.Retail'!L119</f>
        <v>8233980.855578538</v>
      </c>
      <c r="N9" s="742">
        <f>'6.Retail'!M119</f>
        <v>9411196.8552564029</v>
      </c>
    </row>
    <row r="10" spans="1:14">
      <c r="A10" s="685" t="s">
        <v>533</v>
      </c>
      <c r="B10" s="720"/>
      <c r="C10" s="720"/>
      <c r="D10" s="756">
        <f>'7.Hotel'!C22</f>
        <v>0</v>
      </c>
      <c r="E10" s="674">
        <f>'7.Hotel'!D22</f>
        <v>0</v>
      </c>
      <c r="F10" s="757">
        <f>'7.Hotel'!E22</f>
        <v>0</v>
      </c>
      <c r="G10" s="742">
        <f>'7.Hotel'!F22</f>
        <v>0</v>
      </c>
      <c r="H10" s="674">
        <f>'7.Hotel'!G22</f>
        <v>3499608.1691995198</v>
      </c>
      <c r="I10" s="757">
        <f>'7.Hotel'!H22</f>
        <v>5949333.8876391836</v>
      </c>
      <c r="J10" s="742">
        <f>'7.Hotel'!I22</f>
        <v>9975970.5723713413</v>
      </c>
      <c r="K10" s="757">
        <f>'7.Hotel'!J22</f>
        <v>10518413.731899634</v>
      </c>
      <c r="L10" s="757">
        <f>'7.Hotel'!K22</f>
        <v>10885779.703810763</v>
      </c>
      <c r="M10" s="757">
        <f>'7.Hotel'!L22</f>
        <v>11079477.292184815</v>
      </c>
      <c r="N10" s="742">
        <f>'7.Hotel'!M22</f>
        <v>11277048.832326349</v>
      </c>
    </row>
    <row r="11" spans="1:14">
      <c r="A11" s="699" t="s">
        <v>47</v>
      </c>
      <c r="B11" s="758"/>
      <c r="C11" s="758"/>
      <c r="D11" s="759">
        <f>'8.Structured Parking'!C69</f>
        <v>0</v>
      </c>
      <c r="E11" s="766">
        <f>'8.Structured Parking'!D69</f>
        <v>2017484.45625</v>
      </c>
      <c r="F11" s="767">
        <f>'8.Structured Parking'!E69</f>
        <v>2057834.1453750003</v>
      </c>
      <c r="G11" s="768">
        <f>'8.Structured Parking'!F69</f>
        <v>2098990.8282824997</v>
      </c>
      <c r="H11" s="766">
        <f>'8.Structured Parking'!G69</f>
        <v>2140970.6448481497</v>
      </c>
      <c r="I11" s="767">
        <f>'8.Structured Parking'!H69</f>
        <v>2183790.057745113</v>
      </c>
      <c r="J11" s="768">
        <f>'8.Structured Parking'!I69</f>
        <v>3119178.9291462027</v>
      </c>
      <c r="K11" s="767">
        <f>'8.Structured Parking'!J69</f>
        <v>3181562.5077291261</v>
      </c>
      <c r="L11" s="767">
        <f>'8.Structured Parking'!K69</f>
        <v>3245193.7578837085</v>
      </c>
      <c r="M11" s="767">
        <f>'8.Structured Parking'!L69</f>
        <v>3310097.6330413832</v>
      </c>
      <c r="N11" s="768">
        <f>'8.Structured Parking'!M69</f>
        <v>3376299.5857022111</v>
      </c>
    </row>
    <row r="12" spans="1:14" ht="16" thickBot="1">
      <c r="A12" s="678" t="s">
        <v>1</v>
      </c>
      <c r="B12" s="679"/>
      <c r="C12" s="679"/>
      <c r="D12" s="769">
        <f t="shared" ref="D12:N12" si="0">SUM(D5:D11)</f>
        <v>1387530</v>
      </c>
      <c r="E12" s="681">
        <f t="shared" si="0"/>
        <v>2798029.2562500001</v>
      </c>
      <c r="F12" s="770">
        <f t="shared" si="0"/>
        <v>6557101.4274750007</v>
      </c>
      <c r="G12" s="771">
        <f t="shared" si="0"/>
        <v>11200118.765701501</v>
      </c>
      <c r="H12" s="681">
        <f t="shared" si="0"/>
        <v>18472188.184011448</v>
      </c>
      <c r="I12" s="770">
        <f t="shared" si="0"/>
        <v>31090333.636533763</v>
      </c>
      <c r="J12" s="771">
        <f t="shared" si="0"/>
        <v>39299939.776077166</v>
      </c>
      <c r="K12" s="770">
        <f t="shared" si="0"/>
        <v>43192148.602576368</v>
      </c>
      <c r="L12" s="770">
        <f t="shared" si="0"/>
        <v>39465582.462436892</v>
      </c>
      <c r="M12" s="770">
        <f t="shared" si="0"/>
        <v>42494036.049201801</v>
      </c>
      <c r="N12" s="771">
        <f t="shared" si="0"/>
        <v>45682437.944847614</v>
      </c>
    </row>
    <row r="13" spans="1:14" ht="16" thickBot="1">
      <c r="A13" s="26" t="s">
        <v>2</v>
      </c>
      <c r="B13" s="27"/>
      <c r="C13" s="27"/>
      <c r="D13" s="16"/>
      <c r="E13" s="459"/>
      <c r="F13" s="17"/>
      <c r="G13" s="23"/>
      <c r="H13" s="459"/>
      <c r="I13" s="17"/>
      <c r="J13" s="23"/>
      <c r="K13" s="17"/>
      <c r="L13" s="17"/>
      <c r="M13" s="17"/>
      <c r="N13" s="23"/>
    </row>
    <row r="14" spans="1:14">
      <c r="A14" s="685" t="s">
        <v>60</v>
      </c>
      <c r="B14" s="720"/>
      <c r="C14" s="720"/>
      <c r="D14" s="753">
        <f>'2.Market-Rate Rental Housing'!C44</f>
        <v>0</v>
      </c>
      <c r="E14" s="754">
        <f>'2.Market-Rate Rental Housing'!D44</f>
        <v>19418416.725120001</v>
      </c>
      <c r="F14" s="753">
        <f>'2.Market-Rate Rental Housing'!E44</f>
        <v>0</v>
      </c>
      <c r="G14" s="755">
        <f>'2.Market-Rate Rental Housing'!F44</f>
        <v>28426923.125913311</v>
      </c>
      <c r="H14" s="754">
        <f>'2.Market-Rate Rental Housing'!G44</f>
        <v>0</v>
      </c>
      <c r="I14" s="753">
        <f>'2.Market-Rate Rental Housing'!H44</f>
        <v>28028045.022303179</v>
      </c>
      <c r="J14" s="755">
        <f>'2.Market-Rate Rental Housing'!I44</f>
        <v>0</v>
      </c>
      <c r="K14" s="753">
        <f>'2.Market-Rate Rental Housing'!J44</f>
        <v>26618109.499213472</v>
      </c>
      <c r="L14" s="753">
        <f>'2.Market-Rate Rental Housing'!K44</f>
        <v>0</v>
      </c>
      <c r="M14" s="753">
        <f>'2.Market-Rate Rental Housing'!L44</f>
        <v>0</v>
      </c>
      <c r="N14" s="755">
        <f>'2.Market-Rate Rental Housing'!M44</f>
        <v>0</v>
      </c>
    </row>
    <row r="15" spans="1:14">
      <c r="A15" s="685" t="s">
        <v>483</v>
      </c>
      <c r="B15" s="720"/>
      <c r="C15" s="720"/>
      <c r="D15" s="756">
        <f>'3.Luxury Condos'!C32</f>
        <v>0</v>
      </c>
      <c r="E15" s="674">
        <f>'3.Luxury Condos'!D32</f>
        <v>0</v>
      </c>
      <c r="F15" s="757">
        <f>'3.Luxury Condos'!E32</f>
        <v>0</v>
      </c>
      <c r="G15" s="742">
        <f>'3.Luxury Condos'!F32</f>
        <v>0</v>
      </c>
      <c r="H15" s="674">
        <f>'3.Luxury Condos'!G32</f>
        <v>19096430.098571137</v>
      </c>
      <c r="I15" s="757">
        <f>'3.Luxury Condos'!H32</f>
        <v>0</v>
      </c>
      <c r="J15" s="742">
        <f>'3.Luxury Condos'!I32</f>
        <v>0</v>
      </c>
      <c r="K15" s="757">
        <f>'3.Luxury Condos'!J32</f>
        <v>0</v>
      </c>
      <c r="L15" s="757">
        <f>'3.Luxury Condos'!K32</f>
        <v>0</v>
      </c>
      <c r="M15" s="757">
        <f>'3.Luxury Condos'!L32</f>
        <v>0</v>
      </c>
      <c r="N15" s="742">
        <f>'3.Luxury Condos'!M32</f>
        <v>0</v>
      </c>
    </row>
    <row r="16" spans="1:14">
      <c r="A16" s="685" t="s">
        <v>62</v>
      </c>
      <c r="B16" s="720"/>
      <c r="C16" s="720"/>
      <c r="D16" s="756">
        <f>'4.Affordable Rental Housing'!C43</f>
        <v>0</v>
      </c>
      <c r="E16" s="674">
        <f>'4.Affordable Rental Housing'!D43</f>
        <v>8322178.5964800008</v>
      </c>
      <c r="F16" s="757">
        <f>'4.Affordable Rental Housing'!E43</f>
        <v>0</v>
      </c>
      <c r="G16" s="742">
        <f>'4.Affordable Rental Housing'!F43</f>
        <v>12182967.053962847</v>
      </c>
      <c r="H16" s="674">
        <f>'4.Affordable Rental Housing'!G43</f>
        <v>0</v>
      </c>
      <c r="I16" s="757">
        <f>'4.Affordable Rental Housing'!H43</f>
        <v>12012019.295272792</v>
      </c>
      <c r="J16" s="742">
        <f>'4.Affordable Rental Housing'!I43</f>
        <v>0</v>
      </c>
      <c r="K16" s="757">
        <f>'4.Affordable Rental Housing'!J43</f>
        <v>11407761.213948632</v>
      </c>
      <c r="L16" s="757">
        <f>'4.Affordable Rental Housing'!K43</f>
        <v>0</v>
      </c>
      <c r="M16" s="757">
        <f>'4.Affordable Rental Housing'!L43</f>
        <v>0</v>
      </c>
      <c r="N16" s="742">
        <f>'4.Affordable Rental Housing'!M43</f>
        <v>0</v>
      </c>
    </row>
    <row r="17" spans="1:16">
      <c r="A17" s="685" t="s">
        <v>63</v>
      </c>
      <c r="B17" s="720"/>
      <c r="C17" s="720"/>
      <c r="D17" s="756">
        <f>'5.Office'!C42</f>
        <v>0</v>
      </c>
      <c r="E17" s="674">
        <f>'5.Office'!D42</f>
        <v>0</v>
      </c>
      <c r="F17" s="757">
        <f>'5.Office'!E42</f>
        <v>0</v>
      </c>
      <c r="G17" s="742">
        <f>'5.Office'!F42</f>
        <v>0</v>
      </c>
      <c r="H17" s="674">
        <f>'5.Office'!G42</f>
        <v>0</v>
      </c>
      <c r="I17" s="757">
        <f>'5.Office'!H42</f>
        <v>0</v>
      </c>
      <c r="J17" s="742">
        <f>'5.Office'!I42</f>
        <v>21382824.605510417</v>
      </c>
      <c r="K17" s="757">
        <f>'5.Office'!J42</f>
        <v>0</v>
      </c>
      <c r="L17" s="757">
        <f>'5.Office'!K42</f>
        <v>3289632.8942586309</v>
      </c>
      <c r="M17" s="757">
        <f>'5.Office'!L42</f>
        <v>7941173.8067403352</v>
      </c>
      <c r="N17" s="742">
        <f>'5.Office'!M42</f>
        <v>0</v>
      </c>
    </row>
    <row r="18" spans="1:16">
      <c r="A18" s="685" t="s">
        <v>45</v>
      </c>
      <c r="B18" s="720"/>
      <c r="C18" s="720"/>
      <c r="D18" s="756">
        <f>'6.Retail'!C126</f>
        <v>0</v>
      </c>
      <c r="E18" s="674">
        <f>'6.Retail'!D126</f>
        <v>8406728.1365999989</v>
      </c>
      <c r="F18" s="757">
        <f>'6.Retail'!E126</f>
        <v>4776384.3454080001</v>
      </c>
      <c r="G18" s="742">
        <f>'6.Retail'!F126</f>
        <v>914220.07991999993</v>
      </c>
      <c r="H18" s="674">
        <f>'6.Retail'!G126</f>
        <v>5112253.3131039748</v>
      </c>
      <c r="I18" s="757">
        <f>'6.Retail'!H126</f>
        <v>4636228.5730222082</v>
      </c>
      <c r="J18" s="742">
        <f>'6.Retail'!I126</f>
        <v>5302678.9989642743</v>
      </c>
      <c r="K18" s="757">
        <f>'6.Retail'!J126</f>
        <v>0</v>
      </c>
      <c r="L18" s="757">
        <f>'6.Retail'!K126</f>
        <v>2379235.9803291555</v>
      </c>
      <c r="M18" s="757">
        <f>'6.Retail'!L126</f>
        <v>2353280.6787255644</v>
      </c>
      <c r="N18" s="742">
        <f>'6.Retail'!M126</f>
        <v>0</v>
      </c>
    </row>
    <row r="19" spans="1:16">
      <c r="A19" s="685" t="s">
        <v>533</v>
      </c>
      <c r="B19" s="720"/>
      <c r="C19" s="720"/>
      <c r="D19" s="756">
        <f>'7.Hotel'!C27</f>
        <v>0</v>
      </c>
      <c r="E19" s="674">
        <f>'7.Hotel'!D27</f>
        <v>0</v>
      </c>
      <c r="F19" s="757">
        <f>'7.Hotel'!E27</f>
        <v>0</v>
      </c>
      <c r="G19" s="742">
        <f>'7.Hotel'!F27</f>
        <v>0</v>
      </c>
      <c r="H19" s="674">
        <f>'7.Hotel'!G27</f>
        <v>47207692.078510463</v>
      </c>
      <c r="I19" s="757">
        <f>'7.Hotel'!H27</f>
        <v>0</v>
      </c>
      <c r="J19" s="742">
        <f>'7.Hotel'!I27</f>
        <v>0</v>
      </c>
      <c r="K19" s="757">
        <f>'7.Hotel'!J27</f>
        <v>0</v>
      </c>
      <c r="L19" s="757">
        <f>'7.Hotel'!K27</f>
        <v>0</v>
      </c>
      <c r="M19" s="757">
        <f>'7.Hotel'!L27</f>
        <v>0</v>
      </c>
      <c r="N19" s="742">
        <f>'7.Hotel'!M27</f>
        <v>0</v>
      </c>
    </row>
    <row r="20" spans="1:16">
      <c r="A20" s="685" t="s">
        <v>47</v>
      </c>
      <c r="B20" s="720"/>
      <c r="C20" s="720"/>
      <c r="D20" s="756">
        <f>'8.Structured Parking'!C73</f>
        <v>0</v>
      </c>
      <c r="E20" s="674">
        <f>'8.Structured Parking'!D73</f>
        <v>4537725</v>
      </c>
      <c r="F20" s="757">
        <f>'8.Structured Parking'!E73</f>
        <v>0</v>
      </c>
      <c r="G20" s="742">
        <f>'8.Structured Parking'!F73</f>
        <v>3045666.9599999995</v>
      </c>
      <c r="H20" s="674">
        <f>'8.Structured Parking'!G73</f>
        <v>0</v>
      </c>
      <c r="I20" s="757">
        <f>'8.Structured Parking'!H73</f>
        <v>2566987.8674399997</v>
      </c>
      <c r="J20" s="742">
        <f>'8.Structured Parking'!I73</f>
        <v>5402201.1252094088</v>
      </c>
      <c r="K20" s="757">
        <f>'8.Structured Parking'!J73</f>
        <v>3374264.1487197592</v>
      </c>
      <c r="L20" s="757">
        <f>'8.Structured Parking'!K73</f>
        <v>0</v>
      </c>
      <c r="M20" s="757">
        <f>'8.Structured Parking'!L73</f>
        <v>0</v>
      </c>
      <c r="N20" s="742">
        <f>'8.Structured Parking'!M73</f>
        <v>0</v>
      </c>
    </row>
    <row r="21" spans="1:16">
      <c r="A21" s="685" t="s">
        <v>65</v>
      </c>
      <c r="B21" s="720"/>
      <c r="C21" s="720"/>
      <c r="D21" s="1018">
        <f>'Land Values'!E105</f>
        <v>89688000.090922624</v>
      </c>
      <c r="E21" s="675">
        <v>0</v>
      </c>
      <c r="F21" s="738">
        <f>E21</f>
        <v>0</v>
      </c>
      <c r="G21" s="739">
        <f t="shared" ref="G21:N23" si="1">F21</f>
        <v>0</v>
      </c>
      <c r="H21" s="697">
        <f t="shared" si="1"/>
        <v>0</v>
      </c>
      <c r="I21" s="738">
        <f t="shared" si="1"/>
        <v>0</v>
      </c>
      <c r="J21" s="739">
        <f t="shared" si="1"/>
        <v>0</v>
      </c>
      <c r="K21" s="738">
        <f t="shared" si="1"/>
        <v>0</v>
      </c>
      <c r="L21" s="738">
        <f t="shared" si="1"/>
        <v>0</v>
      </c>
      <c r="M21" s="738">
        <f t="shared" si="1"/>
        <v>0</v>
      </c>
      <c r="N21" s="739">
        <f t="shared" si="1"/>
        <v>0</v>
      </c>
    </row>
    <row r="22" spans="1:16">
      <c r="A22" s="685" t="s">
        <v>507</v>
      </c>
      <c r="B22" s="720"/>
      <c r="C22" s="720"/>
      <c r="D22" s="756">
        <f>'1.Inftr Costs'!D20</f>
        <v>0</v>
      </c>
      <c r="E22" s="674">
        <f>'1.Inftr Costs'!E20</f>
        <v>9235016.3520000018</v>
      </c>
      <c r="F22" s="757">
        <f>'1.Inftr Costs'!F20</f>
        <v>1664640</v>
      </c>
      <c r="G22" s="742">
        <f>'1.Inftr Costs'!G20</f>
        <v>0</v>
      </c>
      <c r="H22" s="674">
        <f>'1.Inftr Costs'!H20</f>
        <v>16212398.284440001</v>
      </c>
      <c r="I22" s="757">
        <f>'1.Inftr Costs'!I20</f>
        <v>13808098.812878564</v>
      </c>
      <c r="J22" s="742">
        <f>'1.Inftr Costs'!J20</f>
        <v>6149972.9716007039</v>
      </c>
      <c r="K22" s="757">
        <f>'1.Inftr Costs'!K20</f>
        <v>12227983.339358617</v>
      </c>
      <c r="L22" s="757">
        <f>'1.Inftr Costs'!L20</f>
        <v>0</v>
      </c>
      <c r="M22" s="757">
        <f>'1.Inftr Costs'!M20</f>
        <v>956074.05489784863</v>
      </c>
      <c r="N22" s="742">
        <f>'1.Inftr Costs'!N20</f>
        <v>1523743.0249934464</v>
      </c>
    </row>
    <row r="23" spans="1:16">
      <c r="A23" s="1075" t="s">
        <v>230</v>
      </c>
      <c r="B23" s="1076"/>
      <c r="C23" s="1076"/>
      <c r="D23" s="1077">
        <f>F124</f>
        <v>917142.8</v>
      </c>
      <c r="E23" s="1078">
        <v>0</v>
      </c>
      <c r="F23" s="1079">
        <f>E23</f>
        <v>0</v>
      </c>
      <c r="G23" s="1080">
        <f t="shared" si="1"/>
        <v>0</v>
      </c>
      <c r="H23" s="1081">
        <f t="shared" si="1"/>
        <v>0</v>
      </c>
      <c r="I23" s="1079">
        <f t="shared" si="1"/>
        <v>0</v>
      </c>
      <c r="J23" s="1080">
        <f t="shared" si="1"/>
        <v>0</v>
      </c>
      <c r="K23" s="1079">
        <f t="shared" si="1"/>
        <v>0</v>
      </c>
      <c r="L23" s="1079">
        <f t="shared" si="1"/>
        <v>0</v>
      </c>
      <c r="M23" s="1079">
        <f t="shared" si="1"/>
        <v>0</v>
      </c>
      <c r="N23" s="1080">
        <f t="shared" si="1"/>
        <v>0</v>
      </c>
    </row>
    <row r="24" spans="1:16" ht="16" thickBot="1">
      <c r="A24" s="678" t="s">
        <v>3</v>
      </c>
      <c r="B24" s="679"/>
      <c r="C24" s="669"/>
      <c r="D24" s="751">
        <f t="shared" ref="D24:N24" si="2">SUM(D14:D23)</f>
        <v>90605142.890922621</v>
      </c>
      <c r="E24" s="681">
        <f t="shared" si="2"/>
        <v>49920064.810200006</v>
      </c>
      <c r="F24" s="770">
        <f t="shared" si="2"/>
        <v>6441024.3454080001</v>
      </c>
      <c r="G24" s="771">
        <f t="shared" si="2"/>
        <v>44569777.219796158</v>
      </c>
      <c r="H24" s="681">
        <f t="shared" si="2"/>
        <v>87628773.77462557</v>
      </c>
      <c r="I24" s="770">
        <f t="shared" si="2"/>
        <v>61051379.570916742</v>
      </c>
      <c r="J24" s="771">
        <f t="shared" si="2"/>
        <v>38237677.701284811</v>
      </c>
      <c r="K24" s="760">
        <f t="shared" si="2"/>
        <v>53628118.20124048</v>
      </c>
      <c r="L24" s="760">
        <f t="shared" si="2"/>
        <v>5668868.8745877864</v>
      </c>
      <c r="M24" s="760">
        <f t="shared" si="2"/>
        <v>11250528.540363748</v>
      </c>
      <c r="N24" s="761">
        <f t="shared" si="2"/>
        <v>1523743.0249934464</v>
      </c>
    </row>
    <row r="25" spans="1:16" ht="16" thickBot="1">
      <c r="A25" s="26" t="s">
        <v>4</v>
      </c>
      <c r="B25" s="27"/>
      <c r="C25" s="27"/>
      <c r="D25" s="597"/>
      <c r="E25" s="459"/>
      <c r="F25" s="17"/>
      <c r="G25" s="23"/>
      <c r="H25" s="459"/>
      <c r="I25" s="17"/>
      <c r="J25" s="23"/>
      <c r="K25" s="459"/>
      <c r="L25" s="17"/>
      <c r="M25" s="17"/>
      <c r="N25" s="23"/>
      <c r="P25" s="570"/>
    </row>
    <row r="26" spans="1:16">
      <c r="A26" s="732" t="s">
        <v>5</v>
      </c>
      <c r="B26" s="733"/>
      <c r="C26" s="670"/>
      <c r="D26" s="734">
        <f t="shared" ref="D26:N26" si="3">D12</f>
        <v>1387530</v>
      </c>
      <c r="E26" s="695">
        <f t="shared" si="3"/>
        <v>2798029.2562500001</v>
      </c>
      <c r="F26" s="735">
        <f t="shared" si="3"/>
        <v>6557101.4274750007</v>
      </c>
      <c r="G26" s="736">
        <f t="shared" si="3"/>
        <v>11200118.765701501</v>
      </c>
      <c r="H26" s="695">
        <f t="shared" si="3"/>
        <v>18472188.184011448</v>
      </c>
      <c r="I26" s="735">
        <f t="shared" si="3"/>
        <v>31090333.636533763</v>
      </c>
      <c r="J26" s="736">
        <f t="shared" si="3"/>
        <v>39299939.776077166</v>
      </c>
      <c r="K26" s="695">
        <f t="shared" si="3"/>
        <v>43192148.602576368</v>
      </c>
      <c r="L26" s="735">
        <f t="shared" si="3"/>
        <v>39465582.462436892</v>
      </c>
      <c r="M26" s="735">
        <f t="shared" si="3"/>
        <v>42494036.049201801</v>
      </c>
      <c r="N26" s="736">
        <f t="shared" si="3"/>
        <v>45682437.944847614</v>
      </c>
    </row>
    <row r="27" spans="1:16">
      <c r="A27" s="685" t="s">
        <v>54</v>
      </c>
      <c r="B27" s="701" t="s">
        <v>265</v>
      </c>
      <c r="C27" s="778">
        <f>N26/N27</f>
        <v>5.1509346621739255E-2</v>
      </c>
      <c r="D27" s="737"/>
      <c r="E27" s="697"/>
      <c r="F27" s="738"/>
      <c r="G27" s="739"/>
      <c r="H27" s="697"/>
      <c r="I27" s="738"/>
      <c r="J27" s="739"/>
      <c r="K27" s="697"/>
      <c r="L27" s="740"/>
      <c r="M27" s="741"/>
      <c r="N27" s="742">
        <f>'2.Market-Rate Rental Housing'!M49+'4.Affordable Rental Housing'!M48+'5.Office'!M50+'6.Retail'!M131+'7.Hotel'!M32+'7.Hotel'!M32+'8.Structured Parking'!M78</f>
        <v>886876672.70016539</v>
      </c>
    </row>
    <row r="28" spans="1:16">
      <c r="A28" s="685" t="s">
        <v>27</v>
      </c>
      <c r="B28" s="670"/>
      <c r="C28" s="743">
        <v>0.03</v>
      </c>
      <c r="D28" s="744"/>
      <c r="E28" s="697"/>
      <c r="F28" s="738"/>
      <c r="G28" s="739"/>
      <c r="H28" s="697"/>
      <c r="I28" s="738"/>
      <c r="J28" s="739"/>
      <c r="K28" s="697"/>
      <c r="L28" s="738"/>
      <c r="M28" s="738"/>
      <c r="N28" s="739">
        <f>N27*-C28</f>
        <v>-26606300.18100496</v>
      </c>
    </row>
    <row r="29" spans="1:16">
      <c r="A29" s="699" t="s">
        <v>231</v>
      </c>
      <c r="B29" s="677"/>
      <c r="C29" s="677"/>
      <c r="D29" s="745">
        <f>-D24</f>
        <v>-90605142.890922621</v>
      </c>
      <c r="E29" s="746">
        <f t="shared" ref="E29:N29" si="4">-E24</f>
        <v>-49920064.810200006</v>
      </c>
      <c r="F29" s="747">
        <f t="shared" si="4"/>
        <v>-6441024.3454080001</v>
      </c>
      <c r="G29" s="748">
        <f t="shared" si="4"/>
        <v>-44569777.219796158</v>
      </c>
      <c r="H29" s="746">
        <f t="shared" si="4"/>
        <v>-87628773.77462557</v>
      </c>
      <c r="I29" s="747">
        <f t="shared" si="4"/>
        <v>-61051379.570916742</v>
      </c>
      <c r="J29" s="748">
        <f t="shared" si="4"/>
        <v>-38237677.701284811</v>
      </c>
      <c r="K29" s="746">
        <f t="shared" si="4"/>
        <v>-53628118.20124048</v>
      </c>
      <c r="L29" s="747">
        <f t="shared" si="4"/>
        <v>-5668868.8745877864</v>
      </c>
      <c r="M29" s="747">
        <f t="shared" si="4"/>
        <v>-11250528.540363748</v>
      </c>
      <c r="N29" s="748">
        <f t="shared" si="4"/>
        <v>-1523743.0249934464</v>
      </c>
    </row>
    <row r="30" spans="1:16">
      <c r="A30" s="700" t="s">
        <v>6</v>
      </c>
      <c r="B30" s="701"/>
      <c r="C30" s="701"/>
      <c r="D30" s="749">
        <f>SUM(D26:D29)</f>
        <v>-89217612.890922621</v>
      </c>
      <c r="E30" s="750">
        <f t="shared" ref="E30:N30" si="5">SUM(E26:E29)</f>
        <v>-47122035.553950004</v>
      </c>
      <c r="F30" s="751">
        <f t="shared" si="5"/>
        <v>116077.08206700068</v>
      </c>
      <c r="G30" s="749">
        <f t="shared" si="5"/>
        <v>-33369658.454094656</v>
      </c>
      <c r="H30" s="750">
        <f t="shared" si="5"/>
        <v>-69156585.590614125</v>
      </c>
      <c r="I30" s="751">
        <f t="shared" si="5"/>
        <v>-29961045.934382979</v>
      </c>
      <c r="J30" s="749">
        <f t="shared" si="5"/>
        <v>1062262.0747923553</v>
      </c>
      <c r="K30" s="750">
        <f t="shared" si="5"/>
        <v>-10435969.598664112</v>
      </c>
      <c r="L30" s="751">
        <f t="shared" si="5"/>
        <v>33796713.587849103</v>
      </c>
      <c r="M30" s="751">
        <f t="shared" si="5"/>
        <v>31243507.508838054</v>
      </c>
      <c r="N30" s="749">
        <f t="shared" si="5"/>
        <v>904429067.43901455</v>
      </c>
    </row>
    <row r="31" spans="1:16" ht="16" thickBot="1">
      <c r="A31" s="752" t="s">
        <v>352</v>
      </c>
      <c r="B31" s="716"/>
      <c r="C31" s="716"/>
      <c r="D31" s="779">
        <f>-Financing!B19</f>
        <v>0</v>
      </c>
      <c r="E31" s="780">
        <f>-Financing!C19</f>
        <v>-232873.42311556757</v>
      </c>
      <c r="F31" s="781">
        <f>-Financing!D19</f>
        <v>-619334.88384004752</v>
      </c>
      <c r="G31" s="782">
        <f>-Financing!E19</f>
        <v>-3293521.5170278167</v>
      </c>
      <c r="H31" s="780">
        <f>-Financing!F19</f>
        <v>-8551247.9435053505</v>
      </c>
      <c r="I31" s="781">
        <f>-Financing!G19</f>
        <v>-12214330.717760354</v>
      </c>
      <c r="J31" s="782">
        <f>-Financing!H19</f>
        <v>-14508591.379837442</v>
      </c>
      <c r="K31" s="780">
        <f>-Financing!I19</f>
        <v>-17726278.47191187</v>
      </c>
      <c r="L31" s="781">
        <f>-Financing!J19</f>
        <v>-18066410.604387138</v>
      </c>
      <c r="M31" s="781">
        <f>-Financing!K19</f>
        <v>-18741442.316808961</v>
      </c>
      <c r="N31" s="782">
        <f>-Financing!L19</f>
        <v>-18832866.898308568</v>
      </c>
    </row>
    <row r="32" spans="1:16">
      <c r="A32" s="772"/>
      <c r="B32" s="773"/>
      <c r="C32" s="773"/>
      <c r="D32" s="774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>
      <c r="A33" s="24" t="s">
        <v>232</v>
      </c>
      <c r="B33" s="24"/>
      <c r="C33" s="573">
        <f>D30+NPV(0.09,E30:N30)</f>
        <v>181728451.00777704</v>
      </c>
      <c r="D33" s="9"/>
      <c r="E33" s="11"/>
      <c r="F33" s="11"/>
      <c r="G33" s="11"/>
      <c r="H33" s="10"/>
      <c r="I33" s="11"/>
      <c r="J33" s="11"/>
      <c r="K33" s="11"/>
      <c r="L33" s="11"/>
      <c r="M33" s="11"/>
      <c r="N33" s="11"/>
    </row>
    <row r="34" spans="1:14" ht="16" thickBot="1">
      <c r="A34" s="775" t="s">
        <v>66</v>
      </c>
      <c r="B34" s="24"/>
      <c r="C34" s="958">
        <f>M64/N27</f>
        <v>0.25653530189181051</v>
      </c>
      <c r="D34" s="9"/>
      <c r="E34" s="11"/>
      <c r="F34" s="11"/>
      <c r="G34" s="11"/>
      <c r="H34" s="25"/>
      <c r="I34" s="11"/>
      <c r="J34" s="11"/>
      <c r="K34" s="11"/>
      <c r="L34" s="11"/>
      <c r="M34" s="11"/>
      <c r="N34" s="11"/>
    </row>
    <row r="35" spans="1:14">
      <c r="A35" s="24" t="s">
        <v>67</v>
      </c>
      <c r="B35" s="24"/>
      <c r="C35" s="958">
        <f>IRR(D30:N30,0)</f>
        <v>0.17105138071625392</v>
      </c>
      <c r="D35" s="9"/>
      <c r="E35" s="11"/>
      <c r="F35" s="11"/>
      <c r="G35" s="29" t="s">
        <v>68</v>
      </c>
      <c r="H35" s="30"/>
      <c r="I35" s="30"/>
      <c r="J35" s="571">
        <f>'Land Values'!E105</f>
        <v>89688000.090922624</v>
      </c>
      <c r="K35" s="11"/>
      <c r="L35" s="11"/>
      <c r="M35" s="11"/>
      <c r="N35" s="11"/>
    </row>
    <row r="36" spans="1:14" ht="16" thickBot="1">
      <c r="A36" s="24" t="s">
        <v>264</v>
      </c>
      <c r="B36" s="24"/>
      <c r="C36" s="959">
        <f>Financing!$B$36</f>
        <v>0.21203119090955447</v>
      </c>
      <c r="D36" s="777" t="s">
        <v>263</v>
      </c>
      <c r="E36" s="11"/>
      <c r="F36" s="11"/>
      <c r="G36" s="481" t="s">
        <v>69</v>
      </c>
      <c r="H36" s="19"/>
      <c r="I36" s="19"/>
      <c r="J36" s="572">
        <f>N27</f>
        <v>886876672.70016539</v>
      </c>
      <c r="K36" s="11"/>
      <c r="L36" s="11"/>
      <c r="M36" s="11"/>
      <c r="N36" s="11"/>
    </row>
    <row r="37" spans="1:14" s="10" customFormat="1" ht="16" thickBot="1">
      <c r="A37" s="776"/>
      <c r="B37" s="28"/>
      <c r="C37" s="28"/>
      <c r="D37" s="18"/>
      <c r="E37" s="19"/>
      <c r="F37" s="19"/>
      <c r="G37" s="575"/>
      <c r="H37" s="19"/>
      <c r="I37" s="19"/>
      <c r="J37" s="19"/>
      <c r="K37" s="19"/>
      <c r="L37" s="19"/>
      <c r="M37" s="19"/>
      <c r="N37" s="19"/>
    </row>
    <row r="38" spans="1:14" ht="16" thickBot="1">
      <c r="A38" s="81" t="s">
        <v>70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16" thickBot="1">
      <c r="A39" s="31"/>
      <c r="B39" s="15"/>
      <c r="C39" s="15"/>
      <c r="D39" s="8" t="s">
        <v>53</v>
      </c>
      <c r="E39" s="374" t="s">
        <v>34</v>
      </c>
      <c r="F39" s="375"/>
      <c r="G39" s="376"/>
      <c r="H39" s="374" t="s">
        <v>76</v>
      </c>
      <c r="I39" s="377"/>
      <c r="J39" s="376"/>
      <c r="K39" s="378" t="s">
        <v>77</v>
      </c>
      <c r="L39" s="378"/>
      <c r="M39" s="379"/>
      <c r="N39" s="376"/>
    </row>
    <row r="40" spans="1:14" s="12" customFormat="1" ht="16" thickBot="1">
      <c r="A40" s="4"/>
      <c r="B40" s="5"/>
      <c r="C40" s="6" t="s">
        <v>28</v>
      </c>
      <c r="D40" s="6" t="s">
        <v>58</v>
      </c>
      <c r="E40" s="32">
        <v>2015</v>
      </c>
      <c r="F40" s="6">
        <f>E40+1</f>
        <v>2016</v>
      </c>
      <c r="G40" s="7">
        <f t="shared" ref="G40" si="6">F40+1</f>
        <v>2017</v>
      </c>
      <c r="H40" s="32">
        <f t="shared" ref="H40" si="7">G40+1</f>
        <v>2018</v>
      </c>
      <c r="I40" s="6">
        <f t="shared" ref="I40" si="8">H40+1</f>
        <v>2019</v>
      </c>
      <c r="J40" s="7">
        <f t="shared" ref="J40" si="9">I40+1</f>
        <v>2020</v>
      </c>
      <c r="K40" s="6">
        <f t="shared" ref="K40" si="10">J40+1</f>
        <v>2021</v>
      </c>
      <c r="L40" s="6">
        <f t="shared" ref="L40" si="11">K40+1</f>
        <v>2022</v>
      </c>
      <c r="M40" s="6">
        <f>L40+1</f>
        <v>2023</v>
      </c>
      <c r="N40" s="7">
        <f>M40+1</f>
        <v>2024</v>
      </c>
    </row>
    <row r="41" spans="1:14" ht="16" thickBot="1">
      <c r="A41" s="26" t="s">
        <v>71</v>
      </c>
      <c r="B41" s="22"/>
      <c r="C41" s="22"/>
      <c r="D41" s="33"/>
      <c r="E41" s="459"/>
      <c r="F41" s="17"/>
      <c r="G41" s="23"/>
      <c r="H41" s="459"/>
      <c r="I41" s="17"/>
      <c r="J41" s="23"/>
      <c r="K41" s="17"/>
      <c r="L41" s="17"/>
      <c r="M41" s="17"/>
      <c r="N41" s="23"/>
    </row>
    <row r="42" spans="1:14">
      <c r="A42" s="685" t="s">
        <v>60</v>
      </c>
      <c r="B42" s="720"/>
      <c r="C42" s="964">
        <f>SUM('2.Market-Rate Rental Housing'!C58:C60)</f>
        <v>560.16470588235291</v>
      </c>
      <c r="D42" s="708">
        <f>SUM('2.Market-Rate Rental Housing'!C9,'2.Market-Rate Rental Housing'!C19,'2.Market-Rate Rental Housing'!C29)</f>
        <v>0</v>
      </c>
      <c r="E42" s="721">
        <f>SUM('2.Market-Rate Rental Housing'!D9,'2.Market-Rate Rental Housing'!D19,'2.Market-Rate Rental Housing'!D29)</f>
        <v>113</v>
      </c>
      <c r="F42" s="722">
        <f>SUM('2.Market-Rate Rental Housing'!E9,'2.Market-Rate Rental Housing'!E19,'2.Market-Rate Rental Housing'!E29)</f>
        <v>0</v>
      </c>
      <c r="G42" s="723">
        <f>SUM('2.Market-Rate Rental Housing'!F9,'2.Market-Rate Rental Housing'!F19,'2.Market-Rate Rental Housing'!F29)</f>
        <v>159</v>
      </c>
      <c r="H42" s="721">
        <f>SUM('2.Market-Rate Rental Housing'!G9,'2.Market-Rate Rental Housing'!G19,'2.Market-Rate Rental Housing'!G29)</f>
        <v>0</v>
      </c>
      <c r="I42" s="722">
        <f>SUM('2.Market-Rate Rental Housing'!H9,'2.Market-Rate Rental Housing'!H19,'2.Market-Rate Rental Housing'!H29)</f>
        <v>151</v>
      </c>
      <c r="J42" s="723">
        <f>SUM('2.Market-Rate Rental Housing'!I9,'2.Market-Rate Rental Housing'!I19,'2.Market-Rate Rental Housing'!I29)</f>
        <v>0</v>
      </c>
      <c r="K42" s="708">
        <f>SUM('2.Market-Rate Rental Housing'!J9,'2.Market-Rate Rental Housing'!J19,'2.Market-Rate Rental Housing'!J29)</f>
        <v>138</v>
      </c>
      <c r="L42" s="708">
        <f>SUM('2.Market-Rate Rental Housing'!K9,'2.Market-Rate Rental Housing'!K19,'2.Market-Rate Rental Housing'!K29)</f>
        <v>0</v>
      </c>
      <c r="M42" s="708">
        <f>SUM('2.Market-Rate Rental Housing'!L9,'2.Market-Rate Rental Housing'!L19,'2.Market-Rate Rental Housing'!L29)</f>
        <v>0</v>
      </c>
      <c r="N42" s="710">
        <f>SUM('2.Market-Rate Rental Housing'!M9,'2.Market-Rate Rental Housing'!M19,'2.Market-Rate Rental Housing'!M29)</f>
        <v>0</v>
      </c>
    </row>
    <row r="43" spans="1:14">
      <c r="A43" s="685" t="s">
        <v>61</v>
      </c>
      <c r="B43" s="720"/>
      <c r="C43" s="964">
        <f>SUM('3.Luxury Condos'!C44:C45)</f>
        <v>74.166666666666671</v>
      </c>
      <c r="D43" s="724">
        <f>SUM('3.Luxury Condos'!C9,'3.Luxury Condos'!C18)</f>
        <v>0</v>
      </c>
      <c r="E43" s="725">
        <f>SUM('3.Luxury Condos'!D9,'3.Luxury Condos'!D18)</f>
        <v>0</v>
      </c>
      <c r="F43" s="726">
        <f>SUM('3.Luxury Condos'!E9,'3.Luxury Condos'!E18)</f>
        <v>0</v>
      </c>
      <c r="G43" s="727">
        <f>SUM('3.Luxury Condos'!F9,'3.Luxury Condos'!F18)</f>
        <v>0</v>
      </c>
      <c r="H43" s="728">
        <f>SUM('3.Luxury Condos'!G9,'3.Luxury Condos'!G18)</f>
        <v>74</v>
      </c>
      <c r="I43" s="726">
        <f>SUM('3.Luxury Condos'!H9,'3.Luxury Condos'!H18)</f>
        <v>0</v>
      </c>
      <c r="J43" s="727">
        <f>SUM('3.Luxury Condos'!I9,'3.Luxury Condos'!I18)</f>
        <v>0</v>
      </c>
      <c r="K43" s="726">
        <f>SUM('3.Luxury Condos'!J9,'3.Luxury Condos'!J18)</f>
        <v>0</v>
      </c>
      <c r="L43" s="726">
        <f>SUM('3.Luxury Condos'!K9,'3.Luxury Condos'!K18)</f>
        <v>0</v>
      </c>
      <c r="M43" s="726">
        <f>SUM('3.Luxury Condos'!L9,'3.Luxury Condos'!L18)</f>
        <v>0</v>
      </c>
      <c r="N43" s="727">
        <f>SUM('3.Luxury Condos'!M9,'3.Luxury Condos'!M18)</f>
        <v>0</v>
      </c>
    </row>
    <row r="44" spans="1:14">
      <c r="A44" s="685" t="s">
        <v>62</v>
      </c>
      <c r="B44" s="720"/>
      <c r="C44" s="964">
        <f>SUM('4.Affordable Rental Housing'!C57:C59)</f>
        <v>170.05</v>
      </c>
      <c r="D44" s="708">
        <f>SUM('4.Affordable Rental Housing'!C9,'4.Affordable Rental Housing'!C19,'4.Affordable Rental Housing'!C29)</f>
        <v>0</v>
      </c>
      <c r="E44" s="709">
        <f>SUM('4.Affordable Rental Housing'!D9,'4.Affordable Rental Housing'!D19,'4.Affordable Rental Housing'!D29)</f>
        <v>34</v>
      </c>
      <c r="F44" s="708">
        <f>SUM('4.Affordable Rental Housing'!E9,'4.Affordable Rental Housing'!E19,'4.Affordable Rental Housing'!E29)</f>
        <v>0</v>
      </c>
      <c r="G44" s="710">
        <f>SUM('4.Affordable Rental Housing'!F9,'4.Affordable Rental Housing'!F19,'4.Affordable Rental Housing'!F29)</f>
        <v>48</v>
      </c>
      <c r="H44" s="709">
        <f>SUM('4.Affordable Rental Housing'!G9,'4.Affordable Rental Housing'!G19,'4.Affordable Rental Housing'!G29)</f>
        <v>0</v>
      </c>
      <c r="I44" s="708">
        <f>SUM('4.Affordable Rental Housing'!H9,'4.Affordable Rental Housing'!H19,'4.Affordable Rental Housing'!H29)</f>
        <v>46</v>
      </c>
      <c r="J44" s="710">
        <f>SUM('4.Affordable Rental Housing'!I9,'4.Affordable Rental Housing'!I19,'4.Affordable Rental Housing'!I29)</f>
        <v>0</v>
      </c>
      <c r="K44" s="708">
        <f>SUM('4.Affordable Rental Housing'!J9,'4.Affordable Rental Housing'!J19,'4.Affordable Rental Housing'!J29)</f>
        <v>42</v>
      </c>
      <c r="L44" s="708">
        <f>SUM('4.Affordable Rental Housing'!K9,'4.Affordable Rental Housing'!K19,'4.Affordable Rental Housing'!K29)</f>
        <v>0</v>
      </c>
      <c r="M44" s="708">
        <f>SUM('4.Affordable Rental Housing'!L9,'4.Affordable Rental Housing'!L19,'4.Affordable Rental Housing'!L29)</f>
        <v>0</v>
      </c>
      <c r="N44" s="710">
        <f>SUM('4.Affordable Rental Housing'!M9,'4.Affordable Rental Housing'!M19,'4.Affordable Rental Housing'!M29)</f>
        <v>0</v>
      </c>
    </row>
    <row r="45" spans="1:14">
      <c r="A45" s="671" t="s">
        <v>533</v>
      </c>
      <c r="B45" s="670"/>
      <c r="C45" s="965" t="s">
        <v>587</v>
      </c>
      <c r="D45" s="708">
        <f>'7.Hotel'!C9+'7.Hotel'!C15</f>
        <v>0</v>
      </c>
      <c r="E45" s="709">
        <f>'7.Hotel'!D9+'7.Hotel'!D15</f>
        <v>0</v>
      </c>
      <c r="F45" s="708">
        <f>'7.Hotel'!E9+'7.Hotel'!E15</f>
        <v>0</v>
      </c>
      <c r="G45" s="710">
        <f>'7.Hotel'!F9+'7.Hotel'!F15</f>
        <v>0</v>
      </c>
      <c r="H45" s="709">
        <f>'7.Hotel'!G9+'7.Hotel'!G15</f>
        <v>444</v>
      </c>
      <c r="I45" s="708">
        <f>'7.Hotel'!H9+'7.Hotel'!H15</f>
        <v>0</v>
      </c>
      <c r="J45" s="710">
        <f>'7.Hotel'!I9+'7.Hotel'!I15</f>
        <v>54.72</v>
      </c>
      <c r="K45" s="708">
        <f>'7.Hotel'!J9+'7.Hotel'!J15</f>
        <v>0</v>
      </c>
      <c r="L45" s="708">
        <f>'7.Hotel'!K9+'7.Hotel'!K15</f>
        <v>0</v>
      </c>
      <c r="M45" s="708">
        <f>'7.Hotel'!L9+'7.Hotel'!L15</f>
        <v>0</v>
      </c>
      <c r="N45" s="710">
        <f>'7.Hotel'!M9+'7.Hotel'!M15</f>
        <v>0</v>
      </c>
    </row>
    <row r="46" spans="1:14">
      <c r="A46" s="671" t="s">
        <v>47</v>
      </c>
      <c r="B46" s="670"/>
      <c r="C46" s="966">
        <f>SUM('8.Structured Parking'!C87:C89)</f>
        <v>1087.703125</v>
      </c>
      <c r="D46" s="729">
        <f>D55/'8.Structured Parking'!$D$92</f>
        <v>0</v>
      </c>
      <c r="E46" s="730">
        <f>E55/'8.Structured Parking'!$D$92</f>
        <v>31.484375</v>
      </c>
      <c r="F46" s="729">
        <f>F55/'8.Structured Parking'!$D$92</f>
        <v>0</v>
      </c>
      <c r="G46" s="731">
        <f>G55/'8.Structured Parking'!$D$92</f>
        <v>0</v>
      </c>
      <c r="H46" s="730">
        <f>H55/'8.Structured Parking'!$D$92</f>
        <v>0</v>
      </c>
      <c r="I46" s="729">
        <f>I55/'8.Structured Parking'!$D$92</f>
        <v>0</v>
      </c>
      <c r="J46" s="731">
        <f>J55/'8.Structured Parking'!$D$92</f>
        <v>224.8125</v>
      </c>
      <c r="K46" s="729">
        <f>K55/'8.Structured Parking'!$D$92</f>
        <v>0</v>
      </c>
      <c r="L46" s="729">
        <f>L55/'8.Structured Parking'!$D$92</f>
        <v>43.75</v>
      </c>
      <c r="M46" s="729">
        <f>M55/'8.Structured Parking'!$D$92</f>
        <v>0</v>
      </c>
      <c r="N46" s="731">
        <f>N55/'8.Structured Parking'!$D$92</f>
        <v>0</v>
      </c>
    </row>
    <row r="47" spans="1:14" ht="16" thickBot="1">
      <c r="A47" s="671"/>
      <c r="B47" s="670"/>
      <c r="C47" s="966"/>
      <c r="D47" s="729"/>
      <c r="E47" s="730"/>
      <c r="F47" s="729"/>
      <c r="G47" s="731"/>
      <c r="H47" s="730"/>
      <c r="I47" s="729"/>
      <c r="J47" s="731"/>
      <c r="K47" s="729"/>
      <c r="L47" s="729"/>
      <c r="M47" s="729"/>
      <c r="N47" s="731"/>
    </row>
    <row r="48" spans="1:14" ht="16" thickBot="1">
      <c r="A48" s="21" t="s">
        <v>29</v>
      </c>
      <c r="B48" s="22"/>
      <c r="C48" s="16"/>
      <c r="D48" s="16"/>
      <c r="E48" s="459"/>
      <c r="F48" s="17"/>
      <c r="G48" s="23"/>
      <c r="H48" s="459"/>
      <c r="I48" s="17"/>
      <c r="J48" s="23"/>
      <c r="K48" s="17"/>
      <c r="L48" s="17"/>
      <c r="M48" s="17"/>
      <c r="N48" s="23"/>
    </row>
    <row r="49" spans="1:14">
      <c r="A49" s="685" t="s">
        <v>60</v>
      </c>
      <c r="B49" s="686"/>
      <c r="C49" s="707">
        <f>SUM('2.Market-Rate Rental Housing'!D58:D60)</f>
        <v>476140</v>
      </c>
      <c r="D49" s="708">
        <f>D42*'2.Market-Rate Rental Housing'!$B$12</f>
        <v>0</v>
      </c>
      <c r="E49" s="709">
        <f>E42*'2.Market-Rate Rental Housing'!$B$12</f>
        <v>96050</v>
      </c>
      <c r="F49" s="708">
        <f>F42*'2.Market-Rate Rental Housing'!$B$12</f>
        <v>0</v>
      </c>
      <c r="G49" s="710">
        <f>G42*'2.Market-Rate Rental Housing'!$B$12</f>
        <v>135150</v>
      </c>
      <c r="H49" s="709">
        <f>H42*'2.Market-Rate Rental Housing'!$B$12</f>
        <v>0</v>
      </c>
      <c r="I49" s="708">
        <f>I42*'2.Market-Rate Rental Housing'!$B$12</f>
        <v>128350</v>
      </c>
      <c r="J49" s="710">
        <f>J42*'2.Market-Rate Rental Housing'!$B$12</f>
        <v>0</v>
      </c>
      <c r="K49" s="708">
        <f>K42*'2.Market-Rate Rental Housing'!$B$12</f>
        <v>117300</v>
      </c>
      <c r="L49" s="708">
        <f>L42*'2.Market-Rate Rental Housing'!$B$12</f>
        <v>0</v>
      </c>
      <c r="M49" s="708">
        <f>M42*'2.Market-Rate Rental Housing'!$B$12</f>
        <v>0</v>
      </c>
      <c r="N49" s="710">
        <f>N42*'2.Market-Rate Rental Housing'!$B$12</f>
        <v>0</v>
      </c>
    </row>
    <row r="50" spans="1:14">
      <c r="A50" s="685" t="s">
        <v>61</v>
      </c>
      <c r="B50" s="686"/>
      <c r="C50" s="707">
        <f>SUM('3.Luxury Condos'!D44:D45)</f>
        <v>89000</v>
      </c>
      <c r="D50" s="708">
        <f>D43*'3.Luxury Condos'!$B$12</f>
        <v>0</v>
      </c>
      <c r="E50" s="709">
        <f>E43*'3.Luxury Condos'!$B$12</f>
        <v>0</v>
      </c>
      <c r="F50" s="708">
        <f>F43*'3.Luxury Condos'!$B$12</f>
        <v>0</v>
      </c>
      <c r="G50" s="710">
        <f>G43*'3.Luxury Condos'!$B$12</f>
        <v>0</v>
      </c>
      <c r="H50" s="709">
        <f>H43*'3.Luxury Condos'!$B$12</f>
        <v>88800</v>
      </c>
      <c r="I50" s="708">
        <f>I43*'3.Luxury Condos'!$B$12</f>
        <v>0</v>
      </c>
      <c r="J50" s="710">
        <f>J43*'3.Luxury Condos'!$B$12</f>
        <v>0</v>
      </c>
      <c r="K50" s="708">
        <f>K43*'3.Luxury Condos'!$B$12</f>
        <v>0</v>
      </c>
      <c r="L50" s="708">
        <f>L43*'3.Luxury Condos'!$B$12</f>
        <v>0</v>
      </c>
      <c r="M50" s="708">
        <f>M43*'3.Luxury Condos'!$B$12</f>
        <v>0</v>
      </c>
      <c r="N50" s="710">
        <f>N43*'3.Luxury Condos'!$B$12</f>
        <v>0</v>
      </c>
    </row>
    <row r="51" spans="1:14">
      <c r="A51" s="685" t="s">
        <v>62</v>
      </c>
      <c r="B51" s="686"/>
      <c r="C51" s="707">
        <f>SUM('4.Affordable Rental Housing'!D57:D59)</f>
        <v>204060</v>
      </c>
      <c r="D51" s="708">
        <f>D44*'4.Affordable Rental Housing'!$B$12</f>
        <v>0</v>
      </c>
      <c r="E51" s="709">
        <f>E44*'4.Affordable Rental Housing'!$B$12</f>
        <v>40800</v>
      </c>
      <c r="F51" s="708">
        <f>F44*'4.Affordable Rental Housing'!$B$12</f>
        <v>0</v>
      </c>
      <c r="G51" s="710">
        <f>G44*'4.Affordable Rental Housing'!$B$12</f>
        <v>57600</v>
      </c>
      <c r="H51" s="709">
        <f>H44*'4.Affordable Rental Housing'!$B$12</f>
        <v>0</v>
      </c>
      <c r="I51" s="708">
        <f>I44*'4.Affordable Rental Housing'!$B$12</f>
        <v>55200</v>
      </c>
      <c r="J51" s="710">
        <f>J44*'4.Affordable Rental Housing'!$B$12</f>
        <v>0</v>
      </c>
      <c r="K51" s="708">
        <f>K44*'4.Affordable Rental Housing'!$B$12</f>
        <v>50400</v>
      </c>
      <c r="L51" s="708">
        <f>L44*'4.Affordable Rental Housing'!$B$12</f>
        <v>0</v>
      </c>
      <c r="M51" s="708">
        <f>M44*'4.Affordable Rental Housing'!$B$12</f>
        <v>0</v>
      </c>
      <c r="N51" s="710">
        <f>N44*'4.Affordable Rental Housing'!$B$12</f>
        <v>0</v>
      </c>
    </row>
    <row r="52" spans="1:14">
      <c r="A52" s="685" t="s">
        <v>111</v>
      </c>
      <c r="B52" s="670"/>
      <c r="C52" s="707">
        <f>SUM('5.Office'!C59:C61)</f>
        <v>352170</v>
      </c>
      <c r="D52" s="708">
        <f>'5.Office'!C9</f>
        <v>51390</v>
      </c>
      <c r="E52" s="709">
        <f>'Development Schedule'!G110</f>
        <v>0</v>
      </c>
      <c r="F52" s="708">
        <f>'Development Schedule'!H110</f>
        <v>38350</v>
      </c>
      <c r="G52" s="710">
        <f>'Development Schedule'!I110</f>
        <v>0</v>
      </c>
      <c r="H52" s="709">
        <f>'Development Schedule'!J110</f>
        <v>0</v>
      </c>
      <c r="I52" s="708">
        <f>'Development Schedule'!K110</f>
        <v>51390</v>
      </c>
      <c r="J52" s="710">
        <f>'Development Schedule'!L110</f>
        <v>101440</v>
      </c>
      <c r="K52" s="708">
        <f>'Development Schedule'!M110</f>
        <v>0</v>
      </c>
      <c r="L52" s="708">
        <f>'Development Schedule'!N110</f>
        <v>44000</v>
      </c>
      <c r="M52" s="708">
        <f>'Development Schedule'!O110</f>
        <v>65600</v>
      </c>
      <c r="N52" s="710">
        <f>'Development Schedule'!P110</f>
        <v>0</v>
      </c>
    </row>
    <row r="53" spans="1:14">
      <c r="A53" s="685" t="s">
        <v>116</v>
      </c>
      <c r="B53" s="670"/>
      <c r="C53" s="707">
        <f>SUM('6.Retail'!C140:C151)</f>
        <v>198525</v>
      </c>
      <c r="D53" s="708">
        <f>'Development Schedule'!F82</f>
        <v>0</v>
      </c>
      <c r="E53" s="709">
        <f>'Development Schedule'!G82</f>
        <v>96040</v>
      </c>
      <c r="F53" s="708">
        <f>'Development Schedule'!H82</f>
        <v>0</v>
      </c>
      <c r="G53" s="710">
        <f>'Development Schedule'!I82</f>
        <v>135135</v>
      </c>
      <c r="H53" s="709">
        <f>'Development Schedule'!J82</f>
        <v>0</v>
      </c>
      <c r="I53" s="708">
        <f>'Development Schedule'!K82</f>
        <v>128064.99999999999</v>
      </c>
      <c r="J53" s="710">
        <f>'Development Schedule'!L82</f>
        <v>0</v>
      </c>
      <c r="K53" s="708">
        <f>'Development Schedule'!M82</f>
        <v>116899.99999999999</v>
      </c>
      <c r="L53" s="708">
        <f>'Development Schedule'!N82</f>
        <v>0</v>
      </c>
      <c r="M53" s="708">
        <f>'Development Schedule'!O82</f>
        <v>0</v>
      </c>
      <c r="N53" s="710">
        <f>'Development Schedule'!P82</f>
        <v>0</v>
      </c>
    </row>
    <row r="54" spans="1:14">
      <c r="A54" s="685" t="s">
        <v>46</v>
      </c>
      <c r="B54" s="670"/>
      <c r="C54" s="707">
        <f>'7.Hotel'!D41+'7.Hotel'!D42</f>
        <v>249360</v>
      </c>
      <c r="D54" s="708">
        <f>'Development Schedule'!F10</f>
        <v>0</v>
      </c>
      <c r="E54" s="709">
        <f>'Development Schedule'!G10</f>
        <v>54500</v>
      </c>
      <c r="F54" s="708">
        <f>'Development Schedule'!H10</f>
        <v>0</v>
      </c>
      <c r="G54" s="710">
        <f>'Development Schedule'!I10</f>
        <v>0</v>
      </c>
      <c r="H54" s="709">
        <f>'Development Schedule'!J10</f>
        <v>0</v>
      </c>
      <c r="I54" s="708">
        <f>'Development Schedule'!K10</f>
        <v>0</v>
      </c>
      <c r="J54" s="710">
        <f>'Development Schedule'!L10</f>
        <v>0</v>
      </c>
      <c r="K54" s="708">
        <f>'Development Schedule'!M10</f>
        <v>0</v>
      </c>
      <c r="L54" s="708">
        <f>'Development Schedule'!N10</f>
        <v>0</v>
      </c>
      <c r="M54" s="708">
        <f>'Development Schedule'!O10</f>
        <v>0</v>
      </c>
      <c r="N54" s="710">
        <f>'Development Schedule'!P10</f>
        <v>0</v>
      </c>
    </row>
    <row r="55" spans="1:14">
      <c r="A55" s="699" t="s">
        <v>47</v>
      </c>
      <c r="B55" s="677"/>
      <c r="C55" s="711">
        <f>SUM('8.Structured Parking'!D87:D89)</f>
        <v>347565</v>
      </c>
      <c r="D55" s="712">
        <f>SUM('Development Schedule'!F14,'Development Schedule'!F35,'Development Schedule'!F55,'Development Schedule'!F60)</f>
        <v>0</v>
      </c>
      <c r="E55" s="713">
        <f>SUM('Development Schedule'!G14,'Development Schedule'!G35,'Development Schedule'!G55,'Development Schedule'!G60)</f>
        <v>10075</v>
      </c>
      <c r="F55" s="712">
        <f>SUM('Development Schedule'!H14,'Development Schedule'!H35,'Development Schedule'!H55,'Development Schedule'!H60)</f>
        <v>0</v>
      </c>
      <c r="G55" s="714">
        <f>SUM('Development Schedule'!I14,'Development Schedule'!I35,'Development Schedule'!I55,'Development Schedule'!I60)</f>
        <v>0</v>
      </c>
      <c r="H55" s="713">
        <f>SUM('Development Schedule'!J14,'Development Schedule'!J35,'Development Schedule'!J55,'Development Schedule'!J60)</f>
        <v>0</v>
      </c>
      <c r="I55" s="712">
        <f>SUM('Development Schedule'!K14,'Development Schedule'!K35,'Development Schedule'!K55,'Development Schedule'!K60)</f>
        <v>0</v>
      </c>
      <c r="J55" s="714">
        <f>SUM('Development Schedule'!L14,'Development Schedule'!L35,'Development Schedule'!L55,'Development Schedule'!L60)</f>
        <v>71940</v>
      </c>
      <c r="K55" s="712">
        <f>SUM('Development Schedule'!M14,'Development Schedule'!M35,'Development Schedule'!M55,'Development Schedule'!M60)</f>
        <v>0</v>
      </c>
      <c r="L55" s="712">
        <f>SUM('Development Schedule'!N14,'Development Schedule'!N35,'Development Schedule'!N55,'Development Schedule'!N60)</f>
        <v>14000</v>
      </c>
      <c r="M55" s="712">
        <f>SUM('Development Schedule'!O14,'Development Schedule'!O35,'Development Schedule'!O55,'Development Schedule'!O60)</f>
        <v>0</v>
      </c>
      <c r="N55" s="714">
        <f>SUM('Development Schedule'!P14,'Development Schedule'!P35,'Development Schedule'!P55,'Development Schedule'!P60)</f>
        <v>0</v>
      </c>
    </row>
    <row r="56" spans="1:14" ht="16" thickBot="1">
      <c r="A56" s="715" t="s">
        <v>30</v>
      </c>
      <c r="B56" s="679"/>
      <c r="C56" s="1048"/>
      <c r="D56" s="717">
        <f t="shared" ref="D56:N56" si="12">SUM(D49:D55)</f>
        <v>51390</v>
      </c>
      <c r="E56" s="718">
        <f t="shared" si="12"/>
        <v>297465</v>
      </c>
      <c r="F56" s="717">
        <f t="shared" si="12"/>
        <v>38350</v>
      </c>
      <c r="G56" s="719">
        <f t="shared" si="12"/>
        <v>327885</v>
      </c>
      <c r="H56" s="718">
        <f t="shared" si="12"/>
        <v>88800</v>
      </c>
      <c r="I56" s="717">
        <f t="shared" si="12"/>
        <v>363005</v>
      </c>
      <c r="J56" s="719">
        <f t="shared" si="12"/>
        <v>173380</v>
      </c>
      <c r="K56" s="717">
        <f t="shared" si="12"/>
        <v>284600</v>
      </c>
      <c r="L56" s="717">
        <f t="shared" si="12"/>
        <v>58000</v>
      </c>
      <c r="M56" s="717">
        <f t="shared" si="12"/>
        <v>65600</v>
      </c>
      <c r="N56" s="719">
        <f t="shared" si="12"/>
        <v>0</v>
      </c>
    </row>
    <row r="57" spans="1:14" s="10" customFormat="1" ht="16" thickBot="1">
      <c r="A57" s="574"/>
      <c r="B57" s="483"/>
      <c r="C57" s="484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</row>
    <row r="58" spans="1:14" ht="16" thickBot="1">
      <c r="A58" s="81" t="s">
        <v>119</v>
      </c>
      <c r="B58" s="82"/>
      <c r="C58" s="82"/>
      <c r="D58" s="82"/>
      <c r="E58" s="82"/>
      <c r="F58" s="83"/>
      <c r="G58" s="482"/>
      <c r="H58" s="10"/>
      <c r="I58" s="84" t="s">
        <v>243</v>
      </c>
      <c r="J58" s="85"/>
      <c r="K58" s="85"/>
      <c r="L58" s="85"/>
      <c r="M58" s="85"/>
      <c r="N58" s="86"/>
    </row>
    <row r="59" spans="1:14" s="14" customFormat="1" ht="16.5" customHeight="1" thickBot="1">
      <c r="A59" s="682" t="s">
        <v>2</v>
      </c>
      <c r="B59" s="665"/>
      <c r="C59" s="683"/>
      <c r="D59" s="684"/>
      <c r="E59" s="666" t="s">
        <v>49</v>
      </c>
      <c r="F59" s="667" t="s">
        <v>32</v>
      </c>
      <c r="G59" s="8"/>
      <c r="H59" s="13"/>
      <c r="I59" s="663"/>
      <c r="J59" s="664"/>
      <c r="K59" s="664"/>
      <c r="L59" s="665"/>
      <c r="M59" s="667" t="s">
        <v>48</v>
      </c>
      <c r="N59" s="1065" t="s">
        <v>72</v>
      </c>
    </row>
    <row r="60" spans="1:14">
      <c r="A60" s="685" t="s">
        <v>60</v>
      </c>
      <c r="B60" s="686"/>
      <c r="C60" s="686"/>
      <c r="D60" s="670"/>
      <c r="E60" s="687">
        <f>F60/C42</f>
        <v>182966.71192646591</v>
      </c>
      <c r="F60" s="688">
        <f t="shared" ref="F60:F67" si="13">SUM(D14:N14)</f>
        <v>102491494.37254997</v>
      </c>
      <c r="G60" s="11"/>
      <c r="H60" s="10"/>
      <c r="I60" s="668" t="s">
        <v>73</v>
      </c>
      <c r="J60" s="669"/>
      <c r="K60" s="669"/>
      <c r="L60" s="670"/>
      <c r="M60" s="1070"/>
      <c r="N60" s="1066"/>
    </row>
    <row r="61" spans="1:14">
      <c r="A61" s="685" t="s">
        <v>61</v>
      </c>
      <c r="B61" s="686"/>
      <c r="C61" s="686"/>
      <c r="D61" s="670"/>
      <c r="E61" s="689">
        <f>F61/C43</f>
        <v>257479.95638522878</v>
      </c>
      <c r="F61" s="690">
        <f t="shared" si="13"/>
        <v>19096430.098571137</v>
      </c>
      <c r="G61" s="11"/>
      <c r="H61" s="10"/>
      <c r="I61" s="671" t="s">
        <v>557</v>
      </c>
      <c r="J61" s="670"/>
      <c r="K61" s="670"/>
      <c r="L61" s="672"/>
      <c r="M61" s="696">
        <f>Budget!C16</f>
        <v>138896609.47730154</v>
      </c>
      <c r="N61" s="1067">
        <f>M61/$M$72</f>
        <v>0.30676555399516464</v>
      </c>
    </row>
    <row r="62" spans="1:14">
      <c r="A62" s="685" t="s">
        <v>62</v>
      </c>
      <c r="B62" s="686"/>
      <c r="C62" s="686"/>
      <c r="D62" s="670"/>
      <c r="E62" s="689">
        <f>F62/C44</f>
        <v>258305.94624912826</v>
      </c>
      <c r="F62" s="690">
        <f t="shared" si="13"/>
        <v>43924926.159664266</v>
      </c>
      <c r="G62" s="11"/>
      <c r="H62" s="10"/>
      <c r="I62" s="671"/>
      <c r="J62" s="670"/>
      <c r="K62" s="670"/>
      <c r="L62" s="670"/>
      <c r="M62" s="1070"/>
      <c r="N62" s="1066"/>
    </row>
    <row r="63" spans="1:14">
      <c r="A63" s="685" t="s">
        <v>117</v>
      </c>
      <c r="B63" s="670"/>
      <c r="C63" s="686"/>
      <c r="D63" s="670"/>
      <c r="E63" s="691">
        <f>F63/SUM(E52:N52)</f>
        <v>108.43018587176469</v>
      </c>
      <c r="F63" s="690">
        <f t="shared" si="13"/>
        <v>32613631.306509383</v>
      </c>
      <c r="G63" s="11"/>
      <c r="H63" s="10"/>
      <c r="I63" s="668" t="s">
        <v>74</v>
      </c>
      <c r="J63" s="669"/>
      <c r="K63" s="669"/>
      <c r="L63" s="670"/>
      <c r="M63" s="1070"/>
      <c r="N63" s="1066"/>
    </row>
    <row r="64" spans="1:14" ht="18.5">
      <c r="A64" s="685" t="s">
        <v>64</v>
      </c>
      <c r="B64" s="670"/>
      <c r="C64" s="686"/>
      <c r="D64" s="670"/>
      <c r="E64" s="691">
        <f>F64/C53</f>
        <v>170.6636952830786</v>
      </c>
      <c r="F64" s="690">
        <f t="shared" si="13"/>
        <v>33881010.106073178</v>
      </c>
      <c r="G64" s="11"/>
      <c r="H64" s="10"/>
      <c r="I64" s="671" t="s">
        <v>562</v>
      </c>
      <c r="J64" s="670"/>
      <c r="K64" s="670"/>
      <c r="L64" s="670"/>
      <c r="M64" s="698">
        <f>Budget!C11</f>
        <v>227515174.97194135</v>
      </c>
      <c r="N64" s="1067">
        <f>M64/$M$72</f>
        <v>0.50248756218905477</v>
      </c>
    </row>
    <row r="65" spans="1:14" ht="18.5">
      <c r="A65" s="685" t="s">
        <v>46</v>
      </c>
      <c r="B65" s="670"/>
      <c r="C65" s="686"/>
      <c r="D65" s="670"/>
      <c r="E65" s="689">
        <f>F65/500</f>
        <v>94415.384157020933</v>
      </c>
      <c r="F65" s="690">
        <f t="shared" si="13"/>
        <v>47207692.078510463</v>
      </c>
      <c r="G65" s="11"/>
      <c r="H65" s="10"/>
      <c r="I65" s="671" t="s">
        <v>563</v>
      </c>
      <c r="J65" s="670"/>
      <c r="K65" s="670"/>
      <c r="L65" s="670"/>
      <c r="M65" s="698">
        <f>Budget!C12</f>
        <v>23956141.725120001</v>
      </c>
      <c r="N65" s="1067">
        <f t="shared" ref="N65:N67" si="14">M65/$M$72</f>
        <v>5.2909276299462696E-2</v>
      </c>
    </row>
    <row r="66" spans="1:14" ht="18.5">
      <c r="A66" s="685" t="s">
        <v>167</v>
      </c>
      <c r="B66" s="670"/>
      <c r="C66" s="686"/>
      <c r="D66" s="670"/>
      <c r="E66" s="689">
        <f>F66/(C46-E46)</f>
        <v>17919.436765697603</v>
      </c>
      <c r="F66" s="690">
        <f t="shared" si="13"/>
        <v>18926845.101369165</v>
      </c>
      <c r="G66" s="11"/>
      <c r="H66" s="10"/>
      <c r="I66" s="34" t="s">
        <v>564</v>
      </c>
      <c r="J66" s="10"/>
      <c r="K66" s="10"/>
      <c r="L66" s="10"/>
      <c r="M66" s="698">
        <f>Budget!C13</f>
        <v>13177477.84789928</v>
      </c>
      <c r="N66" s="1067">
        <f t="shared" si="14"/>
        <v>2.9103635484568402E-2</v>
      </c>
    </row>
    <row r="67" spans="1:14" ht="18.5">
      <c r="A67" s="685" t="s">
        <v>233</v>
      </c>
      <c r="B67" s="670"/>
      <c r="C67" s="686"/>
      <c r="D67" s="670"/>
      <c r="E67" s="691">
        <f>F67/'Land Values'!F103</f>
        <v>121.27548591856312</v>
      </c>
      <c r="F67" s="690">
        <f t="shared" si="13"/>
        <v>89688000.090922624</v>
      </c>
      <c r="G67" s="11"/>
      <c r="H67" s="10"/>
      <c r="I67" s="34" t="s">
        <v>565</v>
      </c>
      <c r="J67" s="10"/>
      <c r="K67" s="10"/>
      <c r="L67" s="10"/>
      <c r="M67" s="698">
        <f>Budget!C15</f>
        <v>17592004.541605603</v>
      </c>
      <c r="N67" s="1067">
        <f t="shared" si="14"/>
        <v>3.8853511539264828E-2</v>
      </c>
    </row>
    <row r="68" spans="1:14" ht="16" thickBot="1">
      <c r="A68" s="685" t="s">
        <v>230</v>
      </c>
      <c r="B68" s="670"/>
      <c r="C68" s="686"/>
      <c r="D68" s="670"/>
      <c r="E68" s="692">
        <v>2</v>
      </c>
      <c r="F68" s="690">
        <f>F124</f>
        <v>917142.8</v>
      </c>
      <c r="G68" s="11"/>
      <c r="H68" s="10"/>
      <c r="I68" s="34"/>
      <c r="J68" s="10"/>
      <c r="K68" s="10"/>
      <c r="L68" s="10"/>
      <c r="M68" s="1052"/>
      <c r="N68" s="1064"/>
    </row>
    <row r="69" spans="1:14" ht="16" thickBot="1">
      <c r="A69" s="682" t="s">
        <v>118</v>
      </c>
      <c r="B69" s="693"/>
      <c r="C69" s="693"/>
      <c r="D69" s="694"/>
      <c r="E69" s="1049" t="s">
        <v>50</v>
      </c>
      <c r="F69" s="667" t="s">
        <v>51</v>
      </c>
      <c r="G69" s="11"/>
      <c r="H69" s="10"/>
      <c r="I69" s="668" t="s">
        <v>75</v>
      </c>
      <c r="J69" s="669"/>
      <c r="K69" s="669"/>
      <c r="L69" s="670"/>
      <c r="M69" s="1070"/>
      <c r="N69" s="1066"/>
    </row>
    <row r="70" spans="1:14" ht="18.5">
      <c r="A70" s="685" t="s">
        <v>488</v>
      </c>
      <c r="B70" s="670"/>
      <c r="C70" s="686"/>
      <c r="D70" s="670"/>
      <c r="E70" s="1051">
        <f>F70</f>
        <v>3804310.7575443126</v>
      </c>
      <c r="F70" s="1053">
        <f>SUM('1.Inftr Costs'!D9:N9)</f>
        <v>3804310.7575443126</v>
      </c>
      <c r="G70" s="8"/>
      <c r="H70" s="10"/>
      <c r="I70" s="34" t="s">
        <v>566</v>
      </c>
      <c r="J70" s="670"/>
      <c r="K70" s="670"/>
      <c r="L70" s="670"/>
      <c r="M70" s="698">
        <f>Budget!C14</f>
        <v>31640315.885243256</v>
      </c>
      <c r="N70" s="1067">
        <f>M70/$M$72</f>
        <v>6.9880460492484767E-2</v>
      </c>
    </row>
    <row r="71" spans="1:14">
      <c r="A71" s="685" t="s">
        <v>489</v>
      </c>
      <c r="B71" s="670"/>
      <c r="C71" s="686"/>
      <c r="D71" s="670"/>
      <c r="E71" s="1073">
        <f>F71</f>
        <v>9471281.4000000004</v>
      </c>
      <c r="F71" s="698">
        <f>SUM('1.Inftr Costs'!D10:N10)</f>
        <v>9471281.4000000004</v>
      </c>
      <c r="G71" s="10"/>
      <c r="H71" s="10"/>
      <c r="I71" s="676"/>
      <c r="J71" s="677"/>
      <c r="K71" s="677"/>
      <c r="L71" s="677"/>
      <c r="M71" s="1071"/>
      <c r="N71" s="1068"/>
    </row>
    <row r="72" spans="1:14" ht="16" thickBot="1">
      <c r="A72" s="685" t="s">
        <v>499</v>
      </c>
      <c r="B72" s="670"/>
      <c r="C72" s="686"/>
      <c r="D72" s="670"/>
      <c r="E72" s="1073">
        <f>F72</f>
        <v>5337956.1728989435</v>
      </c>
      <c r="F72" s="698">
        <f>SUM('1.Inftr Costs'!D11:N11)</f>
        <v>5337956.1728989435</v>
      </c>
      <c r="G72" s="783"/>
      <c r="H72" s="10"/>
      <c r="I72" s="678" t="s">
        <v>30</v>
      </c>
      <c r="J72" s="679"/>
      <c r="K72" s="679"/>
      <c r="L72" s="680"/>
      <c r="M72" s="1072">
        <f>SUM(M61:M71)</f>
        <v>452777724.44911098</v>
      </c>
      <c r="N72" s="1069">
        <f>SUM(N61:N71)</f>
        <v>1.0000000000000002</v>
      </c>
    </row>
    <row r="73" spans="1:14">
      <c r="A73" s="685" t="s">
        <v>500</v>
      </c>
      <c r="B73" s="670"/>
      <c r="C73" s="686"/>
      <c r="D73" s="670"/>
      <c r="E73" s="1073">
        <f>F73</f>
        <v>4348671.2028000001</v>
      </c>
      <c r="F73" s="698">
        <f>SUM('1.Inftr Costs'!D12:N12)</f>
        <v>4348671.2028000001</v>
      </c>
      <c r="G73" s="10"/>
      <c r="H73" s="10"/>
      <c r="I73" s="20" t="s">
        <v>559</v>
      </c>
    </row>
    <row r="74" spans="1:14">
      <c r="A74" s="685" t="s">
        <v>490</v>
      </c>
      <c r="B74" s="670"/>
      <c r="C74" s="686"/>
      <c r="D74" s="670"/>
      <c r="E74" s="1073"/>
      <c r="F74" s="698">
        <f>SUM('1.Inftr Costs'!D13:N13)</f>
        <v>1523743.0249934464</v>
      </c>
      <c r="G74" s="10"/>
      <c r="H74" s="10"/>
      <c r="I74" s="20" t="s">
        <v>560</v>
      </c>
    </row>
    <row r="75" spans="1:14">
      <c r="A75" s="685" t="s">
        <v>505</v>
      </c>
      <c r="B75" s="670"/>
      <c r="C75" s="686"/>
      <c r="D75" s="670"/>
      <c r="E75" s="1073"/>
      <c r="F75" s="698">
        <f>SUM('1.Inftr Costs'!D14:N14)</f>
        <v>2153785.6268423996</v>
      </c>
      <c r="G75" s="10"/>
      <c r="H75" s="10"/>
      <c r="I75" s="20" t="s">
        <v>561</v>
      </c>
    </row>
    <row r="76" spans="1:14">
      <c r="A76" s="20" t="s">
        <v>537</v>
      </c>
      <c r="D76" s="10"/>
      <c r="E76" s="1074">
        <f>F76</f>
        <v>8678096.3520000018</v>
      </c>
      <c r="F76" s="1056">
        <f>SUM('1.Inftr Costs'!D15:N15)</f>
        <v>8678096.3520000018</v>
      </c>
      <c r="G76" s="10"/>
      <c r="H76" s="10"/>
      <c r="I76" s="1098" t="s">
        <v>576</v>
      </c>
    </row>
    <row r="77" spans="1:14">
      <c r="A77" s="20" t="s">
        <v>134</v>
      </c>
      <c r="D77" s="20"/>
      <c r="E77" s="1052"/>
      <c r="F77" s="1056">
        <f>SUM('1.Inftr Costs'!D16:N16)</f>
        <v>2077347.1201949322</v>
      </c>
      <c r="G77" s="10"/>
      <c r="H77" s="10"/>
      <c r="I77" s="20" t="s">
        <v>584</v>
      </c>
    </row>
    <row r="78" spans="1:14">
      <c r="A78" s="20" t="s">
        <v>497</v>
      </c>
      <c r="D78" s="20"/>
      <c r="E78" s="1052"/>
      <c r="F78" s="1056">
        <f>SUM('1.Inftr Costs'!D17:N17)</f>
        <v>6790730.6412895396</v>
      </c>
      <c r="G78" s="10"/>
      <c r="H78" s="10"/>
      <c r="I78" s="1098" t="s">
        <v>585</v>
      </c>
    </row>
    <row r="79" spans="1:14">
      <c r="A79" s="20" t="s">
        <v>427</v>
      </c>
      <c r="D79" s="20"/>
      <c r="E79" s="1052"/>
      <c r="F79" s="1056">
        <f>SUM('1.Inftr Costs'!D18:N18)</f>
        <v>3783905.7287270403</v>
      </c>
      <c r="G79" s="10"/>
      <c r="H79" s="10"/>
      <c r="I79" s="20" t="s">
        <v>567</v>
      </c>
    </row>
    <row r="80" spans="1:14" ht="16.5" customHeight="1" thickBot="1">
      <c r="A80" s="20" t="s">
        <v>492</v>
      </c>
      <c r="D80" s="20"/>
      <c r="E80" s="1058">
        <f>F80</f>
        <v>13808098.812878564</v>
      </c>
      <c r="F80" s="1057">
        <f>SUM('1.Inftr Costs'!D19:N19)</f>
        <v>13808098.812878564</v>
      </c>
      <c r="G80" s="10"/>
      <c r="H80" s="783"/>
    </row>
    <row r="81" spans="1:14" ht="15.5" customHeight="1" thickBot="1">
      <c r="A81" s="682" t="s">
        <v>31</v>
      </c>
      <c r="B81" s="703"/>
      <c r="C81" s="703"/>
      <c r="D81" s="694"/>
      <c r="E81" s="1050">
        <f>SUM(E70:E80)</f>
        <v>45448414.698121816</v>
      </c>
      <c r="F81" s="702">
        <f>SUM(F70:F80)</f>
        <v>61777926.840169176</v>
      </c>
      <c r="I81" s="864" t="s">
        <v>329</v>
      </c>
      <c r="J81" s="865"/>
      <c r="K81" s="865"/>
      <c r="L81" s="865"/>
      <c r="M81" s="865"/>
      <c r="N81" s="866"/>
    </row>
    <row r="82" spans="1:14" ht="16.5" customHeight="1" thickBot="1">
      <c r="A82" s="682" t="s">
        <v>3</v>
      </c>
      <c r="B82" s="703"/>
      <c r="C82" s="703"/>
      <c r="D82" s="704"/>
      <c r="E82" s="705"/>
      <c r="F82" s="706">
        <f>SUM(F60:F68,F81)</f>
        <v>450525098.95433933</v>
      </c>
      <c r="I82" s="784"/>
      <c r="J82" s="785"/>
      <c r="K82" s="786" t="s">
        <v>331</v>
      </c>
      <c r="L82" s="784"/>
      <c r="M82" s="785"/>
      <c r="N82" s="888"/>
    </row>
    <row r="83" spans="1:14" ht="16.5" customHeight="1" thickBot="1">
      <c r="D83" s="20"/>
      <c r="I83" s="35" t="s">
        <v>330</v>
      </c>
      <c r="J83" s="776"/>
      <c r="K83" s="887" t="s">
        <v>332</v>
      </c>
      <c r="L83" s="967" t="s">
        <v>333</v>
      </c>
      <c r="M83" s="953"/>
      <c r="N83" s="954"/>
    </row>
    <row r="84" spans="1:14" ht="16" customHeight="1">
      <c r="D84" s="20"/>
      <c r="I84" s="784" t="s">
        <v>334</v>
      </c>
      <c r="J84" s="785"/>
      <c r="K84" s="889">
        <v>2.9</v>
      </c>
      <c r="L84" s="1167" t="s">
        <v>568</v>
      </c>
      <c r="M84" s="1166"/>
      <c r="N84" s="1168"/>
    </row>
    <row r="85" spans="1:14" ht="16" thickBot="1">
      <c r="D85" s="20"/>
      <c r="I85" s="877"/>
      <c r="J85" s="776"/>
      <c r="K85" s="776"/>
      <c r="L85" s="1169"/>
      <c r="M85" s="1170"/>
      <c r="N85" s="1171"/>
    </row>
    <row r="86" spans="1:14" ht="15" customHeight="1" thickBot="1">
      <c r="A86" s="864" t="s">
        <v>320</v>
      </c>
      <c r="B86" s="865"/>
      <c r="C86" s="865"/>
      <c r="D86" s="865"/>
      <c r="E86" s="865"/>
      <c r="F86" s="866"/>
      <c r="I86" s="31" t="s">
        <v>335</v>
      </c>
      <c r="J86" s="15"/>
      <c r="K86" s="890">
        <v>0.04</v>
      </c>
      <c r="L86" s="31" t="s">
        <v>569</v>
      </c>
      <c r="M86" s="15"/>
      <c r="N86" s="891"/>
    </row>
    <row r="87" spans="1:14" ht="15.5" customHeight="1">
      <c r="A87" s="867"/>
      <c r="B87" s="785"/>
      <c r="C87" s="868" t="s">
        <v>121</v>
      </c>
      <c r="D87" s="868" t="s">
        <v>122</v>
      </c>
      <c r="E87" s="868" t="s">
        <v>123</v>
      </c>
      <c r="F87" s="869" t="s">
        <v>30</v>
      </c>
      <c r="I87" s="784" t="s">
        <v>336</v>
      </c>
      <c r="J87" s="785"/>
      <c r="K87" s="889">
        <v>275</v>
      </c>
      <c r="L87" s="1167" t="s">
        <v>570</v>
      </c>
      <c r="M87" s="1166"/>
      <c r="N87" s="1168"/>
    </row>
    <row r="88" spans="1:14" ht="18" thickBot="1">
      <c r="A88" s="870" t="s">
        <v>124</v>
      </c>
      <c r="B88" s="776"/>
      <c r="C88" s="871" t="s">
        <v>321</v>
      </c>
      <c r="D88" s="871" t="s">
        <v>322</v>
      </c>
      <c r="E88" s="871" t="s">
        <v>323</v>
      </c>
      <c r="F88" s="872" t="s">
        <v>326</v>
      </c>
      <c r="I88" s="34"/>
      <c r="J88" s="10"/>
      <c r="K88" s="10"/>
      <c r="L88" s="1172"/>
      <c r="M88" s="1173"/>
      <c r="N88" s="1174"/>
    </row>
    <row r="89" spans="1:14" ht="16" thickBot="1">
      <c r="A89" s="685" t="s">
        <v>324</v>
      </c>
      <c r="B89" s="10"/>
      <c r="C89" s="873">
        <v>159.86000000000001</v>
      </c>
      <c r="D89" s="873">
        <v>31.972000000000005</v>
      </c>
      <c r="E89" s="874">
        <v>6.394400000000001</v>
      </c>
      <c r="F89" s="878">
        <f>SUM(C89:E89)</f>
        <v>198.22640000000001</v>
      </c>
      <c r="I89" s="877"/>
      <c r="J89" s="776"/>
      <c r="K89" s="776"/>
      <c r="L89" s="1169"/>
      <c r="M89" s="1170"/>
      <c r="N89" s="1171"/>
    </row>
    <row r="90" spans="1:14">
      <c r="A90" s="34" t="s">
        <v>486</v>
      </c>
      <c r="B90" s="10"/>
      <c r="C90" s="875">
        <v>131.94999999999999</v>
      </c>
      <c r="D90" s="876">
        <v>26.39</v>
      </c>
      <c r="E90" s="875">
        <v>5.2779999999999996</v>
      </c>
      <c r="F90" s="879">
        <f>SUM(C90:E90)</f>
        <v>163.61799999999997</v>
      </c>
      <c r="I90" s="784" t="s">
        <v>571</v>
      </c>
      <c r="J90" s="785"/>
      <c r="K90" s="889">
        <v>45</v>
      </c>
      <c r="L90" s="1167" t="s">
        <v>573</v>
      </c>
      <c r="M90" s="1166"/>
      <c r="N90" s="1168"/>
    </row>
    <row r="91" spans="1:14" ht="15.5" customHeight="1" thickBot="1">
      <c r="A91" s="34" t="s">
        <v>487</v>
      </c>
      <c r="B91" s="10"/>
      <c r="C91" s="875">
        <v>169.95</v>
      </c>
      <c r="D91" s="876">
        <v>33.99</v>
      </c>
      <c r="E91" s="875">
        <v>6.798</v>
      </c>
      <c r="F91" s="879">
        <f>SUM(C91:E91)</f>
        <v>210.738</v>
      </c>
      <c r="I91" s="877" t="s">
        <v>572</v>
      </c>
      <c r="J91" s="776"/>
      <c r="K91" s="875">
        <v>30</v>
      </c>
      <c r="L91" s="1169"/>
      <c r="M91" s="1170"/>
      <c r="N91" s="1171"/>
    </row>
    <row r="92" spans="1:14" ht="16" thickBot="1">
      <c r="A92" s="34" t="s">
        <v>325</v>
      </c>
      <c r="B92" s="10"/>
      <c r="C92" s="875">
        <v>99.25</v>
      </c>
      <c r="D92" s="876">
        <v>19.850000000000001</v>
      </c>
      <c r="E92" s="875">
        <v>3.97</v>
      </c>
      <c r="F92" s="879">
        <f t="shared" ref="F92:F95" si="15">SUM(C92:E92)</f>
        <v>123.07</v>
      </c>
      <c r="I92" s="31" t="s">
        <v>204</v>
      </c>
      <c r="J92" s="15"/>
      <c r="K92" s="890">
        <v>0.25</v>
      </c>
      <c r="L92" s="31" t="s">
        <v>583</v>
      </c>
      <c r="M92" s="15"/>
      <c r="N92" s="891"/>
    </row>
    <row r="93" spans="1:14" ht="15" customHeight="1">
      <c r="A93" s="34" t="s">
        <v>538</v>
      </c>
      <c r="B93" s="10"/>
      <c r="C93" s="875">
        <v>158.22</v>
      </c>
      <c r="D93" s="876">
        <v>31.644000000000002</v>
      </c>
      <c r="E93" s="875">
        <v>6.3288000000000002</v>
      </c>
      <c r="F93" s="879">
        <f t="shared" si="15"/>
        <v>196.19280000000001</v>
      </c>
      <c r="I93" s="1083" t="s">
        <v>337</v>
      </c>
      <c r="J93" s="30"/>
      <c r="K93" s="1084">
        <v>55</v>
      </c>
      <c r="L93" s="1175" t="s">
        <v>577</v>
      </c>
      <c r="M93" s="1176"/>
      <c r="N93" s="1177"/>
    </row>
    <row r="94" spans="1:14">
      <c r="A94" s="34" t="s">
        <v>83</v>
      </c>
      <c r="B94" s="10"/>
      <c r="C94" s="875">
        <v>83.97</v>
      </c>
      <c r="D94" s="876">
        <v>16.794</v>
      </c>
      <c r="E94" s="875">
        <v>3.3588</v>
      </c>
      <c r="F94" s="879">
        <f t="shared" si="15"/>
        <v>104.1228</v>
      </c>
      <c r="I94" s="1085" t="s">
        <v>338</v>
      </c>
      <c r="J94" s="11"/>
      <c r="K94" s="1105">
        <v>55</v>
      </c>
      <c r="L94" s="1178"/>
      <c r="M94" s="1179"/>
      <c r="N94" s="1180"/>
    </row>
    <row r="95" spans="1:14">
      <c r="A95" s="34" t="s">
        <v>46</v>
      </c>
      <c r="B95" s="10"/>
      <c r="C95" s="875">
        <v>158.43</v>
      </c>
      <c r="D95" s="876">
        <v>31.686000000000003</v>
      </c>
      <c r="E95" s="875">
        <v>6.3372000000000002</v>
      </c>
      <c r="F95" s="879">
        <f t="shared" si="15"/>
        <v>196.45320000000001</v>
      </c>
      <c r="I95" s="1085" t="s">
        <v>339</v>
      </c>
      <c r="J95" s="11"/>
      <c r="K95" s="1105">
        <v>35</v>
      </c>
      <c r="L95" s="1099" t="s">
        <v>586</v>
      </c>
      <c r="M95" s="1100"/>
      <c r="N95" s="1101"/>
    </row>
    <row r="96" spans="1:14" ht="16" thickBot="1">
      <c r="A96" s="34" t="s">
        <v>498</v>
      </c>
      <c r="B96" s="10"/>
      <c r="C96" s="875">
        <v>147.66999999999999</v>
      </c>
      <c r="D96" s="880">
        <v>29.533999999999999</v>
      </c>
      <c r="E96" s="881">
        <v>5.9067999999999996</v>
      </c>
      <c r="F96" s="879">
        <f>SUM(C96:E96)</f>
        <v>183.11079999999998</v>
      </c>
      <c r="I96" s="1086" t="s">
        <v>207</v>
      </c>
      <c r="J96" s="19"/>
      <c r="K96" s="1106">
        <v>9.5000000000000001E-2</v>
      </c>
      <c r="L96" s="1102" t="s">
        <v>578</v>
      </c>
      <c r="M96" s="1103"/>
      <c r="N96" s="1104"/>
    </row>
    <row r="97" spans="1:14" ht="15.5" customHeight="1">
      <c r="A97" s="34" t="s">
        <v>47</v>
      </c>
      <c r="B97" s="10"/>
      <c r="C97" s="1060"/>
      <c r="D97" s="1061"/>
      <c r="E97" s="1062"/>
      <c r="F97" s="1059">
        <v>47.91</v>
      </c>
      <c r="I97" s="1083" t="s">
        <v>340</v>
      </c>
      <c r="J97" s="30"/>
      <c r="K97" s="1087">
        <v>190</v>
      </c>
      <c r="L97" s="1175" t="s">
        <v>579</v>
      </c>
      <c r="M97" s="1176"/>
      <c r="N97" s="1176"/>
    </row>
    <row r="98" spans="1:14">
      <c r="A98" s="34" t="s">
        <v>411</v>
      </c>
      <c r="B98" s="10"/>
      <c r="C98" s="875">
        <v>188.44</v>
      </c>
      <c r="D98" s="880">
        <v>37.688000000000002</v>
      </c>
      <c r="E98" s="881">
        <v>7.5376000000000003</v>
      </c>
      <c r="F98" s="879">
        <v>233.66559999999998</v>
      </c>
      <c r="I98" s="34" t="s">
        <v>575</v>
      </c>
      <c r="J98" s="10"/>
      <c r="K98" s="1093">
        <v>140</v>
      </c>
      <c r="L98" s="1178"/>
      <c r="M98" s="1179"/>
      <c r="N98" s="1179"/>
    </row>
    <row r="99" spans="1:14" ht="15.5" customHeight="1">
      <c r="A99" s="20" t="s">
        <v>139</v>
      </c>
      <c r="C99" s="875">
        <v>136.16999999999999</v>
      </c>
      <c r="D99" s="880">
        <v>27.233999999999998</v>
      </c>
      <c r="E99" s="881">
        <v>5.4467999999999996</v>
      </c>
      <c r="F99" s="879">
        <f>SUM(C99:E99)</f>
        <v>168.85079999999999</v>
      </c>
      <c r="I99" s="1085" t="s">
        <v>341</v>
      </c>
      <c r="J99" s="11"/>
      <c r="K99" s="1088">
        <v>0.76700000000000002</v>
      </c>
      <c r="L99" s="1178"/>
      <c r="M99" s="1179"/>
      <c r="N99" s="1179"/>
    </row>
    <row r="100" spans="1:14" ht="16" thickBot="1">
      <c r="A100" s="877" t="s">
        <v>132</v>
      </c>
      <c r="B100" s="776"/>
      <c r="C100" s="882">
        <v>127.06</v>
      </c>
      <c r="D100" s="883">
        <v>25.412000000000003</v>
      </c>
      <c r="E100" s="884">
        <v>5.0823999999999998</v>
      </c>
      <c r="F100" s="885">
        <f>SUM(C100:E100)</f>
        <v>157.55440000000002</v>
      </c>
      <c r="I100" s="1086" t="s">
        <v>342</v>
      </c>
      <c r="J100" s="19"/>
      <c r="K100" s="1089">
        <v>0.35</v>
      </c>
      <c r="L100" s="1181"/>
      <c r="M100" s="1182"/>
      <c r="N100" s="1182"/>
    </row>
    <row r="101" spans="1:14">
      <c r="A101" s="886" t="s">
        <v>403</v>
      </c>
      <c r="I101" s="784" t="s">
        <v>343</v>
      </c>
      <c r="J101" s="785"/>
      <c r="K101" s="1090">
        <v>0.05</v>
      </c>
      <c r="L101" s="1184" t="s">
        <v>574</v>
      </c>
      <c r="M101" s="1185"/>
      <c r="N101" s="1186"/>
    </row>
    <row r="102" spans="1:14">
      <c r="A102" s="1082" t="s">
        <v>327</v>
      </c>
      <c r="I102" s="34" t="s">
        <v>344</v>
      </c>
      <c r="J102" s="10"/>
      <c r="K102" s="1091">
        <v>6.5000000000000002E-2</v>
      </c>
      <c r="L102" s="1187"/>
      <c r="M102" s="1188"/>
      <c r="N102" s="1189"/>
    </row>
    <row r="103" spans="1:14">
      <c r="A103" s="1082" t="s">
        <v>328</v>
      </c>
      <c r="I103" s="34" t="s">
        <v>345</v>
      </c>
      <c r="J103" s="10"/>
      <c r="K103" s="1091">
        <v>7.0000000000000007E-2</v>
      </c>
      <c r="L103" s="1187"/>
      <c r="M103" s="1188"/>
      <c r="N103" s="1189"/>
    </row>
    <row r="104" spans="1:14">
      <c r="A104" s="892" t="s">
        <v>349</v>
      </c>
      <c r="B104" s="892"/>
      <c r="C104" s="892"/>
      <c r="D104" s="892"/>
      <c r="E104" s="892"/>
      <c r="F104" s="892"/>
      <c r="I104" s="34" t="s">
        <v>346</v>
      </c>
      <c r="J104" s="10"/>
      <c r="K104" s="1091">
        <v>7.2499999999999995E-2</v>
      </c>
      <c r="L104" s="1187"/>
      <c r="M104" s="1188"/>
      <c r="N104" s="1189"/>
    </row>
    <row r="105" spans="1:14" ht="16" thickBot="1">
      <c r="A105" s="892" t="s">
        <v>348</v>
      </c>
      <c r="I105" s="877" t="s">
        <v>347</v>
      </c>
      <c r="J105" s="776"/>
      <c r="K105" s="1092">
        <v>0.11</v>
      </c>
      <c r="L105" s="1190"/>
      <c r="M105" s="1191"/>
      <c r="N105" s="1192"/>
    </row>
    <row r="106" spans="1:14" ht="38" customHeight="1">
      <c r="I106" s="1166" t="s">
        <v>353</v>
      </c>
      <c r="J106" s="1166"/>
      <c r="K106" s="1166"/>
      <c r="L106" s="1166"/>
      <c r="M106" s="1166"/>
      <c r="N106" s="1166"/>
    </row>
    <row r="107" spans="1:14" ht="16" thickBot="1">
      <c r="I107" s="1023"/>
      <c r="J107" s="1023"/>
      <c r="K107" s="1023"/>
      <c r="L107" s="1023"/>
      <c r="M107" s="1023"/>
      <c r="N107" s="1023"/>
    </row>
    <row r="108" spans="1:14" ht="16" thickBot="1">
      <c r="B108" s="893" t="s">
        <v>229</v>
      </c>
      <c r="C108" s="894"/>
      <c r="D108" s="894"/>
      <c r="E108" s="894"/>
      <c r="F108" s="894"/>
      <c r="G108" s="894"/>
      <c r="H108" s="894"/>
      <c r="I108" s="894"/>
      <c r="J108" s="894"/>
      <c r="K108" s="894"/>
      <c r="L108" s="895"/>
    </row>
    <row r="109" spans="1:14">
      <c r="B109" s="896"/>
      <c r="C109" s="868" t="s">
        <v>214</v>
      </c>
      <c r="D109" s="868" t="s">
        <v>216</v>
      </c>
      <c r="E109" s="897" t="s">
        <v>217</v>
      </c>
      <c r="F109" s="898" t="s">
        <v>173</v>
      </c>
      <c r="G109" s="897" t="s">
        <v>197</v>
      </c>
      <c r="H109" s="898" t="s">
        <v>548</v>
      </c>
      <c r="I109" s="868" t="s">
        <v>368</v>
      </c>
      <c r="J109" s="897" t="s">
        <v>198</v>
      </c>
      <c r="K109" s="869" t="s">
        <v>30</v>
      </c>
      <c r="L109" s="869" t="s">
        <v>177</v>
      </c>
    </row>
    <row r="110" spans="1:14" ht="18" thickBot="1">
      <c r="B110" s="870" t="s">
        <v>213</v>
      </c>
      <c r="C110" s="871" t="s">
        <v>215</v>
      </c>
      <c r="D110" s="871" t="s">
        <v>177</v>
      </c>
      <c r="E110" s="899" t="s">
        <v>88</v>
      </c>
      <c r="F110" s="900" t="s">
        <v>180</v>
      </c>
      <c r="G110" s="899" t="s">
        <v>180</v>
      </c>
      <c r="H110" s="900" t="s">
        <v>596</v>
      </c>
      <c r="I110" s="871" t="s">
        <v>369</v>
      </c>
      <c r="J110" s="899" t="s">
        <v>177</v>
      </c>
      <c r="K110" s="872" t="s">
        <v>177</v>
      </c>
      <c r="L110" s="872" t="s">
        <v>183</v>
      </c>
    </row>
    <row r="111" spans="1:14">
      <c r="B111" s="901" t="s">
        <v>542</v>
      </c>
      <c r="C111" s="902" t="s">
        <v>547</v>
      </c>
      <c r="D111" s="903">
        <v>11879137</v>
      </c>
      <c r="E111" s="904">
        <v>46031</v>
      </c>
      <c r="F111" s="905">
        <v>0</v>
      </c>
      <c r="G111" s="906">
        <v>197299.872</v>
      </c>
      <c r="H111" s="949">
        <f>F111/0.11</f>
        <v>0</v>
      </c>
      <c r="I111" s="903">
        <v>75709</v>
      </c>
      <c r="J111" s="906">
        <v>3288331.2</v>
      </c>
      <c r="K111" s="907">
        <f>SUM(H111:J111)</f>
        <v>3364040.2</v>
      </c>
      <c r="L111" s="908">
        <f>K111/E111</f>
        <v>73.082057743694477</v>
      </c>
    </row>
    <row r="112" spans="1:14">
      <c r="B112" s="901" t="s">
        <v>543</v>
      </c>
      <c r="C112" s="902" t="s">
        <v>549</v>
      </c>
      <c r="D112" s="909">
        <v>12328225</v>
      </c>
      <c r="E112" s="904">
        <v>51058</v>
      </c>
      <c r="F112" s="905">
        <v>0</v>
      </c>
      <c r="G112" s="910">
        <v>932787.18799999997</v>
      </c>
      <c r="H112" s="950">
        <f t="shared" ref="H112:H115" si="16">F112/0.11</f>
        <v>0</v>
      </c>
      <c r="I112" s="909">
        <v>533988</v>
      </c>
      <c r="J112" s="910">
        <v>15451341.228571428</v>
      </c>
      <c r="K112" s="911">
        <f t="shared" ref="K112:K115" si="17">SUM(H112:J112)</f>
        <v>15985329.228571428</v>
      </c>
      <c r="L112" s="912">
        <f t="shared" ref="L112:L115" si="18">K112/E112</f>
        <v>313.08177422874826</v>
      </c>
    </row>
    <row r="113" spans="2:12">
      <c r="B113" s="901" t="s">
        <v>544</v>
      </c>
      <c r="C113" s="902" t="s">
        <v>550</v>
      </c>
      <c r="D113" s="909">
        <v>10621500</v>
      </c>
      <c r="E113" s="904">
        <v>63675</v>
      </c>
      <c r="F113" s="905">
        <v>0</v>
      </c>
      <c r="G113" s="910">
        <v>222300.79999999999</v>
      </c>
      <c r="H113" s="950">
        <f t="shared" si="16"/>
        <v>0</v>
      </c>
      <c r="I113" s="909">
        <v>78650</v>
      </c>
      <c r="J113" s="910">
        <v>3550766.1904761903</v>
      </c>
      <c r="K113" s="911">
        <f t="shared" si="17"/>
        <v>3629416.1904761903</v>
      </c>
      <c r="L113" s="912">
        <f t="shared" si="18"/>
        <v>56.999076411090542</v>
      </c>
    </row>
    <row r="114" spans="2:12">
      <c r="B114" s="901" t="s">
        <v>545</v>
      </c>
      <c r="C114" s="902" t="s">
        <v>551</v>
      </c>
      <c r="D114" s="909">
        <v>7473750</v>
      </c>
      <c r="E114" s="904">
        <v>35175</v>
      </c>
      <c r="F114" s="905">
        <v>161683.59375</v>
      </c>
      <c r="G114" s="910">
        <v>22482.432000000001</v>
      </c>
      <c r="H114" s="950">
        <f>F114/0.08</f>
        <v>2021044.921875</v>
      </c>
      <c r="I114" s="909">
        <v>24284</v>
      </c>
      <c r="J114" s="910">
        <v>374707.20000000001</v>
      </c>
      <c r="K114" s="911">
        <f t="shared" si="17"/>
        <v>2420036.1218750002</v>
      </c>
      <c r="L114" s="912">
        <f t="shared" si="18"/>
        <v>68.799889747690131</v>
      </c>
    </row>
    <row r="115" spans="2:12" ht="16" thickBot="1">
      <c r="B115" s="913" t="s">
        <v>546</v>
      </c>
      <c r="C115" s="914" t="s">
        <v>552</v>
      </c>
      <c r="D115" s="915">
        <v>11440000</v>
      </c>
      <c r="E115" s="916">
        <v>51753.4</v>
      </c>
      <c r="F115" s="917">
        <v>0</v>
      </c>
      <c r="G115" s="918">
        <v>627582.74099999992</v>
      </c>
      <c r="H115" s="951">
        <f t="shared" si="16"/>
        <v>0</v>
      </c>
      <c r="I115" s="915">
        <v>86854</v>
      </c>
      <c r="J115" s="918">
        <v>10459712.35</v>
      </c>
      <c r="K115" s="919">
        <f t="shared" si="17"/>
        <v>10546566.35</v>
      </c>
      <c r="L115" s="920">
        <f t="shared" si="18"/>
        <v>203.78499480227384</v>
      </c>
    </row>
    <row r="116" spans="2:12" ht="16" thickBot="1">
      <c r="B116" s="870" t="s">
        <v>30</v>
      </c>
      <c r="C116" s="914"/>
      <c r="D116" s="921">
        <f t="shared" ref="D116:K116" si="19">SUM(D111:D115)</f>
        <v>53742612</v>
      </c>
      <c r="E116" s="922">
        <f t="shared" si="19"/>
        <v>247692.4</v>
      </c>
      <c r="F116" s="923">
        <f t="shared" si="19"/>
        <v>161683.59375</v>
      </c>
      <c r="G116" s="924">
        <f t="shared" si="19"/>
        <v>2002453.0330000001</v>
      </c>
      <c r="H116" s="925">
        <f t="shared" si="19"/>
        <v>2021044.921875</v>
      </c>
      <c r="I116" s="921">
        <f t="shared" si="19"/>
        <v>799485</v>
      </c>
      <c r="J116" s="924">
        <f t="shared" si="19"/>
        <v>33124858.169047616</v>
      </c>
      <c r="K116" s="926">
        <f t="shared" si="19"/>
        <v>35945388.090922616</v>
      </c>
      <c r="L116" s="927">
        <f>K116/E116</f>
        <v>145.12107796170821</v>
      </c>
    </row>
    <row r="117" spans="2:12">
      <c r="B117" s="886" t="s">
        <v>212</v>
      </c>
      <c r="C117" s="928"/>
      <c r="D117" s="929"/>
      <c r="E117" s="930"/>
      <c r="F117" s="930"/>
      <c r="G117" s="929"/>
      <c r="H117" s="929"/>
      <c r="I117" s="929"/>
      <c r="J117" s="929"/>
      <c r="K117" s="931"/>
      <c r="L117" s="932"/>
    </row>
    <row r="118" spans="2:12" ht="16" thickBot="1">
      <c r="B118" s="37"/>
      <c r="C118" s="540"/>
      <c r="D118" s="543"/>
      <c r="E118" s="542"/>
      <c r="F118" s="542"/>
      <c r="G118" s="543"/>
      <c r="H118" s="543"/>
      <c r="I118" s="543"/>
      <c r="J118" s="543"/>
      <c r="K118" s="181"/>
      <c r="L118" s="544"/>
    </row>
    <row r="119" spans="2:12" ht="16" thickBot="1">
      <c r="B119" s="893" t="s">
        <v>223</v>
      </c>
      <c r="C119" s="933"/>
      <c r="D119" s="934"/>
      <c r="E119" s="935"/>
      <c r="F119" s="936"/>
      <c r="H119" s="543"/>
      <c r="I119" s="543"/>
      <c r="J119" s="543"/>
      <c r="K119" s="181"/>
      <c r="L119" s="544"/>
    </row>
    <row r="120" spans="2:12">
      <c r="B120" s="867" t="s">
        <v>80</v>
      </c>
      <c r="C120" s="937"/>
      <c r="D120" s="938"/>
      <c r="E120" s="939"/>
      <c r="F120" s="940">
        <f>'Land Values'!E106</f>
        <v>509961.4</v>
      </c>
      <c r="H120" s="543"/>
      <c r="I120" s="543"/>
      <c r="J120" s="543"/>
      <c r="K120" s="181"/>
      <c r="L120" s="544"/>
    </row>
    <row r="121" spans="2:12">
      <c r="B121" s="941" t="s">
        <v>539</v>
      </c>
      <c r="C121" s="942"/>
      <c r="D121" s="942"/>
      <c r="E121" s="942"/>
      <c r="F121" s="943">
        <f>-'Development Schedule'!E32</f>
        <v>-51390</v>
      </c>
      <c r="H121" s="36"/>
      <c r="I121" s="36"/>
      <c r="J121" s="36"/>
      <c r="K121" s="36"/>
      <c r="L121" s="36"/>
    </row>
    <row r="122" spans="2:12">
      <c r="B122" s="944" t="s">
        <v>225</v>
      </c>
      <c r="C122" s="945"/>
      <c r="D122" s="945"/>
      <c r="E122" s="945"/>
      <c r="F122" s="946">
        <f>SUM(F120:F121)</f>
        <v>458571.4</v>
      </c>
      <c r="H122" s="36"/>
      <c r="I122" s="36"/>
      <c r="J122" s="36"/>
      <c r="K122" s="36"/>
      <c r="L122" s="36"/>
    </row>
    <row r="123" spans="2:12">
      <c r="B123" s="941" t="s">
        <v>535</v>
      </c>
      <c r="C123" s="942"/>
      <c r="D123" s="942"/>
      <c r="E123" s="952"/>
      <c r="F123" s="947">
        <v>2</v>
      </c>
      <c r="H123" s="36"/>
      <c r="I123" s="36"/>
      <c r="J123" s="36"/>
      <c r="K123" s="36"/>
      <c r="L123" s="36"/>
    </row>
    <row r="124" spans="2:12" ht="18" thickBot="1">
      <c r="B124" s="870" t="s">
        <v>350</v>
      </c>
      <c r="C124" s="948"/>
      <c r="D124" s="948"/>
      <c r="E124" s="948"/>
      <c r="F124" s="924">
        <f>F122*F123</f>
        <v>917142.8</v>
      </c>
      <c r="H124" s="36"/>
      <c r="I124" s="36"/>
      <c r="J124" s="36"/>
      <c r="K124" s="36"/>
      <c r="L124" s="36"/>
    </row>
    <row r="125" spans="2:12">
      <c r="B125" s="886" t="s">
        <v>558</v>
      </c>
      <c r="C125" s="886"/>
      <c r="D125" s="886"/>
      <c r="E125" s="886"/>
      <c r="F125" s="886"/>
      <c r="G125" s="36"/>
      <c r="H125" s="36"/>
      <c r="I125" s="36"/>
      <c r="J125" s="36"/>
      <c r="K125" s="36"/>
      <c r="L125" s="36"/>
    </row>
  </sheetData>
  <mergeCells count="7">
    <mergeCell ref="I106:N106"/>
    <mergeCell ref="L97:N100"/>
    <mergeCell ref="L101:N105"/>
    <mergeCell ref="L93:N94"/>
    <mergeCell ref="L84:N85"/>
    <mergeCell ref="L87:N89"/>
    <mergeCell ref="L90:N91"/>
  </mergeCells>
  <pageMargins left="0.19791666666666699" right="0.25" top="0.75" bottom="0.75" header="0.3" footer="0.3"/>
  <pageSetup paperSize="17" scale="45" orientation="portrait" r:id="rId1"/>
  <headerFooter alignWithMargins="0">
    <oddHeader xml:space="preserve">&amp;L&amp;"Arial,Bold"2013 ULI Hines Student Urban Design Competition&amp;RTeam &amp;A </oddHeader>
  </headerFooter>
  <ignoredErrors>
    <ignoredError sqref="K1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9"/>
  <sheetViews>
    <sheetView zoomScale="85" zoomScaleNormal="85" workbookViewId="0"/>
  </sheetViews>
  <sheetFormatPr defaultColWidth="9.1796875" defaultRowHeight="14"/>
  <cols>
    <col min="1" max="1" width="28.81640625" style="791" customWidth="1"/>
    <col min="2" max="4" width="14.1796875" style="791" customWidth="1"/>
    <col min="5" max="16384" width="9.1796875" style="791"/>
  </cols>
  <sheetData>
    <row r="1" spans="1:4">
      <c r="A1" s="787" t="s">
        <v>303</v>
      </c>
      <c r="B1" s="789"/>
      <c r="C1" s="789"/>
      <c r="D1" s="790"/>
    </row>
    <row r="2" spans="1:4" ht="14.5" thickBot="1">
      <c r="A2" s="792" t="s">
        <v>306</v>
      </c>
      <c r="B2" s="794"/>
      <c r="C2" s="794"/>
      <c r="D2" s="795"/>
    </row>
    <row r="3" spans="1:4">
      <c r="A3" s="796"/>
      <c r="B3" s="797" t="s">
        <v>269</v>
      </c>
      <c r="C3" s="797" t="s">
        <v>307</v>
      </c>
      <c r="D3" s="860" t="s">
        <v>308</v>
      </c>
    </row>
    <row r="4" spans="1:4" ht="14.5" thickBot="1">
      <c r="A4" s="800" t="s">
        <v>309</v>
      </c>
      <c r="B4" s="801" t="s">
        <v>88</v>
      </c>
      <c r="C4" s="801" t="s">
        <v>308</v>
      </c>
      <c r="D4" s="861" t="s">
        <v>183</v>
      </c>
    </row>
    <row r="5" spans="1:4" ht="4.5" customHeight="1">
      <c r="A5" s="808"/>
      <c r="B5" s="806"/>
      <c r="C5" s="806"/>
      <c r="D5" s="807"/>
    </row>
    <row r="6" spans="1:4">
      <c r="A6" s="804" t="s">
        <v>310</v>
      </c>
      <c r="B6" s="806"/>
      <c r="C6" s="806"/>
      <c r="D6" s="807"/>
    </row>
    <row r="7" spans="1:4">
      <c r="A7" s="808" t="s">
        <v>311</v>
      </c>
      <c r="B7" s="810">
        <f>'Apartment Comparable Data'!B7</f>
        <v>567.5</v>
      </c>
      <c r="C7" s="811">
        <f>'Apartment Comparable Data'!C7</f>
        <v>1312.5</v>
      </c>
      <c r="D7" s="812">
        <f>C7/B7</f>
        <v>2.3127753303964758</v>
      </c>
    </row>
    <row r="8" spans="1:4">
      <c r="A8" s="808" t="s">
        <v>312</v>
      </c>
      <c r="B8" s="810">
        <f>'Apartment Comparable Data'!B23</f>
        <v>601</v>
      </c>
      <c r="C8" s="813">
        <f>'Apartment Comparable Data'!C23</f>
        <v>1237.5</v>
      </c>
      <c r="D8" s="814">
        <f t="shared" ref="D8" si="0">C8/B8</f>
        <v>2.0590682196339434</v>
      </c>
    </row>
    <row r="9" spans="1:4">
      <c r="A9" s="815" t="s">
        <v>313</v>
      </c>
      <c r="B9" s="817">
        <f>'Apartment Comparable Data'!B48</f>
        <v>529</v>
      </c>
      <c r="C9" s="818">
        <f>'Apartment Comparable Data'!C48</f>
        <v>1152.5</v>
      </c>
      <c r="D9" s="819">
        <f>C9/B9</f>
        <v>2.1786389413988658</v>
      </c>
    </row>
    <row r="10" spans="1:4" ht="14.5" thickBot="1">
      <c r="A10" s="820" t="s">
        <v>314</v>
      </c>
      <c r="B10" s="822">
        <f>AVERAGE(B7:B9)</f>
        <v>565.83333333333337</v>
      </c>
      <c r="C10" s="825">
        <f>AVERAGE(C7:C9)</f>
        <v>1234.1666666666667</v>
      </c>
      <c r="D10" s="824">
        <f>C10/B10</f>
        <v>2.1811487481590572</v>
      </c>
    </row>
    <row r="11" spans="1:4" ht="4.5" customHeight="1">
      <c r="A11" s="808"/>
      <c r="B11" s="806"/>
      <c r="C11" s="806"/>
      <c r="D11" s="807"/>
    </row>
    <row r="12" spans="1:4">
      <c r="A12" s="804" t="s">
        <v>274</v>
      </c>
      <c r="B12" s="806"/>
      <c r="C12" s="806"/>
      <c r="D12" s="807"/>
    </row>
    <row r="13" spans="1:4">
      <c r="A13" s="808" t="s">
        <v>311</v>
      </c>
      <c r="B13" s="810">
        <f>'Apartment Comparable Data'!B11</f>
        <v>721</v>
      </c>
      <c r="C13" s="811">
        <f>'Apartment Comparable Data'!C11</f>
        <v>1625</v>
      </c>
      <c r="D13" s="812">
        <f>C13/B13</f>
        <v>2.2538141470180304</v>
      </c>
    </row>
    <row r="14" spans="1:4">
      <c r="A14" s="808" t="s">
        <v>312</v>
      </c>
      <c r="B14" s="810">
        <f>'Apartment Comparable Data'!B35</f>
        <v>721.9</v>
      </c>
      <c r="C14" s="813">
        <f>'Apartment Comparable Data'!C35</f>
        <v>1521.5</v>
      </c>
      <c r="D14" s="814">
        <f t="shared" ref="D14:D16" si="1">C14/B14</f>
        <v>2.1076326360991828</v>
      </c>
    </row>
    <row r="15" spans="1:4">
      <c r="A15" s="808" t="s">
        <v>313</v>
      </c>
      <c r="B15" s="810">
        <f>'Apartment Comparable Data'!B53</f>
        <v>724.66666666666663</v>
      </c>
      <c r="C15" s="813">
        <f>'Apartment Comparable Data'!C53</f>
        <v>1578.3333333333333</v>
      </c>
      <c r="D15" s="814">
        <f t="shared" si="1"/>
        <v>2.1780128794848208</v>
      </c>
    </row>
    <row r="16" spans="1:4">
      <c r="A16" s="815" t="s">
        <v>315</v>
      </c>
      <c r="B16" s="817">
        <f>'Apartment Comparable Data'!B74</f>
        <v>860.71428571428567</v>
      </c>
      <c r="C16" s="818">
        <f>'Apartment Comparable Data'!C74</f>
        <v>1538.5714285714287</v>
      </c>
      <c r="D16" s="819">
        <f t="shared" si="1"/>
        <v>1.7875518672199173</v>
      </c>
    </row>
    <row r="17" spans="1:4" ht="14.5" thickBot="1">
      <c r="A17" s="820" t="s">
        <v>282</v>
      </c>
      <c r="B17" s="822">
        <f>AVERAGE(B13:B16)</f>
        <v>757.0702380952381</v>
      </c>
      <c r="C17" s="825">
        <f>AVERAGE(C13:C16)</f>
        <v>1565.8511904761904</v>
      </c>
      <c r="D17" s="824">
        <f>C17/B17</f>
        <v>2.068303720954368</v>
      </c>
    </row>
    <row r="18" spans="1:4" ht="4.5" customHeight="1">
      <c r="A18" s="808"/>
      <c r="B18" s="806"/>
      <c r="C18" s="806"/>
      <c r="D18" s="807"/>
    </row>
    <row r="19" spans="1:4">
      <c r="A19" s="804" t="s">
        <v>283</v>
      </c>
      <c r="B19" s="806"/>
      <c r="C19" s="806"/>
      <c r="D19" s="807"/>
    </row>
    <row r="20" spans="1:4">
      <c r="A20" s="808" t="s">
        <v>311</v>
      </c>
      <c r="B20" s="810">
        <f>'Apartment Comparable Data'!B15</f>
        <v>1019</v>
      </c>
      <c r="C20" s="811">
        <f>'Apartment Comparable Data'!C15</f>
        <v>2200</v>
      </c>
      <c r="D20" s="812">
        <f>C20/B20</f>
        <v>2.1589793915603535</v>
      </c>
    </row>
    <row r="21" spans="1:4">
      <c r="A21" s="808" t="s">
        <v>312</v>
      </c>
      <c r="B21" s="810">
        <f>'Apartment Comparable Data'!B40</f>
        <v>1061</v>
      </c>
      <c r="C21" s="813">
        <f>'Apartment Comparable Data'!C40</f>
        <v>1966.6666666666667</v>
      </c>
      <c r="D21" s="814">
        <f t="shared" ref="D21:D23" si="2">C21/B21</f>
        <v>1.8535972353125982</v>
      </c>
    </row>
    <row r="22" spans="1:4">
      <c r="A22" s="808" t="s">
        <v>313</v>
      </c>
      <c r="B22" s="810">
        <f>'Apartment Comparable Data'!B57</f>
        <v>1114</v>
      </c>
      <c r="C22" s="813">
        <f>'Apartment Comparable Data'!C57</f>
        <v>2097.5</v>
      </c>
      <c r="D22" s="814">
        <f t="shared" si="2"/>
        <v>1.8828545780969479</v>
      </c>
    </row>
    <row r="23" spans="1:4">
      <c r="A23" s="815" t="s">
        <v>315</v>
      </c>
      <c r="B23" s="817">
        <f>'Apartment Comparable Data'!B82</f>
        <v>1214.1666666666667</v>
      </c>
      <c r="C23" s="818">
        <f>'Apartment Comparable Data'!C82</f>
        <v>1897.5</v>
      </c>
      <c r="D23" s="819">
        <f t="shared" si="2"/>
        <v>1.5628002745367191</v>
      </c>
    </row>
    <row r="24" spans="1:4" ht="14.5" thickBot="1">
      <c r="A24" s="820" t="s">
        <v>294</v>
      </c>
      <c r="B24" s="822">
        <f>AVERAGE(B20:B23)</f>
        <v>1102.0416666666667</v>
      </c>
      <c r="C24" s="825">
        <f>AVERAGE(C20:C23)</f>
        <v>2040.4166666666667</v>
      </c>
      <c r="D24" s="824">
        <f>C24/B24</f>
        <v>1.8514877689137585</v>
      </c>
    </row>
    <row r="25" spans="1:4" ht="4.5" customHeight="1">
      <c r="A25" s="808"/>
      <c r="B25" s="806"/>
      <c r="C25" s="806"/>
      <c r="D25" s="807"/>
    </row>
    <row r="26" spans="1:4">
      <c r="A26" s="804" t="s">
        <v>316</v>
      </c>
      <c r="B26" s="806"/>
      <c r="C26" s="806"/>
      <c r="D26" s="807"/>
    </row>
    <row r="27" spans="1:4">
      <c r="A27" s="808" t="s">
        <v>313</v>
      </c>
      <c r="B27" s="810">
        <f>'Apartment Comparable Data'!B61</f>
        <v>1341</v>
      </c>
      <c r="C27" s="811">
        <f>'Apartment Comparable Data'!C61</f>
        <v>2582.5</v>
      </c>
      <c r="D27" s="812">
        <f t="shared" ref="D27:D28" si="3">C27/B27</f>
        <v>1.9258016405667413</v>
      </c>
    </row>
    <row r="28" spans="1:4">
      <c r="A28" s="815" t="s">
        <v>315</v>
      </c>
      <c r="B28" s="817">
        <f>'Apartment Comparable Data'!B86</f>
        <v>1607.5</v>
      </c>
      <c r="C28" s="818">
        <f>'Apartment Comparable Data'!C86</f>
        <v>2885</v>
      </c>
      <c r="D28" s="819">
        <f t="shared" si="3"/>
        <v>1.7947122861586313</v>
      </c>
    </row>
    <row r="29" spans="1:4" ht="14.5" thickBot="1">
      <c r="A29" s="820" t="s">
        <v>317</v>
      </c>
      <c r="B29" s="822">
        <f>AVERAGE(B27:B28)</f>
        <v>1474.25</v>
      </c>
      <c r="C29" s="825">
        <f>AVERAGE(C27:C28)</f>
        <v>2733.75</v>
      </c>
      <c r="D29" s="824">
        <f>C29/B29</f>
        <v>1.8543327115482449</v>
      </c>
    </row>
  </sheetData>
  <printOptions horizontalCentered="1"/>
  <pageMargins left="0.45" right="0.45" top="0.5" bottom="0.5" header="0.3" footer="0.3"/>
  <pageSetup scale="13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86"/>
  <sheetViews>
    <sheetView zoomScale="85" zoomScaleNormal="85" workbookViewId="0"/>
  </sheetViews>
  <sheetFormatPr defaultColWidth="9.1796875" defaultRowHeight="14"/>
  <cols>
    <col min="1" max="1" width="22.7265625" style="791" customWidth="1"/>
    <col min="2" max="2" width="14.453125" style="791" customWidth="1"/>
    <col min="3" max="4" width="18.1796875" style="791" customWidth="1"/>
    <col min="5" max="16384" width="9.1796875" style="791"/>
  </cols>
  <sheetData>
    <row r="1" spans="1:5">
      <c r="A1" s="787" t="s">
        <v>303</v>
      </c>
      <c r="B1" s="788"/>
      <c r="C1" s="788"/>
      <c r="D1" s="826"/>
    </row>
    <row r="2" spans="1:5" ht="15" customHeight="1" thickBot="1">
      <c r="A2" s="792" t="s">
        <v>311</v>
      </c>
      <c r="B2" s="793"/>
      <c r="C2" s="793"/>
      <c r="D2" s="827"/>
    </row>
    <row r="3" spans="1:5" ht="15" customHeight="1">
      <c r="A3" s="828"/>
      <c r="B3" s="798" t="s">
        <v>269</v>
      </c>
      <c r="C3" s="798" t="s">
        <v>307</v>
      </c>
      <c r="D3" s="799" t="s">
        <v>308</v>
      </c>
    </row>
    <row r="4" spans="1:5" ht="14.5" thickBot="1">
      <c r="A4" s="829" t="s">
        <v>299</v>
      </c>
      <c r="B4" s="802" t="s">
        <v>88</v>
      </c>
      <c r="C4" s="802" t="s">
        <v>308</v>
      </c>
      <c r="D4" s="803" t="s">
        <v>183</v>
      </c>
    </row>
    <row r="5" spans="1:5">
      <c r="A5" s="808" t="s">
        <v>318</v>
      </c>
      <c r="B5" s="836">
        <v>510</v>
      </c>
      <c r="C5" s="837">
        <v>1180</v>
      </c>
      <c r="D5" s="812">
        <f>C5/B5</f>
        <v>2.3137254901960786</v>
      </c>
    </row>
    <row r="6" spans="1:5">
      <c r="A6" s="815" t="s">
        <v>318</v>
      </c>
      <c r="B6" s="839">
        <v>625</v>
      </c>
      <c r="C6" s="840">
        <v>1445</v>
      </c>
      <c r="D6" s="819">
        <f t="shared" ref="D6:D7" si="0">C6/B6</f>
        <v>2.3119999999999998</v>
      </c>
      <c r="E6" s="862"/>
    </row>
    <row r="7" spans="1:5" ht="14.5" thickBot="1">
      <c r="A7" s="820" t="s">
        <v>314</v>
      </c>
      <c r="B7" s="841">
        <f>AVERAGE(B5:B6)</f>
        <v>567.5</v>
      </c>
      <c r="C7" s="842">
        <f>AVERAGE(C5:C6)</f>
        <v>1312.5</v>
      </c>
      <c r="D7" s="843">
        <f t="shared" si="0"/>
        <v>2.3127753303964758</v>
      </c>
    </row>
    <row r="8" spans="1:5" ht="4.5" customHeight="1">
      <c r="A8" s="808"/>
      <c r="B8" s="851"/>
      <c r="C8" s="806"/>
      <c r="D8" s="807"/>
    </row>
    <row r="9" spans="1:5">
      <c r="A9" s="808" t="s">
        <v>302</v>
      </c>
      <c r="B9" s="836">
        <v>611</v>
      </c>
      <c r="C9" s="837">
        <v>1360</v>
      </c>
      <c r="D9" s="812">
        <f>C9/B9</f>
        <v>2.2258592471358427</v>
      </c>
    </row>
    <row r="10" spans="1:5">
      <c r="A10" s="815" t="s">
        <v>302</v>
      </c>
      <c r="B10" s="839">
        <v>831</v>
      </c>
      <c r="C10" s="840">
        <v>1890</v>
      </c>
      <c r="D10" s="819">
        <f>C10/B10</f>
        <v>2.2743682310469313</v>
      </c>
    </row>
    <row r="11" spans="1:5" ht="14.5" thickBot="1">
      <c r="A11" s="820" t="s">
        <v>282</v>
      </c>
      <c r="B11" s="841">
        <f>AVERAGE(B9:B10)</f>
        <v>721</v>
      </c>
      <c r="C11" s="842">
        <f>AVERAGE(C9:C10)</f>
        <v>1625</v>
      </c>
      <c r="D11" s="843">
        <f t="shared" ref="D11" si="1">C11/B11</f>
        <v>2.2538141470180304</v>
      </c>
    </row>
    <row r="12" spans="1:5" ht="4.5" customHeight="1">
      <c r="A12" s="808"/>
      <c r="B12" s="851"/>
      <c r="C12" s="806"/>
      <c r="D12" s="807"/>
    </row>
    <row r="13" spans="1:5">
      <c r="A13" s="808" t="s">
        <v>301</v>
      </c>
      <c r="B13" s="836">
        <v>877</v>
      </c>
      <c r="C13" s="837">
        <v>1865</v>
      </c>
      <c r="D13" s="812">
        <f>C13/B13</f>
        <v>2.1265678449258836</v>
      </c>
    </row>
    <row r="14" spans="1:5">
      <c r="A14" s="815" t="s">
        <v>301</v>
      </c>
      <c r="B14" s="839">
        <v>1161</v>
      </c>
      <c r="C14" s="840">
        <v>2535</v>
      </c>
      <c r="D14" s="819">
        <f>C14/B14</f>
        <v>2.1834625322997416</v>
      </c>
    </row>
    <row r="15" spans="1:5" ht="14.5" thickBot="1">
      <c r="A15" s="820" t="s">
        <v>294</v>
      </c>
      <c r="B15" s="841">
        <f>AVERAGE(B13:B14)</f>
        <v>1019</v>
      </c>
      <c r="C15" s="842">
        <f>AVERAGE(C13:C14)</f>
        <v>2200</v>
      </c>
      <c r="D15" s="843">
        <f t="shared" ref="D15" si="2">C15/B15</f>
        <v>2.1589793915603535</v>
      </c>
    </row>
    <row r="16" spans="1:5" ht="14.5" thickBot="1"/>
    <row r="17" spans="1:4">
      <c r="A17" s="787" t="s">
        <v>303</v>
      </c>
      <c r="B17" s="788"/>
      <c r="C17" s="788"/>
      <c r="D17" s="826"/>
    </row>
    <row r="18" spans="1:4" ht="14.5" thickBot="1">
      <c r="A18" s="792" t="s">
        <v>312</v>
      </c>
      <c r="B18" s="793"/>
      <c r="C18" s="793"/>
      <c r="D18" s="827"/>
    </row>
    <row r="19" spans="1:4">
      <c r="A19" s="828"/>
      <c r="B19" s="798" t="s">
        <v>269</v>
      </c>
      <c r="C19" s="798" t="s">
        <v>307</v>
      </c>
      <c r="D19" s="799" t="s">
        <v>308</v>
      </c>
    </row>
    <row r="20" spans="1:4" ht="14.5" thickBot="1">
      <c r="A20" s="829" t="s">
        <v>299</v>
      </c>
      <c r="B20" s="802" t="s">
        <v>88</v>
      </c>
      <c r="C20" s="802" t="s">
        <v>308</v>
      </c>
      <c r="D20" s="803" t="s">
        <v>183</v>
      </c>
    </row>
    <row r="21" spans="1:4">
      <c r="A21" s="808" t="s">
        <v>318</v>
      </c>
      <c r="B21" s="836">
        <v>614</v>
      </c>
      <c r="C21" s="837">
        <v>1300</v>
      </c>
      <c r="D21" s="812">
        <f>C21/B21</f>
        <v>2.1172638436482085</v>
      </c>
    </row>
    <row r="22" spans="1:4">
      <c r="A22" s="815" t="s">
        <v>318</v>
      </c>
      <c r="B22" s="839">
        <v>588</v>
      </c>
      <c r="C22" s="840">
        <v>1175</v>
      </c>
      <c r="D22" s="819">
        <f t="shared" ref="D22:D23" si="3">C22/B22</f>
        <v>1.9982993197278911</v>
      </c>
    </row>
    <row r="23" spans="1:4" ht="14.5" thickBot="1">
      <c r="A23" s="820" t="s">
        <v>314</v>
      </c>
      <c r="B23" s="841">
        <f>AVERAGE(B21:B22)</f>
        <v>601</v>
      </c>
      <c r="C23" s="842">
        <f>AVERAGE(C21:C22)</f>
        <v>1237.5</v>
      </c>
      <c r="D23" s="843">
        <f t="shared" si="3"/>
        <v>2.0590682196339434</v>
      </c>
    </row>
    <row r="24" spans="1:4" ht="4.5" customHeight="1">
      <c r="A24" s="808"/>
      <c r="B24" s="851"/>
      <c r="C24" s="806"/>
      <c r="D24" s="807"/>
    </row>
    <row r="25" spans="1:4">
      <c r="A25" s="808" t="s">
        <v>302</v>
      </c>
      <c r="B25" s="836">
        <v>645</v>
      </c>
      <c r="C25" s="837">
        <v>1400</v>
      </c>
      <c r="D25" s="812">
        <f t="shared" ref="D25:D35" si="4">C25/B25</f>
        <v>2.1705426356589146</v>
      </c>
    </row>
    <row r="26" spans="1:4">
      <c r="A26" s="808" t="s">
        <v>302</v>
      </c>
      <c r="B26" s="836">
        <v>733</v>
      </c>
      <c r="C26" s="850">
        <v>1490</v>
      </c>
      <c r="D26" s="814">
        <f t="shared" si="4"/>
        <v>2.0327421555252387</v>
      </c>
    </row>
    <row r="27" spans="1:4">
      <c r="A27" s="808" t="s">
        <v>302</v>
      </c>
      <c r="B27" s="836">
        <v>647</v>
      </c>
      <c r="C27" s="850">
        <v>1450</v>
      </c>
      <c r="D27" s="814">
        <f t="shared" si="4"/>
        <v>2.2411128284389492</v>
      </c>
    </row>
    <row r="28" spans="1:4">
      <c r="A28" s="808" t="s">
        <v>302</v>
      </c>
      <c r="B28" s="836">
        <v>776</v>
      </c>
      <c r="C28" s="850">
        <v>1650</v>
      </c>
      <c r="D28" s="814">
        <f t="shared" si="4"/>
        <v>2.1262886597938144</v>
      </c>
    </row>
    <row r="29" spans="1:4">
      <c r="A29" s="808" t="s">
        <v>302</v>
      </c>
      <c r="B29" s="836">
        <v>622</v>
      </c>
      <c r="C29" s="850">
        <v>1390</v>
      </c>
      <c r="D29" s="814">
        <f t="shared" si="4"/>
        <v>2.234726688102894</v>
      </c>
    </row>
    <row r="30" spans="1:4">
      <c r="A30" s="808" t="s">
        <v>302</v>
      </c>
      <c r="B30" s="836">
        <v>645</v>
      </c>
      <c r="C30" s="850">
        <v>1380</v>
      </c>
      <c r="D30" s="814">
        <f t="shared" si="4"/>
        <v>2.13953488372093</v>
      </c>
    </row>
    <row r="31" spans="1:4">
      <c r="A31" s="808" t="s">
        <v>302</v>
      </c>
      <c r="B31" s="836">
        <v>736</v>
      </c>
      <c r="C31" s="850">
        <v>1475</v>
      </c>
      <c r="D31" s="814">
        <f t="shared" si="4"/>
        <v>2.004076086956522</v>
      </c>
    </row>
    <row r="32" spans="1:4">
      <c r="A32" s="808" t="s">
        <v>302</v>
      </c>
      <c r="B32" s="836">
        <v>857</v>
      </c>
      <c r="C32" s="850">
        <v>1730</v>
      </c>
      <c r="D32" s="814">
        <f t="shared" si="4"/>
        <v>2.0186697782963829</v>
      </c>
    </row>
    <row r="33" spans="1:4">
      <c r="A33" s="808" t="s">
        <v>302</v>
      </c>
      <c r="B33" s="836">
        <v>811</v>
      </c>
      <c r="C33" s="850">
        <v>1650</v>
      </c>
      <c r="D33" s="814">
        <f t="shared" si="4"/>
        <v>2.0345252774352649</v>
      </c>
    </row>
    <row r="34" spans="1:4">
      <c r="A34" s="815" t="s">
        <v>302</v>
      </c>
      <c r="B34" s="839">
        <v>747</v>
      </c>
      <c r="C34" s="840">
        <v>1600</v>
      </c>
      <c r="D34" s="819">
        <f t="shared" si="4"/>
        <v>2.14190093708166</v>
      </c>
    </row>
    <row r="35" spans="1:4" ht="14.5" thickBot="1">
      <c r="A35" s="820" t="s">
        <v>282</v>
      </c>
      <c r="B35" s="841">
        <f>AVERAGE(B25:B34)</f>
        <v>721.9</v>
      </c>
      <c r="C35" s="842">
        <f>AVERAGE(C25:C34)</f>
        <v>1521.5</v>
      </c>
      <c r="D35" s="843">
        <f t="shared" si="4"/>
        <v>2.1076326360991828</v>
      </c>
    </row>
    <row r="36" spans="1:4" ht="4.5" customHeight="1">
      <c r="A36" s="808"/>
      <c r="B36" s="851"/>
      <c r="C36" s="806"/>
      <c r="D36" s="807"/>
    </row>
    <row r="37" spans="1:4">
      <c r="A37" s="808" t="s">
        <v>301</v>
      </c>
      <c r="B37" s="836">
        <v>1075</v>
      </c>
      <c r="C37" s="837">
        <v>2100</v>
      </c>
      <c r="D37" s="812">
        <f>C37/B37</f>
        <v>1.9534883720930232</v>
      </c>
    </row>
    <row r="38" spans="1:4">
      <c r="A38" s="808" t="s">
        <v>301</v>
      </c>
      <c r="B38" s="836">
        <v>953</v>
      </c>
      <c r="C38" s="850">
        <v>1800</v>
      </c>
      <c r="D38" s="814">
        <f>C38/B38</f>
        <v>1.888772298006296</v>
      </c>
    </row>
    <row r="39" spans="1:4">
      <c r="A39" s="815" t="s">
        <v>301</v>
      </c>
      <c r="B39" s="839">
        <v>1155</v>
      </c>
      <c r="C39" s="840">
        <v>2000</v>
      </c>
      <c r="D39" s="819">
        <f>C39/B39</f>
        <v>1.7316017316017316</v>
      </c>
    </row>
    <row r="40" spans="1:4" ht="14.5" thickBot="1">
      <c r="A40" s="820" t="s">
        <v>294</v>
      </c>
      <c r="B40" s="841">
        <f>AVERAGE(B37:B39)</f>
        <v>1061</v>
      </c>
      <c r="C40" s="842">
        <f>AVERAGE(C37:C39)</f>
        <v>1966.6666666666667</v>
      </c>
      <c r="D40" s="843">
        <f t="shared" ref="D40" si="5">C40/B40</f>
        <v>1.8535972353125982</v>
      </c>
    </row>
    <row r="41" spans="1:4" ht="14.5" thickBot="1"/>
    <row r="42" spans="1:4">
      <c r="A42" s="787" t="s">
        <v>303</v>
      </c>
      <c r="B42" s="788"/>
      <c r="C42" s="788"/>
      <c r="D42" s="826"/>
    </row>
    <row r="43" spans="1:4" ht="14.5" thickBot="1">
      <c r="A43" s="792" t="s">
        <v>313</v>
      </c>
      <c r="B43" s="793"/>
      <c r="C43" s="793"/>
      <c r="D43" s="827"/>
    </row>
    <row r="44" spans="1:4">
      <c r="A44" s="828"/>
      <c r="B44" s="798" t="s">
        <v>269</v>
      </c>
      <c r="C44" s="798" t="s">
        <v>307</v>
      </c>
      <c r="D44" s="799" t="s">
        <v>308</v>
      </c>
    </row>
    <row r="45" spans="1:4" ht="14.5" thickBot="1">
      <c r="A45" s="829" t="s">
        <v>299</v>
      </c>
      <c r="B45" s="802" t="s">
        <v>88</v>
      </c>
      <c r="C45" s="802" t="s">
        <v>308</v>
      </c>
      <c r="D45" s="803" t="s">
        <v>183</v>
      </c>
    </row>
    <row r="46" spans="1:4">
      <c r="A46" s="808" t="s">
        <v>318</v>
      </c>
      <c r="B46" s="836">
        <v>495</v>
      </c>
      <c r="C46" s="837">
        <v>1075</v>
      </c>
      <c r="D46" s="812">
        <f>C46/B46</f>
        <v>2.1717171717171717</v>
      </c>
    </row>
    <row r="47" spans="1:4">
      <c r="A47" s="815" t="s">
        <v>318</v>
      </c>
      <c r="B47" s="839">
        <v>563</v>
      </c>
      <c r="C47" s="840">
        <v>1230</v>
      </c>
      <c r="D47" s="819">
        <f t="shared" ref="D47:D48" si="6">C47/B47</f>
        <v>2.1847246891651864</v>
      </c>
    </row>
    <row r="48" spans="1:4" ht="14.5" thickBot="1">
      <c r="A48" s="820" t="s">
        <v>314</v>
      </c>
      <c r="B48" s="841">
        <f>AVERAGE(B46:B47)</f>
        <v>529</v>
      </c>
      <c r="C48" s="842">
        <f>AVERAGE(C46:C47)</f>
        <v>1152.5</v>
      </c>
      <c r="D48" s="843">
        <f t="shared" si="6"/>
        <v>2.1786389413988658</v>
      </c>
    </row>
    <row r="49" spans="1:4" ht="4.5" customHeight="1">
      <c r="A49" s="808"/>
      <c r="B49" s="851"/>
      <c r="C49" s="806"/>
      <c r="D49" s="807"/>
    </row>
    <row r="50" spans="1:4">
      <c r="A50" s="808" t="s">
        <v>302</v>
      </c>
      <c r="B50" s="836">
        <v>691</v>
      </c>
      <c r="C50" s="837">
        <v>1485</v>
      </c>
      <c r="D50" s="812">
        <f>C50/B50</f>
        <v>2.1490593342981188</v>
      </c>
    </row>
    <row r="51" spans="1:4">
      <c r="A51" s="808" t="s">
        <v>302</v>
      </c>
      <c r="B51" s="836">
        <v>733</v>
      </c>
      <c r="C51" s="850">
        <v>1570</v>
      </c>
      <c r="D51" s="814">
        <f>C51/B51</f>
        <v>2.141882673942701</v>
      </c>
    </row>
    <row r="52" spans="1:4">
      <c r="A52" s="815" t="s">
        <v>302</v>
      </c>
      <c r="B52" s="839">
        <v>750</v>
      </c>
      <c r="C52" s="840">
        <v>1680</v>
      </c>
      <c r="D52" s="819">
        <f>C52/B52</f>
        <v>2.2400000000000002</v>
      </c>
    </row>
    <row r="53" spans="1:4" ht="14.5" thickBot="1">
      <c r="A53" s="820" t="s">
        <v>282</v>
      </c>
      <c r="B53" s="841">
        <f>AVERAGE(B50:B52)</f>
        <v>724.66666666666663</v>
      </c>
      <c r="C53" s="842">
        <f>AVERAGE(C50:C52)</f>
        <v>1578.3333333333333</v>
      </c>
      <c r="D53" s="843">
        <f t="shared" ref="D53" si="7">C53/B53</f>
        <v>2.1780128794848208</v>
      </c>
    </row>
    <row r="54" spans="1:4" ht="4.5" customHeight="1">
      <c r="A54" s="808"/>
      <c r="B54" s="851"/>
      <c r="C54" s="806"/>
      <c r="D54" s="807"/>
    </row>
    <row r="55" spans="1:4">
      <c r="A55" s="808" t="s">
        <v>301</v>
      </c>
      <c r="B55" s="836">
        <v>1093</v>
      </c>
      <c r="C55" s="837">
        <v>1970</v>
      </c>
      <c r="D55" s="812">
        <f>C55/B55</f>
        <v>1.8023787740164685</v>
      </c>
    </row>
    <row r="56" spans="1:4">
      <c r="A56" s="815" t="s">
        <v>301</v>
      </c>
      <c r="B56" s="839">
        <v>1135</v>
      </c>
      <c r="C56" s="840">
        <v>2225</v>
      </c>
      <c r="D56" s="819">
        <f>C56/B56</f>
        <v>1.9603524229074889</v>
      </c>
    </row>
    <row r="57" spans="1:4" ht="14.5" thickBot="1">
      <c r="A57" s="820" t="s">
        <v>294</v>
      </c>
      <c r="B57" s="841">
        <f>AVERAGE(B55:B56)</f>
        <v>1114</v>
      </c>
      <c r="C57" s="842">
        <f>AVERAGE(C55:C56)</f>
        <v>2097.5</v>
      </c>
      <c r="D57" s="843">
        <f t="shared" ref="D57" si="8">C57/B57</f>
        <v>1.8828545780969479</v>
      </c>
    </row>
    <row r="58" spans="1:4" ht="4.5" customHeight="1">
      <c r="A58" s="808"/>
      <c r="B58" s="851"/>
      <c r="C58" s="806"/>
      <c r="D58" s="807"/>
    </row>
    <row r="59" spans="1:4">
      <c r="A59" s="808" t="s">
        <v>319</v>
      </c>
      <c r="B59" s="836">
        <v>1280</v>
      </c>
      <c r="C59" s="837">
        <v>2485</v>
      </c>
      <c r="D59" s="812">
        <f>C59/B59</f>
        <v>1.94140625</v>
      </c>
    </row>
    <row r="60" spans="1:4">
      <c r="A60" s="815" t="s">
        <v>319</v>
      </c>
      <c r="B60" s="839">
        <v>1402</v>
      </c>
      <c r="C60" s="840">
        <v>2680</v>
      </c>
      <c r="D60" s="819">
        <f>C60/B60</f>
        <v>1.9115549215406562</v>
      </c>
    </row>
    <row r="61" spans="1:4" ht="14.5" thickBot="1">
      <c r="A61" s="820" t="s">
        <v>317</v>
      </c>
      <c r="B61" s="841">
        <f>AVERAGE(B59:B60)</f>
        <v>1341</v>
      </c>
      <c r="C61" s="842">
        <f>AVERAGE(C59:C60)</f>
        <v>2582.5</v>
      </c>
      <c r="D61" s="843">
        <f t="shared" ref="D61" si="9">C61/B61</f>
        <v>1.9258016405667413</v>
      </c>
    </row>
    <row r="62" spans="1:4" ht="14.5" thickBot="1"/>
    <row r="63" spans="1:4">
      <c r="A63" s="787" t="s">
        <v>303</v>
      </c>
      <c r="B63" s="788"/>
      <c r="C63" s="788"/>
      <c r="D63" s="826"/>
    </row>
    <row r="64" spans="1:4" ht="14.5" thickBot="1">
      <c r="A64" s="792" t="s">
        <v>315</v>
      </c>
      <c r="B64" s="793"/>
      <c r="C64" s="793"/>
      <c r="D64" s="827"/>
    </row>
    <row r="65" spans="1:4">
      <c r="A65" s="828"/>
      <c r="B65" s="798" t="s">
        <v>269</v>
      </c>
      <c r="C65" s="798" t="s">
        <v>307</v>
      </c>
      <c r="D65" s="799" t="s">
        <v>308</v>
      </c>
    </row>
    <row r="66" spans="1:4" ht="14.5" thickBot="1">
      <c r="A66" s="829" t="s">
        <v>299</v>
      </c>
      <c r="B66" s="802" t="s">
        <v>88</v>
      </c>
      <c r="C66" s="802" t="s">
        <v>308</v>
      </c>
      <c r="D66" s="803" t="s">
        <v>183</v>
      </c>
    </row>
    <row r="67" spans="1:4">
      <c r="A67" s="808" t="s">
        <v>302</v>
      </c>
      <c r="B67" s="836">
        <v>860</v>
      </c>
      <c r="C67" s="837">
        <v>1625</v>
      </c>
      <c r="D67" s="812">
        <f t="shared" ref="D67:D74" si="10">C67/B67</f>
        <v>1.8895348837209303</v>
      </c>
    </row>
    <row r="68" spans="1:4">
      <c r="A68" s="808" t="s">
        <v>302</v>
      </c>
      <c r="B68" s="836">
        <v>720</v>
      </c>
      <c r="C68" s="850">
        <v>1500</v>
      </c>
      <c r="D68" s="814">
        <f t="shared" si="10"/>
        <v>2.0833333333333335</v>
      </c>
    </row>
    <row r="69" spans="1:4">
      <c r="A69" s="808" t="s">
        <v>302</v>
      </c>
      <c r="B69" s="836">
        <v>780</v>
      </c>
      <c r="C69" s="850">
        <v>1445</v>
      </c>
      <c r="D69" s="814">
        <f t="shared" si="10"/>
        <v>1.8525641025641026</v>
      </c>
    </row>
    <row r="70" spans="1:4">
      <c r="A70" s="808" t="s">
        <v>302</v>
      </c>
      <c r="B70" s="836">
        <v>920</v>
      </c>
      <c r="C70" s="850">
        <v>1470</v>
      </c>
      <c r="D70" s="814">
        <f t="shared" si="10"/>
        <v>1.5978260869565217</v>
      </c>
    </row>
    <row r="71" spans="1:4">
      <c r="A71" s="808" t="s">
        <v>302</v>
      </c>
      <c r="B71" s="836">
        <v>755</v>
      </c>
      <c r="C71" s="850">
        <v>1415</v>
      </c>
      <c r="D71" s="814">
        <f t="shared" si="10"/>
        <v>1.8741721854304636</v>
      </c>
    </row>
    <row r="72" spans="1:4">
      <c r="A72" s="808" t="s">
        <v>302</v>
      </c>
      <c r="B72" s="836">
        <v>1100</v>
      </c>
      <c r="C72" s="850">
        <v>1725</v>
      </c>
      <c r="D72" s="814">
        <f t="shared" si="10"/>
        <v>1.5681818181818181</v>
      </c>
    </row>
    <row r="73" spans="1:4">
      <c r="A73" s="815" t="s">
        <v>302</v>
      </c>
      <c r="B73" s="839">
        <v>890</v>
      </c>
      <c r="C73" s="840">
        <v>1590</v>
      </c>
      <c r="D73" s="819">
        <f t="shared" si="10"/>
        <v>1.7865168539325842</v>
      </c>
    </row>
    <row r="74" spans="1:4" ht="14.5" thickBot="1">
      <c r="A74" s="820" t="s">
        <v>282</v>
      </c>
      <c r="B74" s="841">
        <f>AVERAGE(B67:B73)</f>
        <v>860.71428571428567</v>
      </c>
      <c r="C74" s="842">
        <f>AVERAGE(C67:C73)</f>
        <v>1538.5714285714287</v>
      </c>
      <c r="D74" s="843">
        <f t="shared" si="10"/>
        <v>1.7875518672199173</v>
      </c>
    </row>
    <row r="75" spans="1:4" ht="4.5" customHeight="1">
      <c r="A75" s="808"/>
      <c r="B75" s="851"/>
      <c r="C75" s="806"/>
      <c r="D75" s="807"/>
    </row>
    <row r="76" spans="1:4">
      <c r="A76" s="808" t="s">
        <v>301</v>
      </c>
      <c r="B76" s="836">
        <v>1165</v>
      </c>
      <c r="C76" s="837">
        <v>1935</v>
      </c>
      <c r="D76" s="812">
        <f t="shared" ref="D76:D82" si="11">C76/B76</f>
        <v>1.6609442060085837</v>
      </c>
    </row>
    <row r="77" spans="1:4">
      <c r="A77" s="808" t="s">
        <v>301</v>
      </c>
      <c r="B77" s="836">
        <v>1210</v>
      </c>
      <c r="C77" s="850">
        <v>1840</v>
      </c>
      <c r="D77" s="814">
        <f t="shared" si="11"/>
        <v>1.5206611570247934</v>
      </c>
    </row>
    <row r="78" spans="1:4">
      <c r="A78" s="808" t="s">
        <v>301</v>
      </c>
      <c r="B78" s="836">
        <v>1265</v>
      </c>
      <c r="C78" s="850">
        <v>1945</v>
      </c>
      <c r="D78" s="814">
        <f t="shared" si="11"/>
        <v>1.5375494071146245</v>
      </c>
    </row>
    <row r="79" spans="1:4">
      <c r="A79" s="808" t="s">
        <v>301</v>
      </c>
      <c r="B79" s="836">
        <v>1115</v>
      </c>
      <c r="C79" s="850">
        <v>1775</v>
      </c>
      <c r="D79" s="814">
        <f t="shared" si="11"/>
        <v>1.5919282511210762</v>
      </c>
    </row>
    <row r="80" spans="1:4">
      <c r="A80" s="808" t="s">
        <v>301</v>
      </c>
      <c r="B80" s="836">
        <v>1230</v>
      </c>
      <c r="C80" s="850">
        <v>1895</v>
      </c>
      <c r="D80" s="814">
        <f t="shared" si="11"/>
        <v>1.5406504065040652</v>
      </c>
    </row>
    <row r="81" spans="1:4">
      <c r="A81" s="815" t="s">
        <v>301</v>
      </c>
      <c r="B81" s="839">
        <v>1300</v>
      </c>
      <c r="C81" s="840">
        <v>1995</v>
      </c>
      <c r="D81" s="819">
        <f t="shared" si="11"/>
        <v>1.5346153846153847</v>
      </c>
    </row>
    <row r="82" spans="1:4" ht="14.5" thickBot="1">
      <c r="A82" s="820" t="s">
        <v>294</v>
      </c>
      <c r="B82" s="841">
        <f>AVERAGE(B76:B81)</f>
        <v>1214.1666666666667</v>
      </c>
      <c r="C82" s="842">
        <f>AVERAGE(C76:C81)</f>
        <v>1897.5</v>
      </c>
      <c r="D82" s="843">
        <f t="shared" si="11"/>
        <v>1.5628002745367191</v>
      </c>
    </row>
    <row r="83" spans="1:4" ht="4.5" customHeight="1">
      <c r="B83" s="863"/>
    </row>
    <row r="84" spans="1:4">
      <c r="A84" s="808" t="s">
        <v>319</v>
      </c>
      <c r="B84" s="836">
        <v>1625</v>
      </c>
      <c r="C84" s="850">
        <v>2875</v>
      </c>
      <c r="D84" s="814">
        <f>C84/B84</f>
        <v>1.7692307692307692</v>
      </c>
    </row>
    <row r="85" spans="1:4">
      <c r="A85" s="815" t="s">
        <v>319</v>
      </c>
      <c r="B85" s="839">
        <v>1590</v>
      </c>
      <c r="C85" s="840">
        <v>2895</v>
      </c>
      <c r="D85" s="819">
        <f>C85/B85</f>
        <v>1.820754716981132</v>
      </c>
    </row>
    <row r="86" spans="1:4" ht="14.5" thickBot="1">
      <c r="A86" s="820" t="s">
        <v>317</v>
      </c>
      <c r="B86" s="841">
        <f>AVERAGE(B84:B85)</f>
        <v>1607.5</v>
      </c>
      <c r="C86" s="842">
        <f>AVERAGE(C84:C85)</f>
        <v>2885</v>
      </c>
      <c r="D86" s="843">
        <f t="shared" ref="D86" si="12">C86/B86</f>
        <v>1.7947122861586313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9"/>
  <sheetViews>
    <sheetView zoomScale="85" zoomScaleNormal="85" workbookViewId="0"/>
  </sheetViews>
  <sheetFormatPr defaultColWidth="9.1796875" defaultRowHeight="14"/>
  <cols>
    <col min="1" max="1" width="37.1796875" style="791" customWidth="1"/>
    <col min="2" max="2" width="11.81640625" style="791" customWidth="1"/>
    <col min="3" max="5" width="14.1796875" style="791" customWidth="1"/>
    <col min="6" max="16384" width="9.1796875" style="791"/>
  </cols>
  <sheetData>
    <row r="1" spans="1:5">
      <c r="A1" s="787" t="s">
        <v>266</v>
      </c>
      <c r="B1" s="788"/>
      <c r="C1" s="789"/>
      <c r="D1" s="789"/>
      <c r="E1" s="790"/>
    </row>
    <row r="2" spans="1:5" ht="14.5" thickBot="1">
      <c r="A2" s="792" t="s">
        <v>267</v>
      </c>
      <c r="B2" s="793"/>
      <c r="C2" s="794"/>
      <c r="D2" s="794"/>
      <c r="E2" s="795"/>
    </row>
    <row r="3" spans="1:5">
      <c r="A3" s="796"/>
      <c r="B3" s="797" t="s">
        <v>268</v>
      </c>
      <c r="C3" s="798" t="s">
        <v>269</v>
      </c>
      <c r="D3" s="798" t="s">
        <v>270</v>
      </c>
      <c r="E3" s="799" t="s">
        <v>270</v>
      </c>
    </row>
    <row r="4" spans="1:5" ht="14.5" thickBot="1">
      <c r="A4" s="800" t="s">
        <v>271</v>
      </c>
      <c r="B4" s="801" t="s">
        <v>87</v>
      </c>
      <c r="C4" s="802" t="s">
        <v>88</v>
      </c>
      <c r="D4" s="802" t="s">
        <v>272</v>
      </c>
      <c r="E4" s="803" t="s">
        <v>273</v>
      </c>
    </row>
    <row r="5" spans="1:5">
      <c r="A5" s="804" t="s">
        <v>274</v>
      </c>
      <c r="B5" s="805"/>
      <c r="C5" s="806"/>
      <c r="D5" s="806"/>
      <c r="E5" s="807"/>
    </row>
    <row r="6" spans="1:5">
      <c r="A6" s="808" t="s">
        <v>275</v>
      </c>
      <c r="B6" s="809">
        <v>1</v>
      </c>
      <c r="C6" s="810">
        <f>'Condo Comparable Data'!C23</f>
        <v>1537</v>
      </c>
      <c r="D6" s="811">
        <f>'Condo Comparable Data'!D23</f>
        <v>329900</v>
      </c>
      <c r="E6" s="812">
        <f>D6/C6</f>
        <v>214.63890696161354</v>
      </c>
    </row>
    <row r="7" spans="1:5">
      <c r="A7" s="808" t="s">
        <v>276</v>
      </c>
      <c r="B7" s="809">
        <v>1</v>
      </c>
      <c r="C7" s="810">
        <f>'Condo Comparable Data'!C37</f>
        <v>771</v>
      </c>
      <c r="D7" s="813">
        <f>'Condo Comparable Data'!D37</f>
        <v>195000</v>
      </c>
      <c r="E7" s="814">
        <f t="shared" ref="E7:E12" si="0">D7/C7</f>
        <v>252.9182879377432</v>
      </c>
    </row>
    <row r="8" spans="1:5">
      <c r="A8" s="808" t="s">
        <v>277</v>
      </c>
      <c r="B8" s="809">
        <v>3</v>
      </c>
      <c r="C8" s="810">
        <f>'Condo Comparable Data'!C57</f>
        <v>949</v>
      </c>
      <c r="D8" s="813">
        <f>'Condo Comparable Data'!D57</f>
        <v>209000</v>
      </c>
      <c r="E8" s="814">
        <f t="shared" si="0"/>
        <v>220.23182297154901</v>
      </c>
    </row>
    <row r="9" spans="1:5">
      <c r="A9" s="808" t="s">
        <v>278</v>
      </c>
      <c r="B9" s="809">
        <v>1</v>
      </c>
      <c r="C9" s="810">
        <f>'Condo Comparable Data'!C66</f>
        <v>711</v>
      </c>
      <c r="D9" s="813">
        <f>'Condo Comparable Data'!D66</f>
        <v>179300</v>
      </c>
      <c r="E9" s="814">
        <f t="shared" si="0"/>
        <v>252.18002812939523</v>
      </c>
    </row>
    <row r="10" spans="1:5">
      <c r="A10" s="808" t="s">
        <v>279</v>
      </c>
      <c r="B10" s="809">
        <v>1</v>
      </c>
      <c r="C10" s="810">
        <f>'Condo Comparable Data'!C79</f>
        <v>2207</v>
      </c>
      <c r="D10" s="813">
        <f>'Condo Comparable Data'!D79</f>
        <v>860000</v>
      </c>
      <c r="E10" s="814">
        <f t="shared" si="0"/>
        <v>389.66923425464432</v>
      </c>
    </row>
    <row r="11" spans="1:5">
      <c r="A11" s="808" t="s">
        <v>280</v>
      </c>
      <c r="B11" s="809">
        <v>1</v>
      </c>
      <c r="C11" s="810">
        <f>'Condo Comparable Data'!C98</f>
        <v>785</v>
      </c>
      <c r="D11" s="813">
        <f>'Condo Comparable Data'!D98</f>
        <v>175000</v>
      </c>
      <c r="E11" s="814">
        <f t="shared" si="0"/>
        <v>222.9299363057325</v>
      </c>
    </row>
    <row r="12" spans="1:5">
      <c r="A12" s="815" t="s">
        <v>281</v>
      </c>
      <c r="B12" s="816">
        <v>2</v>
      </c>
      <c r="C12" s="817">
        <f>'Condo Comparable Data'!C113</f>
        <v>1069</v>
      </c>
      <c r="D12" s="818">
        <f>'Condo Comparable Data'!D113</f>
        <v>372450</v>
      </c>
      <c r="E12" s="819">
        <f t="shared" si="0"/>
        <v>348.40972871842843</v>
      </c>
    </row>
    <row r="13" spans="1:5" ht="14.5" thickBot="1">
      <c r="A13" s="820" t="s">
        <v>282</v>
      </c>
      <c r="B13" s="821"/>
      <c r="C13" s="822">
        <f>SUMPRODUCT(B$6:B$12,C6:C12)/SUM($B$6:$B$12)</f>
        <v>1099.5999999999999</v>
      </c>
      <c r="D13" s="823">
        <f>SUMPRODUCT(B$6:B$12,D6:D12)/SUM($B$6:$B$12)</f>
        <v>311110</v>
      </c>
      <c r="E13" s="824">
        <f>D13/C13</f>
        <v>282.9301564205166</v>
      </c>
    </row>
    <row r="14" spans="1:5" ht="4.5" customHeight="1">
      <c r="A14" s="808"/>
      <c r="B14" s="806"/>
      <c r="C14" s="806"/>
      <c r="D14" s="806"/>
      <c r="E14" s="807"/>
    </row>
    <row r="15" spans="1:5">
      <c r="A15" s="804" t="s">
        <v>283</v>
      </c>
      <c r="B15" s="805"/>
      <c r="C15" s="806"/>
      <c r="D15" s="806"/>
      <c r="E15" s="807"/>
    </row>
    <row r="16" spans="1:5">
      <c r="A16" s="808" t="s">
        <v>284</v>
      </c>
      <c r="B16" s="809">
        <v>1</v>
      </c>
      <c r="C16" s="810">
        <f>'Condo Comparable Data'!C5</f>
        <v>1832</v>
      </c>
      <c r="D16" s="811">
        <f>'Condo Comparable Data'!D5</f>
        <v>399900</v>
      </c>
      <c r="E16" s="812">
        <f>D16/C16</f>
        <v>218.28602620087335</v>
      </c>
    </row>
    <row r="17" spans="1:5">
      <c r="A17" s="808" t="s">
        <v>285</v>
      </c>
      <c r="B17" s="809">
        <v>1</v>
      </c>
      <c r="C17" s="810">
        <f>'Condo Comparable Data'!C11</f>
        <v>1222</v>
      </c>
      <c r="D17" s="813">
        <f>'Condo Comparable Data'!D11</f>
        <v>285000</v>
      </c>
      <c r="E17" s="814">
        <f t="shared" ref="E17:E30" si="1">D17/C17</f>
        <v>233.22422258592471</v>
      </c>
    </row>
    <row r="18" spans="1:5">
      <c r="A18" s="808" t="s">
        <v>286</v>
      </c>
      <c r="B18" s="809">
        <v>1</v>
      </c>
      <c r="C18" s="810">
        <f>'Condo Comparable Data'!C17</f>
        <v>1724</v>
      </c>
      <c r="D18" s="813">
        <f>'Condo Comparable Data'!D17</f>
        <v>374900</v>
      </c>
      <c r="E18" s="814">
        <f t="shared" si="1"/>
        <v>217.45939675174014</v>
      </c>
    </row>
    <row r="19" spans="1:5">
      <c r="A19" s="808" t="s">
        <v>287</v>
      </c>
      <c r="B19" s="809">
        <v>2</v>
      </c>
      <c r="C19" s="810">
        <f>'Condo Comparable Data'!C31</f>
        <v>1339.5</v>
      </c>
      <c r="D19" s="813">
        <f>'Condo Comparable Data'!D31</f>
        <v>332400</v>
      </c>
      <c r="E19" s="814">
        <f t="shared" si="1"/>
        <v>248.15229563269878</v>
      </c>
    </row>
    <row r="20" spans="1:5">
      <c r="A20" s="808" t="s">
        <v>276</v>
      </c>
      <c r="B20" s="809">
        <v>1</v>
      </c>
      <c r="C20" s="810">
        <f>'Condo Comparable Data'!C38</f>
        <v>1307</v>
      </c>
      <c r="D20" s="813">
        <f>'Condo Comparable Data'!D38</f>
        <v>350000</v>
      </c>
      <c r="E20" s="814">
        <f t="shared" si="1"/>
        <v>267.78882938026015</v>
      </c>
    </row>
    <row r="21" spans="1:5">
      <c r="A21" s="808" t="s">
        <v>288</v>
      </c>
      <c r="B21" s="809">
        <v>4</v>
      </c>
      <c r="C21" s="810">
        <f>'Condo Comparable Data'!C48</f>
        <v>1945.25</v>
      </c>
      <c r="D21" s="813">
        <f>'Condo Comparable Data'!D48</f>
        <v>483200</v>
      </c>
      <c r="E21" s="814">
        <f t="shared" si="1"/>
        <v>248.39994859272588</v>
      </c>
    </row>
    <row r="22" spans="1:5">
      <c r="A22" s="808" t="s">
        <v>277</v>
      </c>
      <c r="B22" s="809">
        <v>1</v>
      </c>
      <c r="C22" s="810">
        <f>'Condo Comparable Data'!C59</f>
        <v>1566</v>
      </c>
      <c r="D22" s="813">
        <f>'Condo Comparable Data'!D59</f>
        <v>340000</v>
      </c>
      <c r="E22" s="814">
        <f t="shared" si="1"/>
        <v>217.11366538952745</v>
      </c>
    </row>
    <row r="23" spans="1:5">
      <c r="A23" s="808" t="s">
        <v>278</v>
      </c>
      <c r="B23" s="809">
        <v>1</v>
      </c>
      <c r="C23" s="810">
        <f>'Condo Comparable Data'!C67</f>
        <v>1069</v>
      </c>
      <c r="D23" s="813">
        <f>'Condo Comparable Data'!D67</f>
        <v>279900</v>
      </c>
      <c r="E23" s="814">
        <f t="shared" si="1"/>
        <v>261.8334892422825</v>
      </c>
    </row>
    <row r="24" spans="1:5">
      <c r="A24" s="808" t="s">
        <v>289</v>
      </c>
      <c r="B24" s="809">
        <v>1</v>
      </c>
      <c r="C24" s="810">
        <f>'Condo Comparable Data'!C73</f>
        <v>2315</v>
      </c>
      <c r="D24" s="813">
        <f>'Condo Comparable Data'!D73</f>
        <v>599900</v>
      </c>
      <c r="E24" s="814">
        <f t="shared" si="1"/>
        <v>259.13606911447084</v>
      </c>
    </row>
    <row r="25" spans="1:5">
      <c r="A25" s="808" t="s">
        <v>279</v>
      </c>
      <c r="B25" s="809">
        <v>5</v>
      </c>
      <c r="C25" s="810">
        <f>'Condo Comparable Data'!C86</f>
        <v>1955.8</v>
      </c>
      <c r="D25" s="813">
        <f>'Condo Comparable Data'!D86</f>
        <v>617800</v>
      </c>
      <c r="E25" s="814">
        <f t="shared" si="1"/>
        <v>315.88096942427654</v>
      </c>
    </row>
    <row r="26" spans="1:5">
      <c r="A26" s="808" t="s">
        <v>290</v>
      </c>
      <c r="B26" s="809">
        <v>1</v>
      </c>
      <c r="C26" s="810">
        <f>'Condo Comparable Data'!C92</f>
        <v>2010</v>
      </c>
      <c r="D26" s="813">
        <f>'Condo Comparable Data'!D92</f>
        <v>529900</v>
      </c>
      <c r="E26" s="814">
        <f t="shared" si="1"/>
        <v>263.6318407960199</v>
      </c>
    </row>
    <row r="27" spans="1:5">
      <c r="A27" s="808" t="s">
        <v>280</v>
      </c>
      <c r="B27" s="809">
        <v>3</v>
      </c>
      <c r="C27" s="810">
        <f>'Condo Comparable Data'!C103</f>
        <v>1106.6666666666667</v>
      </c>
      <c r="D27" s="813">
        <f>'Condo Comparable Data'!D103</f>
        <v>285300</v>
      </c>
      <c r="E27" s="814">
        <f t="shared" si="1"/>
        <v>257.80120481927707</v>
      </c>
    </row>
    <row r="28" spans="1:5">
      <c r="A28" s="808" t="s">
        <v>291</v>
      </c>
      <c r="B28" s="809">
        <v>1</v>
      </c>
      <c r="C28" s="810">
        <f>'Condo Comparable Data'!C115</f>
        <v>2282</v>
      </c>
      <c r="D28" s="813">
        <f>'Condo Comparable Data'!D115</f>
        <v>1050000</v>
      </c>
      <c r="E28" s="814">
        <f t="shared" si="1"/>
        <v>460.12269938650309</v>
      </c>
    </row>
    <row r="29" spans="1:5">
      <c r="A29" s="808" t="s">
        <v>292</v>
      </c>
      <c r="B29" s="809">
        <v>2</v>
      </c>
      <c r="C29" s="810">
        <f>'Condo Comparable Data'!C124</f>
        <v>1785</v>
      </c>
      <c r="D29" s="813">
        <f>'Condo Comparable Data'!D124</f>
        <v>369900</v>
      </c>
      <c r="E29" s="814">
        <f t="shared" si="1"/>
        <v>207.22689075630251</v>
      </c>
    </row>
    <row r="30" spans="1:5">
      <c r="A30" s="815" t="s">
        <v>293</v>
      </c>
      <c r="B30" s="816">
        <v>3</v>
      </c>
      <c r="C30" s="817">
        <f>'Condo Comparable Data'!C139</f>
        <v>2281.3333333333335</v>
      </c>
      <c r="D30" s="818">
        <f>'Condo Comparable Data'!D139</f>
        <v>958600</v>
      </c>
      <c r="E30" s="819">
        <f t="shared" si="1"/>
        <v>420.19286966686144</v>
      </c>
    </row>
    <row r="31" spans="1:5" ht="14.5" thickBot="1">
      <c r="A31" s="820" t="s">
        <v>294</v>
      </c>
      <c r="B31" s="821"/>
      <c r="C31" s="822">
        <f>SUMPRODUCT($B$16:$B$30,C16:C30)/SUM(B16:B30)</f>
        <v>1760.7142857142858</v>
      </c>
      <c r="D31" s="822">
        <f>SUMPRODUCT($B$16:$B$30,D16:D30)/SUM($B$16:$B$30)</f>
        <v>513128.57142857142</v>
      </c>
      <c r="E31" s="824">
        <f>D31/C31</f>
        <v>291.43204868154157</v>
      </c>
    </row>
    <row r="32" spans="1:5" ht="4.5" customHeight="1">
      <c r="A32" s="808"/>
      <c r="B32" s="806"/>
      <c r="C32" s="806"/>
      <c r="D32" s="806"/>
      <c r="E32" s="807"/>
    </row>
    <row r="33" spans="1:5">
      <c r="A33" s="804" t="s">
        <v>295</v>
      </c>
      <c r="B33" s="805"/>
      <c r="C33" s="806"/>
      <c r="D33" s="806"/>
      <c r="E33" s="807"/>
    </row>
    <row r="34" spans="1:5">
      <c r="A34" s="808" t="s">
        <v>277</v>
      </c>
      <c r="B34" s="809">
        <v>1</v>
      </c>
      <c r="C34" s="810">
        <f>'Condo Comparable Data'!C60</f>
        <v>1937</v>
      </c>
      <c r="D34" s="811">
        <f>'Condo Comparable Data'!D60</f>
        <v>849000</v>
      </c>
      <c r="E34" s="812">
        <f t="shared" ref="E34:E38" si="2">D34/C34</f>
        <v>438.30665978316983</v>
      </c>
    </row>
    <row r="35" spans="1:5">
      <c r="A35" s="808" t="s">
        <v>280</v>
      </c>
      <c r="B35" s="809">
        <v>1</v>
      </c>
      <c r="C35" s="810">
        <f>'Condo Comparable Data'!C105</f>
        <v>2575</v>
      </c>
      <c r="D35" s="813">
        <f>'Condo Comparable Data'!D105</f>
        <v>769000</v>
      </c>
      <c r="E35" s="814">
        <f t="shared" si="2"/>
        <v>298.64077669902912</v>
      </c>
    </row>
    <row r="36" spans="1:5">
      <c r="A36" s="808" t="s">
        <v>291</v>
      </c>
      <c r="B36" s="809">
        <v>1</v>
      </c>
      <c r="C36" s="810">
        <f>'Condo Comparable Data'!C116</f>
        <v>1791</v>
      </c>
      <c r="D36" s="813">
        <f>'Condo Comparable Data'!D116</f>
        <v>789900</v>
      </c>
      <c r="E36" s="814">
        <f t="shared" si="2"/>
        <v>441.03852596314908</v>
      </c>
    </row>
    <row r="37" spans="1:5">
      <c r="A37" s="808" t="s">
        <v>296</v>
      </c>
      <c r="B37" s="809">
        <v>1</v>
      </c>
      <c r="C37" s="810">
        <f>'Condo Comparable Data'!C130</f>
        <v>2639</v>
      </c>
      <c r="D37" s="813">
        <f>'Condo Comparable Data'!D130</f>
        <v>1350000</v>
      </c>
      <c r="E37" s="814">
        <f t="shared" si="2"/>
        <v>511.55740810913227</v>
      </c>
    </row>
    <row r="38" spans="1:5">
      <c r="A38" s="815" t="s">
        <v>293</v>
      </c>
      <c r="B38" s="816">
        <v>1</v>
      </c>
      <c r="C38" s="817">
        <f>'Condo Comparable Data'!C141</f>
        <v>1970</v>
      </c>
      <c r="D38" s="818">
        <f>'Condo Comparable Data'!D141</f>
        <v>899900</v>
      </c>
      <c r="E38" s="819">
        <f t="shared" si="2"/>
        <v>456.80203045685278</v>
      </c>
    </row>
    <row r="39" spans="1:5" ht="14.5" thickBot="1">
      <c r="A39" s="820" t="s">
        <v>297</v>
      </c>
      <c r="B39" s="821"/>
      <c r="C39" s="822">
        <f>AVERAGE(C34:C38)</f>
        <v>2182.4</v>
      </c>
      <c r="D39" s="825">
        <f>AVERAGE(D34:D38)</f>
        <v>931560</v>
      </c>
      <c r="E39" s="824">
        <f>D39/C39</f>
        <v>426.85117302052782</v>
      </c>
    </row>
  </sheetData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41"/>
  <sheetViews>
    <sheetView zoomScale="85" zoomScaleNormal="85" workbookViewId="0"/>
  </sheetViews>
  <sheetFormatPr defaultColWidth="9.1796875" defaultRowHeight="14"/>
  <cols>
    <col min="1" max="1" width="22.7265625" style="791" customWidth="1"/>
    <col min="2" max="3" width="14.453125" style="791" customWidth="1"/>
    <col min="4" max="5" width="18.1796875" style="791" customWidth="1"/>
    <col min="6" max="16384" width="9.1796875" style="791"/>
  </cols>
  <sheetData>
    <row r="1" spans="1:5">
      <c r="A1" s="787" t="s">
        <v>266</v>
      </c>
      <c r="B1" s="788"/>
      <c r="C1" s="788"/>
      <c r="D1" s="788"/>
      <c r="E1" s="826"/>
    </row>
    <row r="2" spans="1:5" ht="15" customHeight="1" thickBot="1">
      <c r="A2" s="792" t="s">
        <v>284</v>
      </c>
      <c r="B2" s="793"/>
      <c r="C2" s="793"/>
      <c r="D2" s="793"/>
      <c r="E2" s="827"/>
    </row>
    <row r="3" spans="1:5" ht="15" customHeight="1">
      <c r="A3" s="828"/>
      <c r="B3" s="798" t="s">
        <v>298</v>
      </c>
      <c r="C3" s="798" t="s">
        <v>269</v>
      </c>
      <c r="D3" s="798" t="s">
        <v>270</v>
      </c>
      <c r="E3" s="799" t="s">
        <v>270</v>
      </c>
    </row>
    <row r="4" spans="1:5" ht="14.5" thickBot="1">
      <c r="A4" s="829" t="s">
        <v>299</v>
      </c>
      <c r="B4" s="802" t="s">
        <v>300</v>
      </c>
      <c r="C4" s="802" t="s">
        <v>88</v>
      </c>
      <c r="D4" s="802" t="s">
        <v>272</v>
      </c>
      <c r="E4" s="803" t="s">
        <v>273</v>
      </c>
    </row>
    <row r="5" spans="1:5" ht="14.5" thickBot="1">
      <c r="A5" s="830" t="s">
        <v>301</v>
      </c>
      <c r="B5" s="831">
        <v>2005</v>
      </c>
      <c r="C5" s="832">
        <v>1832</v>
      </c>
      <c r="D5" s="833">
        <v>399900</v>
      </c>
      <c r="E5" s="834">
        <f>D5/C5</f>
        <v>218.28602620087335</v>
      </c>
    </row>
    <row r="6" spans="1:5" ht="14.5" thickBot="1"/>
    <row r="7" spans="1:5">
      <c r="A7" s="787" t="s">
        <v>266</v>
      </c>
      <c r="B7" s="788"/>
      <c r="C7" s="788"/>
      <c r="D7" s="788"/>
      <c r="E7" s="826"/>
    </row>
    <row r="8" spans="1:5" ht="15" customHeight="1" thickBot="1">
      <c r="A8" s="792" t="s">
        <v>285</v>
      </c>
      <c r="B8" s="793"/>
      <c r="C8" s="793"/>
      <c r="D8" s="793"/>
      <c r="E8" s="827"/>
    </row>
    <row r="9" spans="1:5" ht="15" customHeight="1">
      <c r="A9" s="828"/>
      <c r="B9" s="798" t="s">
        <v>298</v>
      </c>
      <c r="C9" s="798" t="s">
        <v>269</v>
      </c>
      <c r="D9" s="798" t="s">
        <v>270</v>
      </c>
      <c r="E9" s="799" t="s">
        <v>270</v>
      </c>
    </row>
    <row r="10" spans="1:5" ht="14.5" thickBot="1">
      <c r="A10" s="829" t="s">
        <v>299</v>
      </c>
      <c r="B10" s="802" t="s">
        <v>300</v>
      </c>
      <c r="C10" s="802" t="s">
        <v>88</v>
      </c>
      <c r="D10" s="802" t="s">
        <v>272</v>
      </c>
      <c r="E10" s="803" t="s">
        <v>273</v>
      </c>
    </row>
    <row r="11" spans="1:5" ht="14.5" thickBot="1">
      <c r="A11" s="830" t="s">
        <v>301</v>
      </c>
      <c r="B11" s="831">
        <v>2006</v>
      </c>
      <c r="C11" s="832">
        <v>1222</v>
      </c>
      <c r="D11" s="833">
        <v>285000</v>
      </c>
      <c r="E11" s="834">
        <f>D11/C11</f>
        <v>233.22422258592471</v>
      </c>
    </row>
    <row r="12" spans="1:5" ht="16.5" customHeight="1" thickBot="1">
      <c r="A12" s="808"/>
      <c r="B12" s="835"/>
      <c r="C12" s="836"/>
      <c r="D12" s="837"/>
      <c r="E12" s="812"/>
    </row>
    <row r="13" spans="1:5">
      <c r="A13" s="787" t="s">
        <v>266</v>
      </c>
      <c r="B13" s="788"/>
      <c r="C13" s="788"/>
      <c r="D13" s="788"/>
      <c r="E13" s="826"/>
    </row>
    <row r="14" spans="1:5" ht="15" customHeight="1" thickBot="1">
      <c r="A14" s="792" t="s">
        <v>286</v>
      </c>
      <c r="B14" s="793"/>
      <c r="C14" s="793"/>
      <c r="D14" s="793"/>
      <c r="E14" s="827"/>
    </row>
    <row r="15" spans="1:5" ht="15" customHeight="1">
      <c r="A15" s="828"/>
      <c r="B15" s="798" t="s">
        <v>298</v>
      </c>
      <c r="C15" s="798" t="s">
        <v>269</v>
      </c>
      <c r="D15" s="798" t="s">
        <v>270</v>
      </c>
      <c r="E15" s="799" t="s">
        <v>270</v>
      </c>
    </row>
    <row r="16" spans="1:5" ht="14.5" thickBot="1">
      <c r="A16" s="829" t="s">
        <v>299</v>
      </c>
      <c r="B16" s="802" t="s">
        <v>300</v>
      </c>
      <c r="C16" s="802" t="s">
        <v>88</v>
      </c>
      <c r="D16" s="802" t="s">
        <v>272</v>
      </c>
      <c r="E16" s="803" t="s">
        <v>273</v>
      </c>
    </row>
    <row r="17" spans="1:5" ht="14.5" thickBot="1">
      <c r="A17" s="830" t="s">
        <v>301</v>
      </c>
      <c r="B17" s="831">
        <v>2005</v>
      </c>
      <c r="C17" s="832">
        <v>1724</v>
      </c>
      <c r="D17" s="833">
        <v>374900</v>
      </c>
      <c r="E17" s="834">
        <f>D17/C17</f>
        <v>217.45939675174014</v>
      </c>
    </row>
    <row r="18" spans="1:5" ht="14.5" thickBot="1">
      <c r="A18" s="808"/>
      <c r="B18" s="835"/>
      <c r="C18" s="836"/>
      <c r="D18" s="837"/>
      <c r="E18" s="812"/>
    </row>
    <row r="19" spans="1:5">
      <c r="A19" s="787" t="s">
        <v>266</v>
      </c>
      <c r="B19" s="788"/>
      <c r="C19" s="788"/>
      <c r="D19" s="788"/>
      <c r="E19" s="826"/>
    </row>
    <row r="20" spans="1:5" ht="15" customHeight="1" thickBot="1">
      <c r="A20" s="792" t="s">
        <v>275</v>
      </c>
      <c r="B20" s="793"/>
      <c r="C20" s="793"/>
      <c r="D20" s="793"/>
      <c r="E20" s="827"/>
    </row>
    <row r="21" spans="1:5" ht="15" customHeight="1">
      <c r="A21" s="828"/>
      <c r="B21" s="798" t="s">
        <v>298</v>
      </c>
      <c r="C21" s="798" t="s">
        <v>269</v>
      </c>
      <c r="D21" s="798" t="s">
        <v>270</v>
      </c>
      <c r="E21" s="799" t="s">
        <v>270</v>
      </c>
    </row>
    <row r="22" spans="1:5" ht="14.5" thickBot="1">
      <c r="A22" s="829" t="s">
        <v>299</v>
      </c>
      <c r="B22" s="802" t="s">
        <v>300</v>
      </c>
      <c r="C22" s="802" t="s">
        <v>88</v>
      </c>
      <c r="D22" s="802" t="s">
        <v>272</v>
      </c>
      <c r="E22" s="803" t="s">
        <v>273</v>
      </c>
    </row>
    <row r="23" spans="1:5" ht="14.5" thickBot="1">
      <c r="A23" s="830" t="s">
        <v>302</v>
      </c>
      <c r="B23" s="831">
        <v>2003</v>
      </c>
      <c r="C23" s="832">
        <v>1537</v>
      </c>
      <c r="D23" s="833">
        <v>329900</v>
      </c>
      <c r="E23" s="834">
        <f>D23/C23</f>
        <v>214.63890696161354</v>
      </c>
    </row>
    <row r="24" spans="1:5" ht="14.5" thickBot="1">
      <c r="A24" s="808"/>
      <c r="B24" s="835"/>
      <c r="C24" s="836"/>
      <c r="D24" s="837"/>
      <c r="E24" s="812"/>
    </row>
    <row r="25" spans="1:5">
      <c r="A25" s="787" t="s">
        <v>266</v>
      </c>
      <c r="B25" s="788"/>
      <c r="C25" s="788"/>
      <c r="D25" s="788"/>
      <c r="E25" s="826"/>
    </row>
    <row r="26" spans="1:5" ht="14.5" thickBot="1">
      <c r="A26" s="792" t="s">
        <v>287</v>
      </c>
      <c r="B26" s="793"/>
      <c r="C26" s="793"/>
      <c r="D26" s="793"/>
      <c r="E26" s="827"/>
    </row>
    <row r="27" spans="1:5">
      <c r="A27" s="828"/>
      <c r="B27" s="798" t="s">
        <v>298</v>
      </c>
      <c r="C27" s="798" t="s">
        <v>269</v>
      </c>
      <c r="D27" s="798" t="s">
        <v>270</v>
      </c>
      <c r="E27" s="799" t="s">
        <v>270</v>
      </c>
    </row>
    <row r="28" spans="1:5" ht="14.5" thickBot="1">
      <c r="A28" s="829" t="s">
        <v>299</v>
      </c>
      <c r="B28" s="802" t="s">
        <v>300</v>
      </c>
      <c r="C28" s="802" t="s">
        <v>88</v>
      </c>
      <c r="D28" s="802" t="s">
        <v>272</v>
      </c>
      <c r="E28" s="803" t="s">
        <v>273</v>
      </c>
    </row>
    <row r="29" spans="1:5">
      <c r="A29" s="808" t="s">
        <v>301</v>
      </c>
      <c r="B29" s="835">
        <v>2005</v>
      </c>
      <c r="C29" s="836">
        <v>1481</v>
      </c>
      <c r="D29" s="837">
        <v>384900</v>
      </c>
      <c r="E29" s="812">
        <f>D29/C29</f>
        <v>259.8919648885888</v>
      </c>
    </row>
    <row r="30" spans="1:5">
      <c r="A30" s="815" t="s">
        <v>301</v>
      </c>
      <c r="B30" s="838">
        <v>2005</v>
      </c>
      <c r="C30" s="839">
        <v>1198</v>
      </c>
      <c r="D30" s="840">
        <v>279900</v>
      </c>
      <c r="E30" s="819">
        <f>D30/C30</f>
        <v>233.63939899833056</v>
      </c>
    </row>
    <row r="31" spans="1:5" ht="14.5" thickBot="1">
      <c r="A31" s="820" t="s">
        <v>294</v>
      </c>
      <c r="B31" s="841"/>
      <c r="C31" s="841">
        <f>AVERAGE(C29:C30)</f>
        <v>1339.5</v>
      </c>
      <c r="D31" s="842">
        <f>AVERAGE(D29:D30)</f>
        <v>332400</v>
      </c>
      <c r="E31" s="843">
        <f t="shared" ref="E31" si="0">D31/C31</f>
        <v>248.15229563269878</v>
      </c>
    </row>
    <row r="32" spans="1:5" ht="14.5" thickBot="1"/>
    <row r="33" spans="1:5">
      <c r="A33" s="787" t="s">
        <v>266</v>
      </c>
      <c r="B33" s="788"/>
      <c r="C33" s="788"/>
      <c r="D33" s="788"/>
      <c r="E33" s="826"/>
    </row>
    <row r="34" spans="1:5" ht="15" customHeight="1" thickBot="1">
      <c r="A34" s="792" t="s">
        <v>276</v>
      </c>
      <c r="B34" s="793"/>
      <c r="C34" s="793"/>
      <c r="D34" s="793"/>
      <c r="E34" s="827"/>
    </row>
    <row r="35" spans="1:5" ht="15" customHeight="1">
      <c r="A35" s="828"/>
      <c r="B35" s="798" t="s">
        <v>298</v>
      </c>
      <c r="C35" s="798" t="s">
        <v>269</v>
      </c>
      <c r="D35" s="798" t="s">
        <v>270</v>
      </c>
      <c r="E35" s="799" t="s">
        <v>270</v>
      </c>
    </row>
    <row r="36" spans="1:5" ht="14.5" thickBot="1">
      <c r="A36" s="829" t="s">
        <v>299</v>
      </c>
      <c r="B36" s="802" t="s">
        <v>300</v>
      </c>
      <c r="C36" s="802" t="s">
        <v>88</v>
      </c>
      <c r="D36" s="802" t="s">
        <v>272</v>
      </c>
      <c r="E36" s="803" t="s">
        <v>273</v>
      </c>
    </row>
    <row r="37" spans="1:5">
      <c r="A37" s="796" t="s">
        <v>302</v>
      </c>
      <c r="B37" s="844">
        <v>2007</v>
      </c>
      <c r="C37" s="845">
        <v>771</v>
      </c>
      <c r="D37" s="846">
        <v>195000</v>
      </c>
      <c r="E37" s="847">
        <f>D37/C37</f>
        <v>252.9182879377432</v>
      </c>
    </row>
    <row r="38" spans="1:5" ht="14.5" thickBot="1">
      <c r="A38" s="830" t="s">
        <v>301</v>
      </c>
      <c r="B38" s="831">
        <v>2007</v>
      </c>
      <c r="C38" s="832">
        <v>1307</v>
      </c>
      <c r="D38" s="848">
        <v>350000</v>
      </c>
      <c r="E38" s="849">
        <f>D38/C38</f>
        <v>267.78882938026015</v>
      </c>
    </row>
    <row r="39" spans="1:5" ht="14.5" thickBot="1">
      <c r="A39" s="808"/>
      <c r="B39" s="835"/>
      <c r="C39" s="836"/>
      <c r="D39" s="837"/>
      <c r="E39" s="812"/>
    </row>
    <row r="40" spans="1:5">
      <c r="A40" s="787" t="s">
        <v>303</v>
      </c>
      <c r="B40" s="788"/>
      <c r="C40" s="788"/>
      <c r="D40" s="788"/>
      <c r="E40" s="826"/>
    </row>
    <row r="41" spans="1:5" ht="14.5" thickBot="1">
      <c r="A41" s="792" t="s">
        <v>288</v>
      </c>
      <c r="B41" s="793"/>
      <c r="C41" s="793"/>
      <c r="D41" s="793"/>
      <c r="E41" s="827"/>
    </row>
    <row r="42" spans="1:5">
      <c r="A42" s="828"/>
      <c r="B42" s="798" t="s">
        <v>298</v>
      </c>
      <c r="C42" s="798" t="s">
        <v>269</v>
      </c>
      <c r="D42" s="798" t="s">
        <v>270</v>
      </c>
      <c r="E42" s="799" t="s">
        <v>270</v>
      </c>
    </row>
    <row r="43" spans="1:5" ht="14.5" thickBot="1">
      <c r="A43" s="829" t="s">
        <v>299</v>
      </c>
      <c r="B43" s="802" t="s">
        <v>300</v>
      </c>
      <c r="C43" s="802" t="s">
        <v>88</v>
      </c>
      <c r="D43" s="802" t="s">
        <v>272</v>
      </c>
      <c r="E43" s="803" t="s">
        <v>273</v>
      </c>
    </row>
    <row r="44" spans="1:5">
      <c r="A44" s="808" t="s">
        <v>301</v>
      </c>
      <c r="B44" s="835">
        <v>2013</v>
      </c>
      <c r="C44" s="836">
        <v>2763</v>
      </c>
      <c r="D44" s="837">
        <v>579900</v>
      </c>
      <c r="E44" s="812">
        <f t="shared" ref="E44:E48" si="1">D44/C44</f>
        <v>209.88056460369165</v>
      </c>
    </row>
    <row r="45" spans="1:5">
      <c r="A45" s="808" t="s">
        <v>301</v>
      </c>
      <c r="B45" s="835">
        <v>2010</v>
      </c>
      <c r="C45" s="836">
        <v>1913</v>
      </c>
      <c r="D45" s="850">
        <v>549000</v>
      </c>
      <c r="E45" s="814">
        <f t="shared" si="1"/>
        <v>286.98379508625197</v>
      </c>
    </row>
    <row r="46" spans="1:5">
      <c r="A46" s="808" t="s">
        <v>301</v>
      </c>
      <c r="B46" s="835">
        <v>2006</v>
      </c>
      <c r="C46" s="836">
        <v>1637</v>
      </c>
      <c r="D46" s="850">
        <v>464900</v>
      </c>
      <c r="E46" s="814">
        <f t="shared" si="1"/>
        <v>283.99511301160658</v>
      </c>
    </row>
    <row r="47" spans="1:5">
      <c r="A47" s="815" t="s">
        <v>301</v>
      </c>
      <c r="B47" s="838">
        <v>2006</v>
      </c>
      <c r="C47" s="839">
        <v>1468</v>
      </c>
      <c r="D47" s="840">
        <v>339000</v>
      </c>
      <c r="E47" s="819">
        <f t="shared" si="1"/>
        <v>230.92643051771117</v>
      </c>
    </row>
    <row r="48" spans="1:5" ht="14.5" thickBot="1">
      <c r="A48" s="820" t="s">
        <v>294</v>
      </c>
      <c r="B48" s="841"/>
      <c r="C48" s="841">
        <f>AVERAGE(C44:C47)</f>
        <v>1945.25</v>
      </c>
      <c r="D48" s="842">
        <f>AVERAGE(D44:D47)</f>
        <v>483200</v>
      </c>
      <c r="E48" s="843">
        <f t="shared" si="1"/>
        <v>248.39994859272588</v>
      </c>
    </row>
    <row r="49" spans="1:6" ht="14.5" thickBot="1">
      <c r="A49" s="808"/>
      <c r="B49" s="835"/>
      <c r="C49" s="836"/>
      <c r="D49" s="837"/>
      <c r="E49" s="812"/>
    </row>
    <row r="50" spans="1:6">
      <c r="A50" s="787" t="s">
        <v>303</v>
      </c>
      <c r="B50" s="788"/>
      <c r="C50" s="788"/>
      <c r="D50" s="788"/>
      <c r="E50" s="826"/>
    </row>
    <row r="51" spans="1:6" ht="14.5" thickBot="1">
      <c r="A51" s="792" t="s">
        <v>277</v>
      </c>
      <c r="B51" s="793"/>
      <c r="C51" s="793"/>
      <c r="D51" s="793"/>
      <c r="E51" s="827"/>
    </row>
    <row r="52" spans="1:6">
      <c r="A52" s="828"/>
      <c r="B52" s="798" t="s">
        <v>298</v>
      </c>
      <c r="C52" s="798" t="s">
        <v>269</v>
      </c>
      <c r="D52" s="798" t="s">
        <v>270</v>
      </c>
      <c r="E52" s="799" t="s">
        <v>270</v>
      </c>
    </row>
    <row r="53" spans="1:6" ht="14.5" thickBot="1">
      <c r="A53" s="829" t="s">
        <v>299</v>
      </c>
      <c r="B53" s="802" t="s">
        <v>300</v>
      </c>
      <c r="C53" s="802" t="s">
        <v>88</v>
      </c>
      <c r="D53" s="802" t="s">
        <v>272</v>
      </c>
      <c r="E53" s="803" t="s">
        <v>273</v>
      </c>
    </row>
    <row r="54" spans="1:6">
      <c r="A54" s="808" t="s">
        <v>302</v>
      </c>
      <c r="B54" s="835">
        <v>2004</v>
      </c>
      <c r="C54" s="836">
        <v>1009</v>
      </c>
      <c r="D54" s="837">
        <v>215000</v>
      </c>
      <c r="E54" s="812">
        <f>D54/C54</f>
        <v>213.08225966303272</v>
      </c>
    </row>
    <row r="55" spans="1:6">
      <c r="A55" s="808" t="s">
        <v>302</v>
      </c>
      <c r="B55" s="835">
        <v>2004</v>
      </c>
      <c r="C55" s="836">
        <v>853</v>
      </c>
      <c r="D55" s="850">
        <v>213000</v>
      </c>
      <c r="E55" s="814">
        <f>D55/C55</f>
        <v>249.70691676436107</v>
      </c>
    </row>
    <row r="56" spans="1:6">
      <c r="A56" s="815" t="s">
        <v>302</v>
      </c>
      <c r="B56" s="838">
        <v>2004</v>
      </c>
      <c r="C56" s="839">
        <v>985</v>
      </c>
      <c r="D56" s="840">
        <v>199000</v>
      </c>
      <c r="E56" s="819">
        <f>D56/C56</f>
        <v>202.03045685279187</v>
      </c>
    </row>
    <row r="57" spans="1:6" ht="14.5" thickBot="1">
      <c r="A57" s="820" t="s">
        <v>282</v>
      </c>
      <c r="B57" s="841"/>
      <c r="C57" s="841">
        <f>AVERAGE(C54:C56)</f>
        <v>949</v>
      </c>
      <c r="D57" s="842">
        <f>AVERAGE(D54:D56)</f>
        <v>209000</v>
      </c>
      <c r="E57" s="843">
        <f t="shared" ref="E57" si="2">D57/C57</f>
        <v>220.23182297154901</v>
      </c>
    </row>
    <row r="58" spans="1:6" ht="4.5" customHeight="1">
      <c r="A58" s="808"/>
      <c r="B58" s="851"/>
      <c r="C58" s="851"/>
      <c r="D58" s="806"/>
      <c r="E58" s="807"/>
    </row>
    <row r="59" spans="1:6">
      <c r="A59" s="808" t="s">
        <v>301</v>
      </c>
      <c r="B59" s="835">
        <v>2004</v>
      </c>
      <c r="C59" s="836">
        <v>1566</v>
      </c>
      <c r="D59" s="837">
        <v>340000</v>
      </c>
      <c r="E59" s="812">
        <f>D59/C59</f>
        <v>217.11366538952745</v>
      </c>
    </row>
    <row r="60" spans="1:6" ht="14.5" thickBot="1">
      <c r="A60" s="830" t="s">
        <v>304</v>
      </c>
      <c r="B60" s="831">
        <v>2004</v>
      </c>
      <c r="C60" s="832">
        <v>1937</v>
      </c>
      <c r="D60" s="848">
        <v>849000</v>
      </c>
      <c r="E60" s="849">
        <f>D60/C60</f>
        <v>438.30665978316983</v>
      </c>
      <c r="F60" s="791" t="s">
        <v>305</v>
      </c>
    </row>
    <row r="61" spans="1:6" ht="14.5" thickBot="1"/>
    <row r="62" spans="1:6">
      <c r="A62" s="787" t="s">
        <v>266</v>
      </c>
      <c r="B62" s="788"/>
      <c r="C62" s="788"/>
      <c r="D62" s="788"/>
      <c r="E62" s="826"/>
    </row>
    <row r="63" spans="1:6" ht="14.5" thickBot="1">
      <c r="A63" s="792" t="s">
        <v>278</v>
      </c>
      <c r="B63" s="793"/>
      <c r="C63" s="793"/>
      <c r="D63" s="793"/>
      <c r="E63" s="827"/>
    </row>
    <row r="64" spans="1:6">
      <c r="A64" s="828"/>
      <c r="B64" s="798" t="s">
        <v>298</v>
      </c>
      <c r="C64" s="798" t="s">
        <v>269</v>
      </c>
      <c r="D64" s="798" t="s">
        <v>270</v>
      </c>
      <c r="E64" s="799" t="s">
        <v>270</v>
      </c>
    </row>
    <row r="65" spans="1:5" ht="14.5" thickBot="1">
      <c r="A65" s="829" t="s">
        <v>299</v>
      </c>
      <c r="B65" s="802" t="s">
        <v>300</v>
      </c>
      <c r="C65" s="802" t="s">
        <v>88</v>
      </c>
      <c r="D65" s="802" t="s">
        <v>272</v>
      </c>
      <c r="E65" s="803" t="s">
        <v>273</v>
      </c>
    </row>
    <row r="66" spans="1:5">
      <c r="A66" s="796" t="s">
        <v>302</v>
      </c>
      <c r="B66" s="844">
        <v>2006</v>
      </c>
      <c r="C66" s="845">
        <v>711</v>
      </c>
      <c r="D66" s="846">
        <v>179300</v>
      </c>
      <c r="E66" s="847">
        <f>D66/C66</f>
        <v>252.18002812939523</v>
      </c>
    </row>
    <row r="67" spans="1:5" ht="14.5" thickBot="1">
      <c r="A67" s="830" t="s">
        <v>301</v>
      </c>
      <c r="B67" s="831">
        <v>2006</v>
      </c>
      <c r="C67" s="832">
        <v>1069</v>
      </c>
      <c r="D67" s="848">
        <v>279900</v>
      </c>
      <c r="E67" s="849">
        <f>D67/C67</f>
        <v>261.8334892422825</v>
      </c>
    </row>
    <row r="68" spans="1:5" ht="14.5" thickBot="1"/>
    <row r="69" spans="1:5">
      <c r="A69" s="787" t="s">
        <v>266</v>
      </c>
      <c r="B69" s="788"/>
      <c r="C69" s="788"/>
      <c r="D69" s="788"/>
      <c r="E69" s="826"/>
    </row>
    <row r="70" spans="1:5" ht="14.5" thickBot="1">
      <c r="A70" s="792" t="s">
        <v>289</v>
      </c>
      <c r="B70" s="793"/>
      <c r="C70" s="793"/>
      <c r="D70" s="793"/>
      <c r="E70" s="827"/>
    </row>
    <row r="71" spans="1:5">
      <c r="A71" s="828"/>
      <c r="B71" s="798" t="s">
        <v>298</v>
      </c>
      <c r="C71" s="798" t="s">
        <v>269</v>
      </c>
      <c r="D71" s="798" t="s">
        <v>270</v>
      </c>
      <c r="E71" s="799" t="s">
        <v>270</v>
      </c>
    </row>
    <row r="72" spans="1:5" ht="14.5" thickBot="1">
      <c r="A72" s="829" t="s">
        <v>299</v>
      </c>
      <c r="B72" s="802" t="s">
        <v>300</v>
      </c>
      <c r="C72" s="802" t="s">
        <v>88</v>
      </c>
      <c r="D72" s="802" t="s">
        <v>272</v>
      </c>
      <c r="E72" s="803" t="s">
        <v>273</v>
      </c>
    </row>
    <row r="73" spans="1:5" ht="14.5" thickBot="1">
      <c r="A73" s="830" t="s">
        <v>301</v>
      </c>
      <c r="B73" s="831">
        <v>2003</v>
      </c>
      <c r="C73" s="832">
        <v>2315</v>
      </c>
      <c r="D73" s="833">
        <v>599900</v>
      </c>
      <c r="E73" s="834">
        <f>D73/C73</f>
        <v>259.13606911447084</v>
      </c>
    </row>
    <row r="74" spans="1:5" ht="14.5" thickBot="1"/>
    <row r="75" spans="1:5">
      <c r="A75" s="787" t="s">
        <v>303</v>
      </c>
      <c r="B75" s="788"/>
      <c r="C75" s="788"/>
      <c r="D75" s="788"/>
      <c r="E75" s="826"/>
    </row>
    <row r="76" spans="1:5" ht="14.5" thickBot="1">
      <c r="A76" s="792" t="s">
        <v>279</v>
      </c>
      <c r="B76" s="793"/>
      <c r="C76" s="793"/>
      <c r="D76" s="793"/>
      <c r="E76" s="827"/>
    </row>
    <row r="77" spans="1:5">
      <c r="A77" s="828"/>
      <c r="B77" s="798" t="s">
        <v>298</v>
      </c>
      <c r="C77" s="798" t="s">
        <v>269</v>
      </c>
      <c r="D77" s="798" t="s">
        <v>270</v>
      </c>
      <c r="E77" s="799" t="s">
        <v>270</v>
      </c>
    </row>
    <row r="78" spans="1:5" ht="15.75" customHeight="1" thickBot="1">
      <c r="A78" s="829" t="s">
        <v>299</v>
      </c>
      <c r="B78" s="802" t="s">
        <v>300</v>
      </c>
      <c r="C78" s="802" t="s">
        <v>88</v>
      </c>
      <c r="D78" s="802" t="s">
        <v>272</v>
      </c>
      <c r="E78" s="803" t="s">
        <v>273</v>
      </c>
    </row>
    <row r="79" spans="1:5" ht="15.75" customHeight="1" thickBot="1">
      <c r="A79" s="852" t="s">
        <v>302</v>
      </c>
      <c r="B79" s="853">
        <v>2008</v>
      </c>
      <c r="C79" s="854">
        <v>2207</v>
      </c>
      <c r="D79" s="855">
        <v>860000</v>
      </c>
      <c r="E79" s="856">
        <f>D79/C79</f>
        <v>389.66923425464432</v>
      </c>
    </row>
    <row r="80" spans="1:5" ht="3.75" customHeight="1">
      <c r="A80" s="857"/>
      <c r="B80" s="858"/>
      <c r="C80" s="858"/>
      <c r="D80" s="858"/>
      <c r="E80" s="859"/>
    </row>
    <row r="81" spans="1:5">
      <c r="A81" s="808" t="s">
        <v>301</v>
      </c>
      <c r="B81" s="835">
        <v>2008</v>
      </c>
      <c r="C81" s="836">
        <v>1849</v>
      </c>
      <c r="D81" s="837">
        <v>764000</v>
      </c>
      <c r="E81" s="812">
        <f t="shared" ref="E81:E86" si="3">D81/C81</f>
        <v>413.19632233639805</v>
      </c>
    </row>
    <row r="82" spans="1:5">
      <c r="A82" s="808" t="s">
        <v>301</v>
      </c>
      <c r="B82" s="835">
        <v>2008</v>
      </c>
      <c r="C82" s="836">
        <v>2208</v>
      </c>
      <c r="D82" s="850">
        <v>710000</v>
      </c>
      <c r="E82" s="814">
        <f t="shared" si="3"/>
        <v>321.55797101449275</v>
      </c>
    </row>
    <row r="83" spans="1:5">
      <c r="A83" s="808" t="s">
        <v>301</v>
      </c>
      <c r="B83" s="835">
        <v>2008</v>
      </c>
      <c r="C83" s="836">
        <v>1849</v>
      </c>
      <c r="D83" s="850">
        <v>660000</v>
      </c>
      <c r="E83" s="814">
        <f t="shared" si="3"/>
        <v>356.94970254191458</v>
      </c>
    </row>
    <row r="84" spans="1:5">
      <c r="A84" s="808" t="s">
        <v>301</v>
      </c>
      <c r="B84" s="835">
        <v>2008</v>
      </c>
      <c r="C84" s="836">
        <v>1878</v>
      </c>
      <c r="D84" s="850">
        <v>480000</v>
      </c>
      <c r="E84" s="814">
        <f t="shared" si="3"/>
        <v>255.59105431309905</v>
      </c>
    </row>
    <row r="85" spans="1:5">
      <c r="A85" s="815" t="s">
        <v>301</v>
      </c>
      <c r="B85" s="838">
        <v>2007</v>
      </c>
      <c r="C85" s="839">
        <v>1995</v>
      </c>
      <c r="D85" s="840">
        <v>475000</v>
      </c>
      <c r="E85" s="819">
        <f t="shared" si="3"/>
        <v>238.0952380952381</v>
      </c>
    </row>
    <row r="86" spans="1:5" ht="14.5" thickBot="1">
      <c r="A86" s="820" t="s">
        <v>294</v>
      </c>
      <c r="B86" s="841"/>
      <c r="C86" s="841">
        <f>AVERAGE(C81:C85)</f>
        <v>1955.8</v>
      </c>
      <c r="D86" s="842">
        <f>AVERAGE(D81:D85)</f>
        <v>617800</v>
      </c>
      <c r="E86" s="843">
        <f t="shared" si="3"/>
        <v>315.88096942427654</v>
      </c>
    </row>
    <row r="87" spans="1:5" ht="14.5" thickBot="1"/>
    <row r="88" spans="1:5">
      <c r="A88" s="787" t="s">
        <v>266</v>
      </c>
      <c r="B88" s="788"/>
      <c r="C88" s="788"/>
      <c r="D88" s="788"/>
      <c r="E88" s="826"/>
    </row>
    <row r="89" spans="1:5" ht="14.5" thickBot="1">
      <c r="A89" s="792" t="s">
        <v>290</v>
      </c>
      <c r="B89" s="793"/>
      <c r="C89" s="793"/>
      <c r="D89" s="793"/>
      <c r="E89" s="827"/>
    </row>
    <row r="90" spans="1:5">
      <c r="A90" s="828"/>
      <c r="B90" s="798" t="s">
        <v>298</v>
      </c>
      <c r="C90" s="798" t="s">
        <v>269</v>
      </c>
      <c r="D90" s="798" t="s">
        <v>270</v>
      </c>
      <c r="E90" s="799" t="s">
        <v>270</v>
      </c>
    </row>
    <row r="91" spans="1:5" ht="14.5" thickBot="1">
      <c r="A91" s="829" t="s">
        <v>299</v>
      </c>
      <c r="B91" s="802" t="s">
        <v>300</v>
      </c>
      <c r="C91" s="802" t="s">
        <v>88</v>
      </c>
      <c r="D91" s="802" t="s">
        <v>272</v>
      </c>
      <c r="E91" s="803" t="s">
        <v>273</v>
      </c>
    </row>
    <row r="92" spans="1:5" ht="14.5" thickBot="1">
      <c r="A92" s="830" t="s">
        <v>301</v>
      </c>
      <c r="B92" s="831">
        <v>2002</v>
      </c>
      <c r="C92" s="832">
        <v>2010</v>
      </c>
      <c r="D92" s="833">
        <v>529900</v>
      </c>
      <c r="E92" s="834">
        <f>D92/C92</f>
        <v>263.6318407960199</v>
      </c>
    </row>
    <row r="93" spans="1:5" ht="14.5" thickBot="1"/>
    <row r="94" spans="1:5">
      <c r="A94" s="787" t="s">
        <v>303</v>
      </c>
      <c r="B94" s="788"/>
      <c r="C94" s="788"/>
      <c r="D94" s="788"/>
      <c r="E94" s="826"/>
    </row>
    <row r="95" spans="1:5" ht="14.5" thickBot="1">
      <c r="A95" s="792" t="s">
        <v>280</v>
      </c>
      <c r="B95" s="793"/>
      <c r="C95" s="793"/>
      <c r="D95" s="793"/>
      <c r="E95" s="827"/>
    </row>
    <row r="96" spans="1:5">
      <c r="A96" s="828"/>
      <c r="B96" s="798" t="s">
        <v>298</v>
      </c>
      <c r="C96" s="798" t="s">
        <v>269</v>
      </c>
      <c r="D96" s="798" t="s">
        <v>270</v>
      </c>
      <c r="E96" s="799" t="s">
        <v>270</v>
      </c>
    </row>
    <row r="97" spans="1:5" ht="14.5" thickBot="1">
      <c r="A97" s="829" t="s">
        <v>299</v>
      </c>
      <c r="B97" s="802" t="s">
        <v>300</v>
      </c>
      <c r="C97" s="802" t="s">
        <v>88</v>
      </c>
      <c r="D97" s="802" t="s">
        <v>272</v>
      </c>
      <c r="E97" s="803" t="s">
        <v>273</v>
      </c>
    </row>
    <row r="98" spans="1:5" ht="14.5" thickBot="1">
      <c r="A98" s="852" t="s">
        <v>302</v>
      </c>
      <c r="B98" s="853">
        <v>2006</v>
      </c>
      <c r="C98" s="854">
        <v>785</v>
      </c>
      <c r="D98" s="855">
        <v>175000</v>
      </c>
      <c r="E98" s="856">
        <f>D98/C98</f>
        <v>222.9299363057325</v>
      </c>
    </row>
    <row r="99" spans="1:5" ht="4.5" customHeight="1">
      <c r="A99" s="857"/>
      <c r="B99" s="858"/>
      <c r="C99" s="858"/>
      <c r="D99" s="858"/>
      <c r="E99" s="859"/>
    </row>
    <row r="100" spans="1:5">
      <c r="A100" s="808" t="s">
        <v>301</v>
      </c>
      <c r="B100" s="835">
        <v>2007</v>
      </c>
      <c r="C100" s="836">
        <v>1100</v>
      </c>
      <c r="D100" s="837">
        <v>294900</v>
      </c>
      <c r="E100" s="812">
        <f t="shared" ref="E100:E103" si="4">D100/C100</f>
        <v>268.09090909090907</v>
      </c>
    </row>
    <row r="101" spans="1:5">
      <c r="A101" s="808" t="s">
        <v>301</v>
      </c>
      <c r="B101" s="835">
        <v>2007</v>
      </c>
      <c r="C101" s="836">
        <v>1100</v>
      </c>
      <c r="D101" s="850">
        <v>286000</v>
      </c>
      <c r="E101" s="814">
        <f t="shared" si="4"/>
        <v>260</v>
      </c>
    </row>
    <row r="102" spans="1:5">
      <c r="A102" s="815" t="s">
        <v>301</v>
      </c>
      <c r="B102" s="838">
        <v>2007</v>
      </c>
      <c r="C102" s="839">
        <v>1120</v>
      </c>
      <c r="D102" s="840">
        <v>275000</v>
      </c>
      <c r="E102" s="819">
        <f t="shared" si="4"/>
        <v>245.53571428571428</v>
      </c>
    </row>
    <row r="103" spans="1:5" ht="14.5" thickBot="1">
      <c r="A103" s="820" t="s">
        <v>294</v>
      </c>
      <c r="B103" s="841"/>
      <c r="C103" s="841">
        <f>AVERAGE(C100:C102)</f>
        <v>1106.6666666666667</v>
      </c>
      <c r="D103" s="842">
        <f>AVERAGE(D100:D102)</f>
        <v>285300</v>
      </c>
      <c r="E103" s="843">
        <f t="shared" si="4"/>
        <v>257.80120481927707</v>
      </c>
    </row>
    <row r="104" spans="1:5" ht="4.5" customHeight="1">
      <c r="A104" s="808"/>
      <c r="B104" s="806"/>
      <c r="C104" s="806"/>
      <c r="D104" s="806"/>
      <c r="E104" s="807"/>
    </row>
    <row r="105" spans="1:5" ht="14.5" thickBot="1">
      <c r="A105" s="830" t="s">
        <v>304</v>
      </c>
      <c r="B105" s="831">
        <v>2007</v>
      </c>
      <c r="C105" s="832">
        <v>2575</v>
      </c>
      <c r="D105" s="848">
        <v>769000</v>
      </c>
      <c r="E105" s="849">
        <f t="shared" ref="E105" si="5">D105/C105</f>
        <v>298.64077669902912</v>
      </c>
    </row>
    <row r="106" spans="1:5" ht="14.5" thickBot="1"/>
    <row r="107" spans="1:5">
      <c r="A107" s="787" t="s">
        <v>303</v>
      </c>
      <c r="B107" s="788"/>
      <c r="C107" s="788"/>
      <c r="D107" s="788"/>
      <c r="E107" s="826"/>
    </row>
    <row r="108" spans="1:5" ht="14.5" thickBot="1">
      <c r="A108" s="792" t="s">
        <v>291</v>
      </c>
      <c r="B108" s="793"/>
      <c r="C108" s="793"/>
      <c r="D108" s="793"/>
      <c r="E108" s="827"/>
    </row>
    <row r="109" spans="1:5">
      <c r="A109" s="828"/>
      <c r="B109" s="798" t="s">
        <v>298</v>
      </c>
      <c r="C109" s="798" t="s">
        <v>269</v>
      </c>
      <c r="D109" s="798" t="s">
        <v>270</v>
      </c>
      <c r="E109" s="799" t="s">
        <v>270</v>
      </c>
    </row>
    <row r="110" spans="1:5" ht="14.5" thickBot="1">
      <c r="A110" s="829" t="s">
        <v>299</v>
      </c>
      <c r="B110" s="802" t="s">
        <v>300</v>
      </c>
      <c r="C110" s="802" t="s">
        <v>88</v>
      </c>
      <c r="D110" s="802" t="s">
        <v>272</v>
      </c>
      <c r="E110" s="803" t="s">
        <v>273</v>
      </c>
    </row>
    <row r="111" spans="1:5">
      <c r="A111" s="808" t="s">
        <v>302</v>
      </c>
      <c r="B111" s="835">
        <v>2006</v>
      </c>
      <c r="C111" s="836">
        <v>1114</v>
      </c>
      <c r="D111" s="837">
        <v>375000</v>
      </c>
      <c r="E111" s="812">
        <f>D111/C111</f>
        <v>336.62477558348297</v>
      </c>
    </row>
    <row r="112" spans="1:5">
      <c r="A112" s="815" t="s">
        <v>302</v>
      </c>
      <c r="B112" s="838">
        <v>2006</v>
      </c>
      <c r="C112" s="839">
        <v>1024</v>
      </c>
      <c r="D112" s="840">
        <v>369900</v>
      </c>
      <c r="E112" s="819">
        <f>D112/C112</f>
        <v>361.23046875</v>
      </c>
    </row>
    <row r="113" spans="1:5" ht="14.5" thickBot="1">
      <c r="A113" s="820" t="s">
        <v>282</v>
      </c>
      <c r="B113" s="841"/>
      <c r="C113" s="841">
        <f>AVERAGE(C111:C112)</f>
        <v>1069</v>
      </c>
      <c r="D113" s="842">
        <f>AVERAGE(D111:D112)</f>
        <v>372450</v>
      </c>
      <c r="E113" s="843">
        <f t="shared" ref="E113" si="6">D113/C113</f>
        <v>348.40972871842843</v>
      </c>
    </row>
    <row r="114" spans="1:5" ht="4.5" customHeight="1">
      <c r="A114" s="808"/>
      <c r="B114" s="851"/>
      <c r="C114" s="851"/>
      <c r="D114" s="806"/>
      <c r="E114" s="807"/>
    </row>
    <row r="115" spans="1:5">
      <c r="A115" s="808" t="s">
        <v>301</v>
      </c>
      <c r="B115" s="835">
        <v>2007</v>
      </c>
      <c r="C115" s="836">
        <v>2282</v>
      </c>
      <c r="D115" s="837">
        <v>1050000</v>
      </c>
      <c r="E115" s="812">
        <f>D115/C115</f>
        <v>460.12269938650309</v>
      </c>
    </row>
    <row r="116" spans="1:5" ht="14.5" thickBot="1">
      <c r="A116" s="830" t="s">
        <v>304</v>
      </c>
      <c r="B116" s="831">
        <v>2006</v>
      </c>
      <c r="C116" s="832">
        <v>1791</v>
      </c>
      <c r="D116" s="848">
        <v>789900</v>
      </c>
      <c r="E116" s="849">
        <f>D116/C116</f>
        <v>441.03852596314908</v>
      </c>
    </row>
    <row r="117" spans="1:5" ht="14.5" thickBot="1"/>
    <row r="118" spans="1:5">
      <c r="A118" s="787" t="s">
        <v>303</v>
      </c>
      <c r="B118" s="788"/>
      <c r="C118" s="788"/>
      <c r="D118" s="788"/>
      <c r="E118" s="826"/>
    </row>
    <row r="119" spans="1:5" ht="14.5" thickBot="1">
      <c r="A119" s="792" t="s">
        <v>292</v>
      </c>
      <c r="B119" s="793"/>
      <c r="C119" s="793"/>
      <c r="D119" s="793"/>
      <c r="E119" s="827"/>
    </row>
    <row r="120" spans="1:5">
      <c r="A120" s="828"/>
      <c r="B120" s="798" t="s">
        <v>298</v>
      </c>
      <c r="C120" s="798" t="s">
        <v>269</v>
      </c>
      <c r="D120" s="798" t="s">
        <v>270</v>
      </c>
      <c r="E120" s="799" t="s">
        <v>270</v>
      </c>
    </row>
    <row r="121" spans="1:5" ht="14.5" thickBot="1">
      <c r="A121" s="829" t="s">
        <v>299</v>
      </c>
      <c r="B121" s="802" t="s">
        <v>300</v>
      </c>
      <c r="C121" s="802" t="s">
        <v>88</v>
      </c>
      <c r="D121" s="802" t="s">
        <v>272</v>
      </c>
      <c r="E121" s="803" t="s">
        <v>273</v>
      </c>
    </row>
    <row r="122" spans="1:5">
      <c r="A122" s="808" t="s">
        <v>301</v>
      </c>
      <c r="B122" s="835">
        <v>2006</v>
      </c>
      <c r="C122" s="836">
        <v>2123</v>
      </c>
      <c r="D122" s="837">
        <v>449900</v>
      </c>
      <c r="E122" s="812">
        <f t="shared" ref="E122:E124" si="7">D122/C122</f>
        <v>211.91709844559585</v>
      </c>
    </row>
    <row r="123" spans="1:5">
      <c r="A123" s="815" t="s">
        <v>301</v>
      </c>
      <c r="B123" s="838">
        <v>2006</v>
      </c>
      <c r="C123" s="839">
        <v>1447</v>
      </c>
      <c r="D123" s="840">
        <v>289900</v>
      </c>
      <c r="E123" s="819">
        <f t="shared" si="7"/>
        <v>200.34554250172772</v>
      </c>
    </row>
    <row r="124" spans="1:5" ht="14.5" thickBot="1">
      <c r="A124" s="820" t="s">
        <v>294</v>
      </c>
      <c r="B124" s="841"/>
      <c r="C124" s="841">
        <f>AVERAGE(C122:C123)</f>
        <v>1785</v>
      </c>
      <c r="D124" s="842">
        <f>AVERAGE(D122:D123)</f>
        <v>369900</v>
      </c>
      <c r="E124" s="843">
        <f t="shared" si="7"/>
        <v>207.22689075630251</v>
      </c>
    </row>
    <row r="125" spans="1:5" ht="14.5" thickBot="1"/>
    <row r="126" spans="1:5">
      <c r="A126" s="787" t="s">
        <v>303</v>
      </c>
      <c r="B126" s="788"/>
      <c r="C126" s="788"/>
      <c r="D126" s="788"/>
      <c r="E126" s="826"/>
    </row>
    <row r="127" spans="1:5" ht="14.5" thickBot="1">
      <c r="A127" s="792" t="s">
        <v>296</v>
      </c>
      <c r="B127" s="793"/>
      <c r="C127" s="793"/>
      <c r="D127" s="793"/>
      <c r="E127" s="827"/>
    </row>
    <row r="128" spans="1:5">
      <c r="A128" s="828"/>
      <c r="B128" s="798" t="s">
        <v>298</v>
      </c>
      <c r="C128" s="798" t="s">
        <v>269</v>
      </c>
      <c r="D128" s="798" t="s">
        <v>270</v>
      </c>
      <c r="E128" s="799" t="s">
        <v>270</v>
      </c>
    </row>
    <row r="129" spans="1:5" ht="14.5" thickBot="1">
      <c r="A129" s="829" t="s">
        <v>299</v>
      </c>
      <c r="B129" s="802" t="s">
        <v>300</v>
      </c>
      <c r="C129" s="802" t="s">
        <v>88</v>
      </c>
      <c r="D129" s="802" t="s">
        <v>272</v>
      </c>
      <c r="E129" s="803" t="s">
        <v>273</v>
      </c>
    </row>
    <row r="130" spans="1:5" ht="14.5" thickBot="1">
      <c r="A130" s="852" t="s">
        <v>304</v>
      </c>
      <c r="B130" s="853">
        <v>2007</v>
      </c>
      <c r="C130" s="854">
        <v>2639</v>
      </c>
      <c r="D130" s="855">
        <v>1350000</v>
      </c>
      <c r="E130" s="856">
        <f>D130/C130</f>
        <v>511.55740810913227</v>
      </c>
    </row>
    <row r="131" spans="1:5" ht="14.5" thickBot="1"/>
    <row r="132" spans="1:5">
      <c r="A132" s="787" t="s">
        <v>303</v>
      </c>
      <c r="B132" s="788"/>
      <c r="C132" s="788"/>
      <c r="D132" s="788"/>
      <c r="E132" s="826"/>
    </row>
    <row r="133" spans="1:5" ht="14.5" thickBot="1">
      <c r="A133" s="792" t="s">
        <v>293</v>
      </c>
      <c r="B133" s="793"/>
      <c r="C133" s="793"/>
      <c r="D133" s="793"/>
      <c r="E133" s="827"/>
    </row>
    <row r="134" spans="1:5">
      <c r="A134" s="828"/>
      <c r="B134" s="798" t="s">
        <v>298</v>
      </c>
      <c r="C134" s="798" t="s">
        <v>269</v>
      </c>
      <c r="D134" s="798" t="s">
        <v>270</v>
      </c>
      <c r="E134" s="799" t="s">
        <v>270</v>
      </c>
    </row>
    <row r="135" spans="1:5" ht="14.5" thickBot="1">
      <c r="A135" s="829" t="s">
        <v>299</v>
      </c>
      <c r="B135" s="802" t="s">
        <v>300</v>
      </c>
      <c r="C135" s="802" t="s">
        <v>88</v>
      </c>
      <c r="D135" s="802" t="s">
        <v>272</v>
      </c>
      <c r="E135" s="803" t="s">
        <v>273</v>
      </c>
    </row>
    <row r="136" spans="1:5">
      <c r="A136" s="808" t="s">
        <v>301</v>
      </c>
      <c r="B136" s="835">
        <v>2008</v>
      </c>
      <c r="C136" s="836">
        <v>2702</v>
      </c>
      <c r="D136" s="837">
        <v>1100000</v>
      </c>
      <c r="E136" s="812">
        <f t="shared" ref="E136:E139" si="8">D136/C136</f>
        <v>407.10584752035527</v>
      </c>
    </row>
    <row r="137" spans="1:5">
      <c r="A137" s="808" t="s">
        <v>301</v>
      </c>
      <c r="B137" s="835">
        <v>2008</v>
      </c>
      <c r="C137" s="836">
        <v>2057</v>
      </c>
      <c r="D137" s="850">
        <v>899900</v>
      </c>
      <c r="E137" s="814">
        <f t="shared" si="8"/>
        <v>437.48176956733107</v>
      </c>
    </row>
    <row r="138" spans="1:5">
      <c r="A138" s="815" t="s">
        <v>301</v>
      </c>
      <c r="B138" s="838">
        <v>2008</v>
      </c>
      <c r="C138" s="839">
        <v>2085</v>
      </c>
      <c r="D138" s="840">
        <v>875900</v>
      </c>
      <c r="E138" s="819">
        <f t="shared" si="8"/>
        <v>420.09592326139091</v>
      </c>
    </row>
    <row r="139" spans="1:5" ht="14.5" thickBot="1">
      <c r="A139" s="820" t="s">
        <v>294</v>
      </c>
      <c r="B139" s="841"/>
      <c r="C139" s="841">
        <f>AVERAGE(C136:C138)</f>
        <v>2281.3333333333335</v>
      </c>
      <c r="D139" s="842">
        <f>AVERAGE(D136:D138)</f>
        <v>958600</v>
      </c>
      <c r="E139" s="843">
        <f t="shared" si="8"/>
        <v>420.19286966686144</v>
      </c>
    </row>
    <row r="140" spans="1:5" ht="4.5" customHeight="1">
      <c r="A140" s="808"/>
      <c r="B140" s="806"/>
      <c r="C140" s="806"/>
      <c r="D140" s="806"/>
      <c r="E140" s="807"/>
    </row>
    <row r="141" spans="1:5" ht="14.5" thickBot="1">
      <c r="A141" s="830" t="s">
        <v>304</v>
      </c>
      <c r="B141" s="831">
        <v>2008</v>
      </c>
      <c r="C141" s="832">
        <v>1970</v>
      </c>
      <c r="D141" s="848">
        <v>899900</v>
      </c>
      <c r="E141" s="849">
        <f t="shared" ref="E141" si="9">D141/C141</f>
        <v>456.80203045685278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8"/>
  <sheetViews>
    <sheetView workbookViewId="0">
      <selection activeCell="A11" sqref="A11"/>
    </sheetView>
  </sheetViews>
  <sheetFormatPr defaultColWidth="9.1796875" defaultRowHeight="12.5"/>
  <cols>
    <col min="1" max="1" width="33.81640625" style="576" customWidth="1"/>
    <col min="2" max="2" width="21.453125" style="576" customWidth="1"/>
    <col min="3" max="3" width="16" style="576" customWidth="1"/>
    <col min="4" max="4" width="19.54296875" style="576" bestFit="1" customWidth="1"/>
    <col min="5" max="5" width="15.7265625" style="576" bestFit="1" customWidth="1"/>
    <col min="6" max="6" width="10.1796875" style="576" bestFit="1" customWidth="1"/>
    <col min="7" max="7" width="12.1796875" style="576" bestFit="1" customWidth="1"/>
    <col min="8" max="16384" width="9.1796875" style="576"/>
  </cols>
  <sheetData>
    <row r="1" spans="1:7" ht="13">
      <c r="A1" s="52" t="s">
        <v>79</v>
      </c>
      <c r="B1" s="583"/>
      <c r="C1" s="584"/>
    </row>
    <row r="2" spans="1:7" ht="13.5" thickBot="1">
      <c r="A2" s="55" t="s">
        <v>238</v>
      </c>
      <c r="B2" s="585"/>
      <c r="C2" s="586"/>
    </row>
    <row r="3" spans="1:7" ht="3" customHeight="1">
      <c r="A3" s="580"/>
      <c r="B3" s="578"/>
      <c r="C3" s="383"/>
    </row>
    <row r="4" spans="1:7">
      <c r="A4" s="580" t="s">
        <v>65</v>
      </c>
      <c r="B4" s="578"/>
      <c r="C4" s="1014">
        <f>'Land Values'!E105</f>
        <v>89688000.090922624</v>
      </c>
    </row>
    <row r="5" spans="1:7">
      <c r="A5" s="580" t="s">
        <v>230</v>
      </c>
      <c r="B5" s="578"/>
      <c r="C5" s="612">
        <f>'Summary Board'!F68</f>
        <v>917142.8</v>
      </c>
    </row>
    <row r="6" spans="1:7">
      <c r="A6" s="580" t="s">
        <v>237</v>
      </c>
      <c r="B6" s="578"/>
      <c r="C6" s="1015">
        <f>SUM('Summary Board'!F60:F66,'Summary Board'!F81)</f>
        <v>359919956.06341672</v>
      </c>
    </row>
    <row r="7" spans="1:7">
      <c r="A7" s="591" t="s">
        <v>241</v>
      </c>
      <c r="B7" s="587"/>
      <c r="C7" s="960">
        <f>SUM(C4:C6)*0.5*1%</f>
        <v>2252625.4947716966</v>
      </c>
      <c r="D7" s="588"/>
    </row>
    <row r="8" spans="1:7" ht="13.5" thickBot="1">
      <c r="A8" s="593" t="s">
        <v>3</v>
      </c>
      <c r="B8" s="582"/>
      <c r="C8" s="596">
        <f>SUM(C4:C7)</f>
        <v>452777724.44911104</v>
      </c>
    </row>
    <row r="9" spans="1:7" ht="3.75" customHeight="1">
      <c r="A9" s="580"/>
      <c r="B9" s="578"/>
      <c r="C9" s="581"/>
      <c r="D9" s="578"/>
      <c r="E9" s="578"/>
      <c r="F9" s="578"/>
      <c r="G9" s="578"/>
    </row>
    <row r="10" spans="1:7" ht="13">
      <c r="A10" s="595" t="s">
        <v>242</v>
      </c>
      <c r="B10" s="578"/>
      <c r="C10" s="581"/>
      <c r="D10" s="578"/>
      <c r="E10" s="578"/>
      <c r="F10" s="578"/>
      <c r="G10" s="578"/>
    </row>
    <row r="11" spans="1:7">
      <c r="A11" s="580" t="s">
        <v>406</v>
      </c>
      <c r="B11" s="578"/>
      <c r="C11" s="961">
        <f>SUM(C4:C6)*0.5+C7</f>
        <v>227515174.97194135</v>
      </c>
      <c r="D11" s="577"/>
      <c r="E11" s="578"/>
      <c r="F11" s="578"/>
      <c r="G11" s="578"/>
    </row>
    <row r="12" spans="1:7">
      <c r="A12" s="580" t="s">
        <v>553</v>
      </c>
      <c r="B12" s="578"/>
      <c r="C12" s="1063">
        <f>'Summary Board'!E14+'Summary Board'!E20</f>
        <v>23956141.725120001</v>
      </c>
      <c r="D12" s="577"/>
      <c r="E12" s="578"/>
      <c r="F12" s="578"/>
      <c r="G12" s="578"/>
    </row>
    <row r="13" spans="1:7">
      <c r="A13" s="580" t="s">
        <v>554</v>
      </c>
      <c r="B13" s="578"/>
      <c r="C13" s="1063">
        <f>SUM('Summary Board'!E14:N14,'Summary Board'!E16:N16)*9%</f>
        <v>13177477.84789928</v>
      </c>
      <c r="D13" s="577"/>
      <c r="E13" s="578"/>
      <c r="F13" s="578"/>
      <c r="G13" s="578"/>
    </row>
    <row r="14" spans="1:7">
      <c r="A14" s="580" t="s">
        <v>555</v>
      </c>
      <c r="B14" s="578"/>
      <c r="C14" s="1063">
        <f>SUM('Summary Board'!E70:E79)</f>
        <v>31640315.885243256</v>
      </c>
      <c r="D14" s="577"/>
      <c r="E14" s="578"/>
      <c r="F14" s="578"/>
      <c r="G14" s="578"/>
    </row>
    <row r="15" spans="1:7">
      <c r="A15" s="580" t="s">
        <v>556</v>
      </c>
      <c r="B15" s="578"/>
      <c r="C15" s="961">
        <f>'Summary Board'!E80+'1.Inftr Costs'!J18</f>
        <v>17592004.541605603</v>
      </c>
      <c r="D15" s="577"/>
      <c r="E15" s="578"/>
      <c r="F15" s="578"/>
      <c r="G15" s="578"/>
    </row>
    <row r="16" spans="1:7" ht="13">
      <c r="A16" s="591" t="s">
        <v>239</v>
      </c>
      <c r="B16" s="587"/>
      <c r="C16" s="592">
        <f>C8-SUM(C11:C15)</f>
        <v>138896609.47730154</v>
      </c>
      <c r="D16" s="381"/>
      <c r="E16" s="381"/>
      <c r="F16" s="381"/>
      <c r="G16" s="381"/>
    </row>
    <row r="17" spans="1:7" ht="13.5" thickBot="1">
      <c r="A17" s="593" t="s">
        <v>240</v>
      </c>
      <c r="B17" s="594"/>
      <c r="C17" s="596">
        <f>SUM(C11:C16)</f>
        <v>452777724.44911104</v>
      </c>
      <c r="D17" s="577"/>
      <c r="E17" s="577"/>
      <c r="F17" s="577"/>
      <c r="G17" s="577"/>
    </row>
    <row r="18" spans="1:7">
      <c r="A18" s="578"/>
      <c r="B18" s="578"/>
      <c r="C18" s="577"/>
      <c r="D18" s="579"/>
      <c r="E18" s="579"/>
      <c r="F18" s="579"/>
      <c r="G18" s="579"/>
    </row>
    <row r="19" spans="1:7">
      <c r="A19" s="578"/>
      <c r="B19" s="578"/>
      <c r="C19" s="577"/>
      <c r="D19" s="578"/>
      <c r="E19" s="578"/>
      <c r="F19" s="578"/>
      <c r="G19" s="578"/>
    </row>
    <row r="20" spans="1:7">
      <c r="A20" s="578"/>
      <c r="B20" s="578"/>
      <c r="C20" s="577"/>
      <c r="D20" s="578"/>
      <c r="E20" s="578"/>
      <c r="F20" s="578"/>
      <c r="G20" s="578"/>
    </row>
    <row r="21" spans="1:7">
      <c r="A21" s="578"/>
      <c r="B21" s="578"/>
      <c r="C21" s="577"/>
      <c r="D21" s="578"/>
      <c r="E21" s="578"/>
      <c r="F21" s="578"/>
      <c r="G21" s="578"/>
    </row>
    <row r="22" spans="1:7">
      <c r="A22" s="578"/>
      <c r="B22" s="578"/>
      <c r="C22" s="577"/>
      <c r="D22" s="578"/>
      <c r="E22" s="578"/>
      <c r="F22" s="578"/>
      <c r="G22" s="578"/>
    </row>
    <row r="23" spans="1:7">
      <c r="A23" s="578"/>
      <c r="B23" s="578"/>
      <c r="C23" s="577"/>
      <c r="D23" s="578"/>
      <c r="E23" s="578"/>
      <c r="F23" s="578"/>
      <c r="G23" s="578"/>
    </row>
    <row r="24" spans="1:7">
      <c r="A24" s="578"/>
      <c r="B24" s="578"/>
      <c r="C24" s="577"/>
      <c r="D24" s="578"/>
      <c r="E24" s="578"/>
      <c r="F24" s="578"/>
      <c r="G24" s="578"/>
    </row>
    <row r="25" spans="1:7">
      <c r="A25" s="578"/>
      <c r="B25" s="578"/>
      <c r="C25" s="577"/>
      <c r="D25" s="578"/>
      <c r="E25" s="578"/>
      <c r="F25" s="578"/>
      <c r="G25" s="578"/>
    </row>
    <row r="26" spans="1:7">
      <c r="A26" s="578"/>
      <c r="B26" s="578"/>
      <c r="C26" s="577"/>
      <c r="D26" s="578"/>
      <c r="E26" s="578"/>
      <c r="F26" s="578"/>
      <c r="G26" s="578"/>
    </row>
    <row r="27" spans="1:7">
      <c r="A27" s="578"/>
      <c r="B27" s="578"/>
      <c r="C27" s="578"/>
      <c r="D27" s="578"/>
      <c r="E27" s="578"/>
      <c r="F27" s="578"/>
      <c r="G27" s="578"/>
    </row>
    <row r="28" spans="1:7">
      <c r="A28" s="578"/>
      <c r="B28" s="578"/>
      <c r="C28" s="578"/>
      <c r="D28" s="578"/>
      <c r="E28" s="578"/>
      <c r="F28" s="578"/>
      <c r="G28" s="578"/>
    </row>
  </sheetData>
  <dataConsolidate/>
  <printOptions horizontalCentered="1"/>
  <pageMargins left="0.45" right="0.45" top="0.5" bottom="0.5" header="0.3" footer="0.3"/>
  <pageSetup scale="1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view="pageBreakPreview" zoomScale="85" zoomScaleNormal="100" zoomScaleSheetLayoutView="85" zoomScalePageLayoutView="70" workbookViewId="0">
      <selection activeCell="E36" sqref="E36"/>
    </sheetView>
  </sheetViews>
  <sheetFormatPr defaultColWidth="9.1796875" defaultRowHeight="12.5"/>
  <cols>
    <col min="1" max="1" width="9.1796875" style="37"/>
    <col min="2" max="2" width="18.54296875" style="37" customWidth="1"/>
    <col min="3" max="3" width="8.26953125" style="59" customWidth="1"/>
    <col min="4" max="4" width="13.7265625" style="59" customWidth="1"/>
    <col min="5" max="14" width="13.7265625" style="37" customWidth="1"/>
    <col min="15" max="16384" width="9.1796875" style="37"/>
  </cols>
  <sheetData>
    <row r="1" spans="1:15" ht="13.5" customHeight="1" thickBot="1">
      <c r="M1" s="145" t="s">
        <v>86</v>
      </c>
      <c r="N1" s="343">
        <v>203666</v>
      </c>
    </row>
    <row r="2" spans="1:15" ht="14.15" customHeight="1" thickBot="1">
      <c r="O2" s="58"/>
    </row>
    <row r="3" spans="1:15" ht="14.15" customHeight="1" thickBot="1">
      <c r="A3" s="184"/>
      <c r="B3" s="185"/>
      <c r="C3" s="186"/>
      <c r="D3" s="139" t="s">
        <v>53</v>
      </c>
      <c r="E3" s="112" t="s">
        <v>34</v>
      </c>
      <c r="F3" s="113"/>
      <c r="G3" s="44"/>
      <c r="H3" s="112" t="s">
        <v>76</v>
      </c>
      <c r="I3" s="154"/>
      <c r="J3" s="44"/>
      <c r="K3" s="42" t="s">
        <v>77</v>
      </c>
      <c r="L3" s="42"/>
      <c r="M3" s="43"/>
      <c r="N3" s="44"/>
    </row>
    <row r="4" spans="1:15" ht="14.15" customHeight="1" thickBot="1">
      <c r="A4" s="131"/>
      <c r="B4" s="107"/>
      <c r="C4" s="187"/>
      <c r="D4" s="147">
        <v>0</v>
      </c>
      <c r="E4" s="110">
        <f>D4+1</f>
        <v>1</v>
      </c>
      <c r="F4" s="109">
        <f t="shared" ref="F4:N4" si="0">E4+1</f>
        <v>2</v>
      </c>
      <c r="G4" s="111">
        <f t="shared" si="0"/>
        <v>3</v>
      </c>
      <c r="H4" s="110">
        <f t="shared" si="0"/>
        <v>4</v>
      </c>
      <c r="I4" s="146">
        <f t="shared" si="0"/>
        <v>5</v>
      </c>
      <c r="J4" s="111">
        <f t="shared" si="0"/>
        <v>6</v>
      </c>
      <c r="K4" s="109">
        <f t="shared" si="0"/>
        <v>7</v>
      </c>
      <c r="L4" s="109">
        <f t="shared" si="0"/>
        <v>8</v>
      </c>
      <c r="M4" s="109">
        <f t="shared" si="0"/>
        <v>9</v>
      </c>
      <c r="N4" s="111">
        <f t="shared" si="0"/>
        <v>10</v>
      </c>
    </row>
    <row r="5" spans="1:15" ht="14.15" customHeight="1" thickBot="1">
      <c r="A5" s="188"/>
      <c r="B5" s="189"/>
      <c r="C5" s="190"/>
      <c r="D5" s="147" t="s">
        <v>397</v>
      </c>
      <c r="E5" s="292">
        <v>2022</v>
      </c>
      <c r="F5" s="109">
        <f>E5+1</f>
        <v>2023</v>
      </c>
      <c r="G5" s="111">
        <f t="shared" ref="G5:L5" si="1">F5+1</f>
        <v>2024</v>
      </c>
      <c r="H5" s="110">
        <f t="shared" si="1"/>
        <v>2025</v>
      </c>
      <c r="I5" s="109">
        <f t="shared" si="1"/>
        <v>2026</v>
      </c>
      <c r="J5" s="111">
        <f t="shared" si="1"/>
        <v>2027</v>
      </c>
      <c r="K5" s="109">
        <f t="shared" si="1"/>
        <v>2028</v>
      </c>
      <c r="L5" s="109">
        <f t="shared" si="1"/>
        <v>2029</v>
      </c>
      <c r="M5" s="109">
        <f>L5+1</f>
        <v>2030</v>
      </c>
      <c r="N5" s="111">
        <f>M5+1</f>
        <v>2031</v>
      </c>
    </row>
    <row r="6" spans="1:15" ht="14.15" customHeight="1">
      <c r="A6" s="183" t="s">
        <v>84</v>
      </c>
      <c r="B6" s="116"/>
      <c r="C6" s="132">
        <v>0.02</v>
      </c>
      <c r="D6" s="140"/>
      <c r="E6" s="143"/>
      <c r="F6" s="115"/>
      <c r="G6" s="120"/>
      <c r="H6" s="143"/>
      <c r="I6" s="115"/>
      <c r="J6" s="120"/>
      <c r="K6" s="115"/>
      <c r="L6" s="115"/>
      <c r="M6" s="115"/>
      <c r="N6" s="120"/>
    </row>
    <row r="7" spans="1:15" ht="3.75" customHeight="1" thickBot="1">
      <c r="A7" s="183"/>
      <c r="B7" s="116"/>
      <c r="C7" s="132"/>
      <c r="D7" s="140"/>
      <c r="E7" s="143"/>
      <c r="F7" s="115"/>
      <c r="G7" s="120"/>
      <c r="H7" s="143"/>
      <c r="I7" s="115"/>
      <c r="J7" s="120"/>
      <c r="K7" s="115"/>
      <c r="L7" s="115"/>
      <c r="M7" s="115"/>
      <c r="N7" s="120"/>
    </row>
    <row r="8" spans="1:15" ht="13.5" thickBot="1">
      <c r="A8" s="232" t="s">
        <v>502</v>
      </c>
      <c r="B8" s="233"/>
      <c r="C8" s="234"/>
      <c r="D8" s="235"/>
      <c r="E8" s="208"/>
      <c r="F8" s="233"/>
      <c r="G8" s="236"/>
      <c r="H8" s="208"/>
      <c r="I8" s="233"/>
      <c r="J8" s="236"/>
      <c r="K8" s="233"/>
      <c r="L8" s="233"/>
      <c r="M8" s="233"/>
      <c r="N8" s="236"/>
    </row>
    <row r="9" spans="1:15" ht="14.15" customHeight="1">
      <c r="A9" s="122" t="s">
        <v>488</v>
      </c>
      <c r="B9" s="116"/>
      <c r="C9" s="117"/>
      <c r="D9" s="169">
        <f>'Development Schedule'!F88*$E24*((1+$C$6)^D$4)</f>
        <v>0</v>
      </c>
      <c r="E9" s="170">
        <f>'Development Schedule'!G88*$E24*((1+$C$6)^E$4)</f>
        <v>0</v>
      </c>
      <c r="F9" s="171">
        <f>'Development Schedule'!H88*$E24*((1+$C$6)^F$4)</f>
        <v>1664640</v>
      </c>
      <c r="G9" s="172">
        <f>'Development Schedule'!I88*$E24*((1+$C$6)^G$4)</f>
        <v>0</v>
      </c>
      <c r="H9" s="170">
        <f>'Development Schedule'!J88*$E24*((1+$C$6)^H$4)</f>
        <v>0</v>
      </c>
      <c r="I9" s="171">
        <f>'Development Schedule'!K88*$E24*((1+$C$6)^I$4)</f>
        <v>0</v>
      </c>
      <c r="J9" s="172">
        <f>'Development Schedule'!L88*$E24*((1+$C$6)^J$4)</f>
        <v>1183596.7026464641</v>
      </c>
      <c r="K9" s="171">
        <f>'Development Schedule'!M88*$E24*((1+$C$6)^K$4)</f>
        <v>0</v>
      </c>
      <c r="L9" s="171">
        <f>'Development Schedule'!N88*$E24*((1+$C$6)^L$4)</f>
        <v>0</v>
      </c>
      <c r="M9" s="171">
        <f>'Development Schedule'!O88*$E24*((1+$C$6)^M$4)</f>
        <v>956074.05489784863</v>
      </c>
      <c r="N9" s="172">
        <f>'Development Schedule'!P88*$E24*((1+$C$6)^N$4)</f>
        <v>0</v>
      </c>
    </row>
    <row r="10" spans="1:15" ht="14.15" customHeight="1">
      <c r="A10" s="122" t="s">
        <v>489</v>
      </c>
      <c r="B10" s="116"/>
      <c r="C10" s="117"/>
      <c r="D10" s="173">
        <f>'Development Schedule'!F89*$E25*((1+$C$6)^D$4)</f>
        <v>0</v>
      </c>
      <c r="E10" s="174">
        <f>'Development Schedule'!G89*$E25*((1+$C$6)^E$4)</f>
        <v>0</v>
      </c>
      <c r="F10" s="175">
        <f>'Development Schedule'!H89*$E25*((1+$C$6)^F$4)</f>
        <v>0</v>
      </c>
      <c r="G10" s="176">
        <f>'Development Schedule'!I89*$E25*((1+$C$6)^G$4)</f>
        <v>0</v>
      </c>
      <c r="H10" s="174">
        <f>'Development Schedule'!J89*$E25*((1+$C$6)^H$4)</f>
        <v>9471281.4000000004</v>
      </c>
      <c r="I10" s="175">
        <f>'Development Schedule'!K89*$E25*((1+$C$6)^I$4)</f>
        <v>0</v>
      </c>
      <c r="J10" s="176">
        <f>'Development Schedule'!L89*$E25*((1+$C$6)^J$4)</f>
        <v>0</v>
      </c>
      <c r="K10" s="175">
        <f>'Development Schedule'!M89*$E25*((1+$C$6)^K$4)</f>
        <v>0</v>
      </c>
      <c r="L10" s="175">
        <f>'Development Schedule'!N89*$E25*((1+$C$6)^L$4)</f>
        <v>0</v>
      </c>
      <c r="M10" s="175">
        <f>'Development Schedule'!O89*$E25*((1+$C$6)^M$4)</f>
        <v>0</v>
      </c>
      <c r="N10" s="176">
        <f>'Development Schedule'!P89*$E25*((1+$C$6)^N$4)</f>
        <v>0</v>
      </c>
    </row>
    <row r="11" spans="1:15" ht="14.15" customHeight="1">
      <c r="A11" s="122" t="s">
        <v>499</v>
      </c>
      <c r="B11" s="116"/>
      <c r="C11" s="117"/>
      <c r="D11" s="153">
        <f>'Development Schedule'!F90*$E26*((1+$C$6)^D$4)</f>
        <v>0</v>
      </c>
      <c r="E11" s="150">
        <f>'Development Schedule'!G90*$E26*((1+$C$6)^E$4)</f>
        <v>556920</v>
      </c>
      <c r="F11" s="151">
        <f>'Development Schedule'!H90*$E26*((1+$C$6)^F$4)</f>
        <v>0</v>
      </c>
      <c r="G11" s="152">
        <f>'Development Schedule'!I90*$E26*((1+$C$6)^G$4)</f>
        <v>0</v>
      </c>
      <c r="H11" s="150">
        <f>'Development Schedule'!J90*$E26*((1+$C$6)^H$4)</f>
        <v>2392445.6816400001</v>
      </c>
      <c r="I11" s="151">
        <f>'Development Schedule'!K90*$E26*((1+$C$6)^I$4)</f>
        <v>0</v>
      </c>
      <c r="J11" s="152">
        <f>'Development Schedule'!L90*$E26*((1+$C$6)^J$4)</f>
        <v>1182470.5402272001</v>
      </c>
      <c r="K11" s="151">
        <f>'Development Schedule'!M90*$E26*((1+$C$6)^K$4)</f>
        <v>1206119.9510317438</v>
      </c>
      <c r="L11" s="151">
        <f>'Development Schedule'!N90*$E26*((1+$C$6)^L$4)</f>
        <v>0</v>
      </c>
      <c r="M11" s="151">
        <f>'Development Schedule'!O90*$E26*((1+$C$6)^M$4)</f>
        <v>0</v>
      </c>
      <c r="N11" s="152">
        <f>'Development Schedule'!P90*$E26*((1+$C$6)^N$4)</f>
        <v>0</v>
      </c>
    </row>
    <row r="12" spans="1:15" ht="14.15" customHeight="1">
      <c r="A12" s="122" t="s">
        <v>500</v>
      </c>
      <c r="B12" s="79"/>
      <c r="C12" s="117"/>
      <c r="D12" s="173">
        <f>'Development Schedule'!F91*$E27*((1+$C$6)^D$4)</f>
        <v>0</v>
      </c>
      <c r="E12" s="174">
        <f>'Development Schedule'!G91*$E27*((1+$C$6)^E$4)</f>
        <v>0</v>
      </c>
      <c r="F12" s="175">
        <f>'Development Schedule'!H91*$E27*((1+$C$6)^F$4)</f>
        <v>0</v>
      </c>
      <c r="G12" s="176">
        <f>'Development Schedule'!I91*$E27*((1+$C$6)^G$4)</f>
        <v>0</v>
      </c>
      <c r="H12" s="174">
        <f>'Development Schedule'!J91*$E27*((1+$C$6)^H$4)</f>
        <v>4348671.2028000001</v>
      </c>
      <c r="I12" s="175">
        <f>'Development Schedule'!K91*$E27*((1+$C$6)^I$4)</f>
        <v>0</v>
      </c>
      <c r="J12" s="176">
        <f>'Development Schedule'!L91*$E27*((1+$C$6)^J$4)</f>
        <v>0</v>
      </c>
      <c r="K12" s="175">
        <f>'Development Schedule'!M91*$E27*((1+$C$6)^K$4)</f>
        <v>0</v>
      </c>
      <c r="L12" s="175">
        <f>'Development Schedule'!N91*$E27*((1+$C$6)^L$4)</f>
        <v>0</v>
      </c>
      <c r="M12" s="175">
        <f>'Development Schedule'!O91*$E27*((1+$C$6)^M$4)</f>
        <v>0</v>
      </c>
      <c r="N12" s="176">
        <f>'Development Schedule'!P91*$E27*((1+$C$6)^N$4)</f>
        <v>0</v>
      </c>
    </row>
    <row r="13" spans="1:15" ht="14.15" customHeight="1">
      <c r="A13" s="122" t="s">
        <v>490</v>
      </c>
      <c r="B13" s="79"/>
      <c r="C13" s="117"/>
      <c r="D13" s="173">
        <f>'Development Schedule'!F92*$E28*((1+$C$6)^D$4)</f>
        <v>0</v>
      </c>
      <c r="E13" s="174">
        <f>'Development Schedule'!G92*$E28*((1+$C$6)^E$4)</f>
        <v>0</v>
      </c>
      <c r="F13" s="175">
        <f>'Development Schedule'!H92*$E28*((1+$C$6)^F$4)</f>
        <v>0</v>
      </c>
      <c r="G13" s="176">
        <f>'Development Schedule'!I92*$E28*((1+$C$6)^G$4)</f>
        <v>0</v>
      </c>
      <c r="H13" s="174">
        <f>'Development Schedule'!J92*$E28*((1+$C$6)^H$4)</f>
        <v>0</v>
      </c>
      <c r="I13" s="175">
        <f>'Development Schedule'!K92*$E28*((1+$C$6)^I$4)</f>
        <v>0</v>
      </c>
      <c r="J13" s="176">
        <f>'Development Schedule'!L92*$E28*((1+$C$6)^J$4)</f>
        <v>0</v>
      </c>
      <c r="K13" s="175">
        <f>'Development Schedule'!M92*$E28*((1+$C$6)^K$4)</f>
        <v>0</v>
      </c>
      <c r="L13" s="175">
        <f>'Development Schedule'!N92*$E28*((1+$C$6)^L$4)</f>
        <v>0</v>
      </c>
      <c r="M13" s="175">
        <f>'Development Schedule'!O92*$E28*((1+$C$6)^M$4)</f>
        <v>0</v>
      </c>
      <c r="N13" s="176">
        <f>'Development Schedule'!P92*$E28*((1+$C$6)^N$4)</f>
        <v>1523743.0249934464</v>
      </c>
    </row>
    <row r="14" spans="1:15" ht="14.15" customHeight="1">
      <c r="A14" s="122" t="s">
        <v>505</v>
      </c>
      <c r="B14" s="79"/>
      <c r="C14" s="117"/>
      <c r="D14" s="173">
        <f>'Development Schedule'!F93*$E29*((1+$C$6)^D$4)</f>
        <v>0</v>
      </c>
      <c r="E14" s="174">
        <f>'Development Schedule'!G93*$E29*((1+$C$6)^E$4)</f>
        <v>0</v>
      </c>
      <c r="F14" s="175">
        <f>'Development Schedule'!H93*$E29*((1+$C$6)^F$4)</f>
        <v>0</v>
      </c>
      <c r="G14" s="176">
        <f>'Development Schedule'!I93*$E29*((1+$C$6)^G$4)</f>
        <v>0</v>
      </c>
      <c r="H14" s="174">
        <f>'Development Schedule'!J93*$E29*((1+$C$6)^H$4)</f>
        <v>0</v>
      </c>
      <c r="I14" s="175">
        <f>'Development Schedule'!K93*$E29*((1+$C$6)^I$4)</f>
        <v>0</v>
      </c>
      <c r="J14" s="176">
        <f>'Development Schedule'!L93*$E29*((1+$C$6)^J$4)</f>
        <v>0</v>
      </c>
      <c r="K14" s="175">
        <f>'Development Schedule'!M93*$E29*((1+$C$6)^K$4)</f>
        <v>2153785.6268423996</v>
      </c>
      <c r="L14" s="175">
        <f>'Development Schedule'!N93*$E29*((1+$C$6)^L$4)</f>
        <v>0</v>
      </c>
      <c r="M14" s="175">
        <f>'Development Schedule'!O93*$E29*((1+$C$6)^M$4)</f>
        <v>0</v>
      </c>
      <c r="N14" s="176">
        <f>'Development Schedule'!P93*$E29*((1+$C$6)^N$4)</f>
        <v>0</v>
      </c>
    </row>
    <row r="15" spans="1:15" ht="14.15" customHeight="1">
      <c r="A15" s="122" t="s">
        <v>496</v>
      </c>
      <c r="B15" s="79"/>
      <c r="C15" s="117"/>
      <c r="D15" s="173">
        <f>'Development Schedule'!F94*$E30*((1+$C$6)^D$4)</f>
        <v>0</v>
      </c>
      <c r="E15" s="174">
        <f>'Development Schedule'!G94*$E30*((1+$C$6)^E$4)</f>
        <v>8678096.3520000018</v>
      </c>
      <c r="F15" s="175">
        <f>'Development Schedule'!H94*$E30*((1+$C$6)^F$4)</f>
        <v>0</v>
      </c>
      <c r="G15" s="176">
        <f>'Development Schedule'!I94*$E30*((1+$C$6)^G$4)</f>
        <v>0</v>
      </c>
      <c r="H15" s="174">
        <f>'Development Schedule'!J94*$E30*((1+$C$6)^H$4)</f>
        <v>0</v>
      </c>
      <c r="I15" s="175">
        <f>'Development Schedule'!K94*$E30*((1+$C$6)^I$4)</f>
        <v>0</v>
      </c>
      <c r="J15" s="176">
        <f>'Development Schedule'!L94*$E30*((1+$C$6)^J$4)</f>
        <v>0</v>
      </c>
      <c r="K15" s="175">
        <f>'Development Schedule'!M94*$E30*((1+$C$6)^K$4)</f>
        <v>0</v>
      </c>
      <c r="L15" s="175">
        <f>'Development Schedule'!N94*$E30*((1+$C$6)^L$4)</f>
        <v>0</v>
      </c>
      <c r="M15" s="175">
        <f>'Development Schedule'!O94*$E30*((1+$C$6)^M$4)</f>
        <v>0</v>
      </c>
      <c r="N15" s="176">
        <f>'Development Schedule'!P94*$E30*((1+$C$6)^N$4)</f>
        <v>0</v>
      </c>
    </row>
    <row r="16" spans="1:15" ht="14.15" customHeight="1">
      <c r="A16" s="122" t="s">
        <v>134</v>
      </c>
      <c r="B16" s="79"/>
      <c r="C16" s="117"/>
      <c r="D16" s="173">
        <f>'Development Schedule'!F95*$E31*((1+$C$6)^D$4)</f>
        <v>0</v>
      </c>
      <c r="E16" s="174">
        <f>'Development Schedule'!G95*$E31*((1+$C$6)^E$4)</f>
        <v>0</v>
      </c>
      <c r="F16" s="175">
        <f>'Development Schedule'!H95*$E31*((1+$C$6)^F$4)</f>
        <v>0</v>
      </c>
      <c r="G16" s="176">
        <f>'Development Schedule'!I95*$E31*((1+$C$6)^G$4)</f>
        <v>0</v>
      </c>
      <c r="H16" s="174">
        <f>'Development Schedule'!J95*$E31*((1+$C$6)^H$4)</f>
        <v>0</v>
      </c>
      <c r="I16" s="175">
        <f>'Development Schedule'!K95*$E31*((1+$C$6)^I$4)</f>
        <v>0</v>
      </c>
      <c r="J16" s="176">
        <f>'Development Schedule'!L95*$E31*((1+$C$6)^J$4)</f>
        <v>0</v>
      </c>
      <c r="K16" s="175">
        <f>'Development Schedule'!M95*$E31*((1+$C$6)^K$4)</f>
        <v>2077347.1201949322</v>
      </c>
      <c r="L16" s="175">
        <f>'Development Schedule'!N95*$E31*((1+$C$6)^L$4)</f>
        <v>0</v>
      </c>
      <c r="M16" s="175">
        <f>'Development Schedule'!O95*$E31*((1+$C$6)^M$4)</f>
        <v>0</v>
      </c>
      <c r="N16" s="176">
        <f>'Development Schedule'!P95*$E31*((1+$C$6)^N$4)</f>
        <v>0</v>
      </c>
    </row>
    <row r="17" spans="1:14" ht="14.15" customHeight="1">
      <c r="A17" s="122" t="s">
        <v>497</v>
      </c>
      <c r="B17" s="79"/>
      <c r="C17" s="117"/>
      <c r="D17" s="153">
        <f>'Development Schedule'!F96*$E32*((1+$C$6)^D$4)</f>
        <v>0</v>
      </c>
      <c r="E17" s="150">
        <f>'Development Schedule'!G96*$E32*((1+$C$6)^E$4)</f>
        <v>0</v>
      </c>
      <c r="F17" s="151">
        <f>'Development Schedule'!H96*$E32*((1+$C$6)^F$4)</f>
        <v>0</v>
      </c>
      <c r="G17" s="152">
        <f>'Development Schedule'!I96*$E32*((1+$C$6)^G$4)</f>
        <v>0</v>
      </c>
      <c r="H17" s="150">
        <f>'Development Schedule'!J96*$E32*((1+$C$6)^H$4)</f>
        <v>0</v>
      </c>
      <c r="I17" s="151">
        <f>'Development Schedule'!K96*$E32*((1+$C$6)^I$4)</f>
        <v>0</v>
      </c>
      <c r="J17" s="152">
        <f>'Development Schedule'!L96*$E32*((1+$C$6)^J$4)</f>
        <v>0</v>
      </c>
      <c r="K17" s="151">
        <f>'Development Schedule'!M96*$E32*((1+$C$6)^K$4)</f>
        <v>6790730.6412895396</v>
      </c>
      <c r="L17" s="151">
        <f>'Development Schedule'!N96*$E32*((1+$C$6)^L$4)</f>
        <v>0</v>
      </c>
      <c r="M17" s="151">
        <f>'Development Schedule'!O96*$E32*((1+$C$6)^M$4)</f>
        <v>0</v>
      </c>
      <c r="N17" s="152">
        <f>'Development Schedule'!P96*$E32*((1+$C$6)^N$4)</f>
        <v>0</v>
      </c>
    </row>
    <row r="18" spans="1:14" ht="14.15" customHeight="1">
      <c r="A18" s="122" t="s">
        <v>427</v>
      </c>
      <c r="B18" s="79"/>
      <c r="C18" s="117"/>
      <c r="D18" s="153">
        <f>'Development Schedule'!F97*$E33*((1+$C$6)^D$4)</f>
        <v>0</v>
      </c>
      <c r="E18" s="150">
        <f>'Development Schedule'!G97*$E33*((1+$C$6)^E$4)</f>
        <v>0</v>
      </c>
      <c r="F18" s="151">
        <f>'Development Schedule'!H97*$E33*((1+$C$6)^F$4)</f>
        <v>0</v>
      </c>
      <c r="G18" s="152">
        <f>'Development Schedule'!I97*$E33*((1+$C$6)^G$4)</f>
        <v>0</v>
      </c>
      <c r="H18" s="150">
        <f>'Development Schedule'!J97*$E33*((1+$C$6)^H$4)</f>
        <v>0</v>
      </c>
      <c r="I18" s="151">
        <f>'Development Schedule'!K97*$E33*((1+$C$6)^I$4)</f>
        <v>0</v>
      </c>
      <c r="J18" s="152">
        <f>'Development Schedule'!L97*$E33*((1+$C$6)^J$4)</f>
        <v>3783905.7287270403</v>
      </c>
      <c r="K18" s="151">
        <f>'Development Schedule'!M97*$E33*((1+$C$6)^K$4)</f>
        <v>0</v>
      </c>
      <c r="L18" s="151">
        <f>'Development Schedule'!N97*$E33*((1+$C$6)^L$4)</f>
        <v>0</v>
      </c>
      <c r="M18" s="151">
        <f>'Development Schedule'!O97*$E33*((1+$C$6)^M$4)</f>
        <v>0</v>
      </c>
      <c r="N18" s="152">
        <f>'Development Schedule'!P97*$E33*((1+$C$6)^N$4)</f>
        <v>0</v>
      </c>
    </row>
    <row r="19" spans="1:14" ht="14.15" customHeight="1" thickBot="1">
      <c r="A19" s="123" t="s">
        <v>492</v>
      </c>
      <c r="B19" s="118"/>
      <c r="C19" s="119"/>
      <c r="D19" s="158">
        <f>'Development Schedule'!F98*$E34*((1+$C$6)^D$4)</f>
        <v>0</v>
      </c>
      <c r="E19" s="159">
        <f>'Development Schedule'!G98*$E34*((1+$C$6)^E$4)</f>
        <v>0</v>
      </c>
      <c r="F19" s="160">
        <f>'Development Schedule'!H98*$E34*((1+$C$6)^F$4)</f>
        <v>0</v>
      </c>
      <c r="G19" s="161">
        <f>'Development Schedule'!I98*$E34*((1+$C$6)^G$4)</f>
        <v>0</v>
      </c>
      <c r="H19" s="159">
        <f>'Development Schedule'!J98*$E34*((1+$C$6)^H$4)</f>
        <v>0</v>
      </c>
      <c r="I19" s="160">
        <f>'Development Schedule'!K98*$E34*((1+$C$6)^I$4)</f>
        <v>13808098.812878564</v>
      </c>
      <c r="J19" s="161">
        <f>'Development Schedule'!L98*$E34*((1+$C$6)^J$4)</f>
        <v>0</v>
      </c>
      <c r="K19" s="160">
        <f>'Development Schedule'!M98*$E34*((1+$C$6)^K$4)</f>
        <v>0</v>
      </c>
      <c r="L19" s="160">
        <f>'Development Schedule'!N98*$E34*((1+$C$6)^L$4)</f>
        <v>0</v>
      </c>
      <c r="M19" s="160">
        <f>'Development Schedule'!O98*$E34*((1+$C$6)^M$4)</f>
        <v>0</v>
      </c>
      <c r="N19" s="161">
        <f>'Development Schedule'!P98*$E34*((1+$C$6)^N$4)</f>
        <v>0</v>
      </c>
    </row>
    <row r="20" spans="1:14" ht="13.5" thickBot="1">
      <c r="A20" s="89" t="s">
        <v>7</v>
      </c>
      <c r="B20" s="90"/>
      <c r="C20" s="162"/>
      <c r="D20" s="163">
        <f>SUM(D9:D19)</f>
        <v>0</v>
      </c>
      <c r="E20" s="164">
        <f t="shared" ref="E20:N20" si="2">SUM(E9:E19)</f>
        <v>9235016.3520000018</v>
      </c>
      <c r="F20" s="165">
        <f t="shared" si="2"/>
        <v>1664640</v>
      </c>
      <c r="G20" s="166">
        <f t="shared" si="2"/>
        <v>0</v>
      </c>
      <c r="H20" s="164">
        <f t="shared" si="2"/>
        <v>16212398.284440001</v>
      </c>
      <c r="I20" s="165">
        <f t="shared" si="2"/>
        <v>13808098.812878564</v>
      </c>
      <c r="J20" s="166">
        <f t="shared" si="2"/>
        <v>6149972.9716007039</v>
      </c>
      <c r="K20" s="165">
        <f t="shared" si="2"/>
        <v>12227983.339358617</v>
      </c>
      <c r="L20" s="165">
        <f t="shared" si="2"/>
        <v>0</v>
      </c>
      <c r="M20" s="165">
        <f t="shared" si="2"/>
        <v>956074.05489784863</v>
      </c>
      <c r="N20" s="166">
        <f t="shared" si="2"/>
        <v>1523743.0249934464</v>
      </c>
    </row>
    <row r="21" spans="1:14" ht="13.5" thickBot="1">
      <c r="A21" s="125" t="s">
        <v>33</v>
      </c>
      <c r="B21" s="126"/>
      <c r="C21" s="127"/>
      <c r="D21" s="163">
        <f>D20+NPV(E35,E20:N20)</f>
        <v>41773176.881169841</v>
      </c>
      <c r="E21" s="87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13" thickBot="1"/>
    <row r="23" spans="1:14" ht="13.5" thickBot="1">
      <c r="A23" s="136" t="s">
        <v>506</v>
      </c>
      <c r="B23" s="137"/>
      <c r="C23" s="137"/>
      <c r="D23" s="168"/>
      <c r="E23" s="138"/>
    </row>
    <row r="24" spans="1:14">
      <c r="A24" s="65" t="s">
        <v>488</v>
      </c>
      <c r="B24" s="76"/>
      <c r="C24" s="76"/>
      <c r="D24" s="76"/>
      <c r="E24" s="167">
        <v>25</v>
      </c>
    </row>
    <row r="25" spans="1:14">
      <c r="A25" s="65" t="s">
        <v>489</v>
      </c>
      <c r="B25" s="76"/>
      <c r="C25" s="66"/>
      <c r="D25" s="76"/>
      <c r="E25" s="134">
        <v>250</v>
      </c>
    </row>
    <row r="26" spans="1:14">
      <c r="A26" s="65" t="s">
        <v>499</v>
      </c>
      <c r="B26" s="76"/>
      <c r="C26" s="66"/>
      <c r="D26" s="76"/>
      <c r="E26" s="134">
        <v>35</v>
      </c>
    </row>
    <row r="27" spans="1:14">
      <c r="A27" s="65" t="s">
        <v>500</v>
      </c>
      <c r="B27" s="76"/>
      <c r="C27" s="66"/>
      <c r="D27" s="76"/>
      <c r="E27" s="134">
        <v>50</v>
      </c>
    </row>
    <row r="28" spans="1:14">
      <c r="A28" s="65" t="s">
        <v>490</v>
      </c>
      <c r="B28" s="76"/>
      <c r="C28" s="66"/>
      <c r="D28" s="76"/>
      <c r="E28" s="134">
        <v>25</v>
      </c>
    </row>
    <row r="29" spans="1:14">
      <c r="A29" s="65" t="s">
        <v>505</v>
      </c>
      <c r="B29" s="76"/>
      <c r="C29" s="66"/>
      <c r="D29" s="76"/>
      <c r="E29" s="134">
        <v>25</v>
      </c>
    </row>
    <row r="30" spans="1:14">
      <c r="A30" s="65" t="s">
        <v>496</v>
      </c>
      <c r="B30" s="76"/>
      <c r="C30" s="66"/>
      <c r="D30" s="76"/>
      <c r="E30" s="134">
        <v>157.55440000000002</v>
      </c>
    </row>
    <row r="31" spans="1:14">
      <c r="A31" s="65" t="s">
        <v>134</v>
      </c>
      <c r="B31" s="76"/>
      <c r="C31" s="66"/>
      <c r="D31" s="76"/>
      <c r="E31" s="134">
        <v>167.4496</v>
      </c>
    </row>
    <row r="32" spans="1:14">
      <c r="A32" s="65" t="s">
        <v>497</v>
      </c>
      <c r="B32" s="76"/>
      <c r="C32" s="66"/>
      <c r="D32" s="76"/>
      <c r="E32" s="134">
        <v>233.66559999999998</v>
      </c>
    </row>
    <row r="33" spans="1:5">
      <c r="A33" s="65" t="s">
        <v>427</v>
      </c>
      <c r="B33" s="76"/>
      <c r="C33" s="66"/>
      <c r="D33" s="76"/>
      <c r="E33" s="134">
        <v>200</v>
      </c>
    </row>
    <row r="34" spans="1:5">
      <c r="A34" s="65" t="s">
        <v>492</v>
      </c>
      <c r="B34" s="76"/>
      <c r="C34" s="66"/>
      <c r="D34" s="76"/>
      <c r="E34" s="134">
        <v>174.24480000000003</v>
      </c>
    </row>
    <row r="35" spans="1:5" ht="13" thickBot="1">
      <c r="A35" s="68" t="s">
        <v>85</v>
      </c>
      <c r="B35" s="128"/>
      <c r="C35" s="69"/>
      <c r="D35" s="128"/>
      <c r="E35" s="135">
        <v>0.09</v>
      </c>
    </row>
  </sheetData>
  <phoneticPr fontId="3" type="noConversion"/>
  <printOptions horizontalCentered="1"/>
  <pageMargins left="0.5" right="0.5" top="1" bottom="0.5" header="0.5" footer="0.5"/>
  <pageSetup scale="70" orientation="landscape" r:id="rId1"/>
  <headerFooter alignWithMargins="0">
    <oddHeader>&amp;L&amp;"Arial,Bold"1. Infrastructure Costs by Year, Allocated by Use Types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8"/>
  <sheetViews>
    <sheetView view="pageBreakPreview" topLeftCell="A47" zoomScale="85" zoomScaleNormal="100" zoomScaleSheetLayoutView="85" workbookViewId="0">
      <selection activeCell="B60" sqref="B60"/>
    </sheetView>
  </sheetViews>
  <sheetFormatPr defaultColWidth="9.1796875" defaultRowHeight="12.5"/>
  <cols>
    <col min="1" max="1" width="28.1796875" style="105" customWidth="1"/>
    <col min="2" max="2" width="12.7265625" style="106" customWidth="1"/>
    <col min="3" max="3" width="13.7265625" style="106" customWidth="1"/>
    <col min="4" max="13" width="13.7265625" style="105" customWidth="1"/>
    <col min="14" max="14" width="15.26953125" style="105" bestFit="1" customWidth="1"/>
    <col min="15" max="16384" width="9.1796875" style="105"/>
  </cols>
  <sheetData>
    <row r="1" spans="1:13" ht="14.15" customHeight="1" thickBot="1">
      <c r="A1" s="37"/>
      <c r="B1" s="59"/>
      <c r="C1" s="59"/>
      <c r="D1" s="37"/>
      <c r="E1" s="37"/>
      <c r="F1" s="37"/>
      <c r="G1" s="37"/>
      <c r="H1" s="37"/>
      <c r="I1" s="37"/>
      <c r="J1" s="37"/>
      <c r="K1" s="37"/>
      <c r="L1" s="145" t="s">
        <v>86</v>
      </c>
      <c r="M1" s="343">
        <v>203666</v>
      </c>
    </row>
    <row r="2" spans="1:13" ht="14.15" customHeight="1" thickBot="1">
      <c r="A2" s="37"/>
      <c r="B2" s="59"/>
      <c r="C2" s="59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15" customHeight="1" thickBot="1">
      <c r="A3" s="133"/>
      <c r="B3" s="213"/>
      <c r="C3" s="139" t="s">
        <v>53</v>
      </c>
      <c r="D3" s="112" t="s">
        <v>34</v>
      </c>
      <c r="E3" s="113"/>
      <c r="F3" s="44"/>
      <c r="G3" s="112" t="s">
        <v>76</v>
      </c>
      <c r="H3" s="154"/>
      <c r="I3" s="44"/>
      <c r="J3" s="42" t="s">
        <v>77</v>
      </c>
      <c r="K3" s="42"/>
      <c r="L3" s="43"/>
      <c r="M3" s="44"/>
    </row>
    <row r="4" spans="1:13" ht="14.15" customHeight="1" thickBot="1">
      <c r="A4" s="65"/>
      <c r="B4" s="66"/>
      <c r="C4" s="147">
        <v>0</v>
      </c>
      <c r="D4" s="110">
        <f>C4+1</f>
        <v>1</v>
      </c>
      <c r="E4" s="109">
        <f t="shared" ref="E4:M5" si="0">D4+1</f>
        <v>2</v>
      </c>
      <c r="F4" s="111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09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</row>
    <row r="5" spans="1:13" ht="13.5" customHeight="1" thickBot="1">
      <c r="A5" s="68"/>
      <c r="B5" s="146"/>
      <c r="C5" s="1016" t="str">
        <f>'1.Inftr Costs'!$D$5</f>
        <v>2020-2021</v>
      </c>
      <c r="D5" s="1017">
        <f>'1.Inftr Costs'!$E$5</f>
        <v>2022</v>
      </c>
      <c r="E5" s="109">
        <f>D5+1</f>
        <v>2023</v>
      </c>
      <c r="F5" s="111">
        <f t="shared" si="0"/>
        <v>2024</v>
      </c>
      <c r="G5" s="110">
        <f t="shared" si="0"/>
        <v>2025</v>
      </c>
      <c r="H5" s="109">
        <f t="shared" si="0"/>
        <v>2026</v>
      </c>
      <c r="I5" s="111">
        <f t="shared" si="0"/>
        <v>2027</v>
      </c>
      <c r="J5" s="109">
        <f t="shared" si="0"/>
        <v>2028</v>
      </c>
      <c r="K5" s="109">
        <f t="shared" si="0"/>
        <v>2029</v>
      </c>
      <c r="L5" s="109">
        <f>K5+1</f>
        <v>2030</v>
      </c>
      <c r="M5" s="111">
        <f>L5+1</f>
        <v>2031</v>
      </c>
    </row>
    <row r="6" spans="1:13" ht="13.5" thickBot="1">
      <c r="A6" s="208" t="s">
        <v>8</v>
      </c>
      <c r="B6" s="205"/>
      <c r="C6" s="214"/>
      <c r="D6" s="217"/>
      <c r="E6" s="206"/>
      <c r="F6" s="207"/>
      <c r="G6" s="217"/>
      <c r="H6" s="206"/>
      <c r="I6" s="207"/>
      <c r="J6" s="217"/>
      <c r="K6" s="206"/>
      <c r="L6" s="206"/>
      <c r="M6" s="207"/>
    </row>
    <row r="7" spans="1:13" s="37" customFormat="1" ht="13">
      <c r="A7" s="64" t="s">
        <v>34</v>
      </c>
      <c r="B7" s="66"/>
      <c r="C7" s="141"/>
      <c r="D7" s="65"/>
      <c r="E7" s="76"/>
      <c r="F7" s="121"/>
      <c r="G7" s="65"/>
      <c r="H7" s="76"/>
      <c r="I7" s="121"/>
      <c r="J7" s="65"/>
      <c r="K7" s="76"/>
      <c r="L7" s="76"/>
      <c r="M7" s="121"/>
    </row>
    <row r="8" spans="1:13" s="37" customFormat="1">
      <c r="A8" s="183" t="s">
        <v>9</v>
      </c>
      <c r="B8" s="1019">
        <f>'1.Inftr Costs'!$C$6</f>
        <v>0.02</v>
      </c>
      <c r="C8" s="140"/>
      <c r="D8" s="143"/>
      <c r="E8" s="115"/>
      <c r="F8" s="120"/>
      <c r="G8" s="143"/>
      <c r="H8" s="115"/>
      <c r="I8" s="120"/>
      <c r="J8" s="143"/>
      <c r="K8" s="115"/>
      <c r="L8" s="115"/>
      <c r="M8" s="120"/>
    </row>
    <row r="9" spans="1:13" s="37" customFormat="1">
      <c r="A9" s="183" t="s">
        <v>90</v>
      </c>
      <c r="B9" s="132"/>
      <c r="C9" s="140"/>
      <c r="D9" s="218">
        <f>ROUND('Development Schedule'!G82/$B$12,0)</f>
        <v>113</v>
      </c>
      <c r="E9" s="195">
        <f>ROUND('Development Schedule'!H82/$B$12,0)</f>
        <v>0</v>
      </c>
      <c r="F9" s="197">
        <f>ROUND('Development Schedule'!I82/$B$12,0)</f>
        <v>159</v>
      </c>
      <c r="G9" s="218"/>
      <c r="H9" s="195"/>
      <c r="I9" s="197"/>
      <c r="J9" s="218"/>
      <c r="K9" s="195"/>
      <c r="L9" s="195"/>
      <c r="M9" s="197"/>
    </row>
    <row r="10" spans="1:13" s="37" customFormat="1" ht="14.15" customHeight="1">
      <c r="A10" s="183" t="s">
        <v>35</v>
      </c>
      <c r="B10" s="66"/>
      <c r="C10" s="141"/>
      <c r="D10" s="219">
        <f>ROUND($C$58*D15,0)</f>
        <v>0</v>
      </c>
      <c r="E10" s="66">
        <f>E11-SUM($D$10:D10)</f>
        <v>82</v>
      </c>
      <c r="F10" s="191">
        <f>F11-SUM($D$10:E10)</f>
        <v>122</v>
      </c>
      <c r="G10" s="219">
        <f>G11-SUM($D$10:F10)</f>
        <v>54</v>
      </c>
      <c r="H10" s="66">
        <f>H11-SUM($D$10:G10)</f>
        <v>0</v>
      </c>
      <c r="I10" s="191">
        <f>I11-SUM($D$10:H10)</f>
        <v>0</v>
      </c>
      <c r="J10" s="219">
        <f>J11-SUM($D$10:I10)</f>
        <v>0</v>
      </c>
      <c r="K10" s="66">
        <f>K11-SUM($D$10:J10)</f>
        <v>0</v>
      </c>
      <c r="L10" s="66">
        <f>L11-SUM($D$10:K10)</f>
        <v>0</v>
      </c>
      <c r="M10" s="191">
        <f>M11-SUM($D$10:L10)</f>
        <v>0</v>
      </c>
    </row>
    <row r="11" spans="1:13" s="37" customFormat="1" ht="14.15" customHeight="1">
      <c r="A11" s="183" t="s">
        <v>91</v>
      </c>
      <c r="B11" s="60"/>
      <c r="C11" s="141"/>
      <c r="D11" s="219">
        <f t="shared" ref="D11:M11" si="1">ROUND($C$58*D15,0)</f>
        <v>0</v>
      </c>
      <c r="E11" s="66">
        <f t="shared" si="1"/>
        <v>82</v>
      </c>
      <c r="F11" s="191">
        <f t="shared" si="1"/>
        <v>204</v>
      </c>
      <c r="G11" s="219">
        <f t="shared" si="1"/>
        <v>258</v>
      </c>
      <c r="H11" s="66">
        <f t="shared" si="1"/>
        <v>258</v>
      </c>
      <c r="I11" s="191">
        <f t="shared" si="1"/>
        <v>258</v>
      </c>
      <c r="J11" s="219">
        <f t="shared" si="1"/>
        <v>258</v>
      </c>
      <c r="K11" s="66">
        <f t="shared" si="1"/>
        <v>258</v>
      </c>
      <c r="L11" s="66">
        <f t="shared" si="1"/>
        <v>258</v>
      </c>
      <c r="M11" s="191">
        <f t="shared" si="1"/>
        <v>258</v>
      </c>
    </row>
    <row r="12" spans="1:13" s="37" customFormat="1" ht="14.15" customHeight="1">
      <c r="A12" s="183" t="s">
        <v>36</v>
      </c>
      <c r="B12" s="60">
        <v>850</v>
      </c>
      <c r="C12" s="141"/>
      <c r="D12" s="220"/>
      <c r="E12" s="116"/>
      <c r="F12" s="198"/>
      <c r="G12" s="220"/>
      <c r="H12" s="116"/>
      <c r="I12" s="198"/>
      <c r="J12" s="220"/>
      <c r="K12" s="116"/>
      <c r="L12" s="116"/>
      <c r="M12" s="198"/>
    </row>
    <row r="13" spans="1:13" s="37" customFormat="1" ht="14.15" customHeight="1">
      <c r="A13" s="183" t="s">
        <v>37</v>
      </c>
      <c r="B13" s="66"/>
      <c r="C13" s="141"/>
      <c r="D13" s="221">
        <f>SUM($D$9:D9)*$B$12</f>
        <v>96050</v>
      </c>
      <c r="E13" s="194">
        <f>SUM($D$9:E9)*$B$12</f>
        <v>96050</v>
      </c>
      <c r="F13" s="199">
        <f>SUM($D$9:F9)*$B$12</f>
        <v>231200</v>
      </c>
      <c r="G13" s="221">
        <f>SUM($D$9:G9)*$B$12</f>
        <v>231200</v>
      </c>
      <c r="H13" s="194">
        <f>SUM($D$9:H9)*$B$12</f>
        <v>231200</v>
      </c>
      <c r="I13" s="199">
        <f>SUM($D$9:I9)*$B$12</f>
        <v>231200</v>
      </c>
      <c r="J13" s="221">
        <f>SUM($D$9:J9)*$B$12</f>
        <v>231200</v>
      </c>
      <c r="K13" s="194">
        <f>SUM($D$9:K9)*$B$12</f>
        <v>231200</v>
      </c>
      <c r="L13" s="194">
        <f>SUM($D$9:L9)*$B$12</f>
        <v>231200</v>
      </c>
      <c r="M13" s="199">
        <f>SUM($D$9:M9)*$B$12</f>
        <v>231200</v>
      </c>
    </row>
    <row r="14" spans="1:13" s="37" customFormat="1" ht="14.15" customHeight="1">
      <c r="A14" s="183" t="s">
        <v>93</v>
      </c>
      <c r="B14" s="66"/>
      <c r="C14" s="230">
        <v>2.9</v>
      </c>
      <c r="D14" s="222">
        <f>$C$14*(1+$B$8)^D4</f>
        <v>2.9579999999999997</v>
      </c>
      <c r="E14" s="209">
        <f t="shared" ref="E14:M14" si="2">$C$14*(1+$B$8)^E4</f>
        <v>3.0171600000000001</v>
      </c>
      <c r="F14" s="210">
        <f t="shared" si="2"/>
        <v>3.0775031999999998</v>
      </c>
      <c r="G14" s="222">
        <f t="shared" si="2"/>
        <v>3.1390532639999997</v>
      </c>
      <c r="H14" s="209">
        <f t="shared" si="2"/>
        <v>3.20183432928</v>
      </c>
      <c r="I14" s="210">
        <f t="shared" si="2"/>
        <v>3.2658710158656001</v>
      </c>
      <c r="J14" s="222">
        <f t="shared" si="2"/>
        <v>3.3311884361829112</v>
      </c>
      <c r="K14" s="209">
        <f t="shared" si="2"/>
        <v>3.39781220490657</v>
      </c>
      <c r="L14" s="209">
        <f t="shared" si="2"/>
        <v>3.4657684490047012</v>
      </c>
      <c r="M14" s="210">
        <f t="shared" si="2"/>
        <v>3.5350838179847957</v>
      </c>
    </row>
    <row r="15" spans="1:13" s="37" customFormat="1" ht="14.15" customHeight="1" thickBot="1">
      <c r="A15" s="144" t="s">
        <v>38</v>
      </c>
      <c r="B15" s="200"/>
      <c r="C15" s="216"/>
      <c r="D15" s="223">
        <v>0</v>
      </c>
      <c r="E15" s="201">
        <v>0.3</v>
      </c>
      <c r="F15" s="224">
        <v>0.75</v>
      </c>
      <c r="G15" s="227">
        <v>0.95</v>
      </c>
      <c r="H15" s="200">
        <f t="shared" ref="H15:M15" si="3">G15</f>
        <v>0.95</v>
      </c>
      <c r="I15" s="204">
        <f t="shared" si="3"/>
        <v>0.95</v>
      </c>
      <c r="J15" s="231">
        <f t="shared" si="3"/>
        <v>0.95</v>
      </c>
      <c r="K15" s="200">
        <f t="shared" si="3"/>
        <v>0.95</v>
      </c>
      <c r="L15" s="200">
        <f t="shared" si="3"/>
        <v>0.95</v>
      </c>
      <c r="M15" s="204">
        <f t="shared" si="3"/>
        <v>0.95</v>
      </c>
    </row>
    <row r="16" spans="1:13" s="76" customFormat="1" ht="4.5" customHeight="1">
      <c r="A16" s="183"/>
      <c r="B16" s="117"/>
      <c r="C16" s="142"/>
      <c r="D16" s="225"/>
      <c r="E16" s="196"/>
      <c r="F16" s="226"/>
      <c r="G16" s="228"/>
      <c r="H16" s="132"/>
      <c r="I16" s="229"/>
      <c r="J16" s="278"/>
      <c r="K16" s="117"/>
      <c r="L16" s="117"/>
      <c r="M16" s="229"/>
    </row>
    <row r="17" spans="1:13" s="76" customFormat="1" ht="14.15" customHeight="1">
      <c r="A17" s="64" t="s">
        <v>76</v>
      </c>
      <c r="B17" s="66"/>
      <c r="C17" s="141"/>
      <c r="D17" s="65"/>
      <c r="F17" s="121"/>
      <c r="G17" s="65"/>
      <c r="I17" s="121"/>
      <c r="J17" s="65"/>
      <c r="M17" s="121"/>
    </row>
    <row r="18" spans="1:13" s="76" customFormat="1" ht="14.15" customHeight="1">
      <c r="A18" s="183" t="s">
        <v>9</v>
      </c>
      <c r="B18" s="1020">
        <f>$B$8</f>
        <v>0.02</v>
      </c>
      <c r="C18" s="140"/>
      <c r="D18" s="143"/>
      <c r="E18" s="115"/>
      <c r="F18" s="120"/>
      <c r="G18" s="143"/>
      <c r="H18" s="115"/>
      <c r="I18" s="120"/>
      <c r="J18" s="143"/>
      <c r="K18" s="115"/>
      <c r="L18" s="115"/>
      <c r="M18" s="120"/>
    </row>
    <row r="19" spans="1:13" s="76" customFormat="1" ht="14.15" customHeight="1">
      <c r="A19" s="183" t="s">
        <v>90</v>
      </c>
      <c r="B19" s="132"/>
      <c r="C19" s="140"/>
      <c r="D19" s="218"/>
      <c r="E19" s="195"/>
      <c r="F19" s="197"/>
      <c r="G19" s="218">
        <f>ROUND('Development Schedule'!J82/$B$22,0)</f>
        <v>0</v>
      </c>
      <c r="H19" s="195">
        <f>ROUND('Development Schedule'!K82/$B$22,0)</f>
        <v>151</v>
      </c>
      <c r="I19" s="197">
        <f>ROUND('Development Schedule'!L82/$B$22,0)</f>
        <v>0</v>
      </c>
      <c r="J19" s="218"/>
      <c r="K19" s="195"/>
      <c r="L19" s="195"/>
      <c r="M19" s="197"/>
    </row>
    <row r="20" spans="1:13" s="76" customFormat="1" ht="14.15" customHeight="1">
      <c r="A20" s="183" t="s">
        <v>35</v>
      </c>
      <c r="B20" s="66"/>
      <c r="C20" s="141"/>
      <c r="D20" s="219"/>
      <c r="E20" s="66"/>
      <c r="F20" s="191"/>
      <c r="G20" s="219">
        <f>G21-SUM($D$20:F20)</f>
        <v>45</v>
      </c>
      <c r="H20" s="66">
        <f>H21-SUM($D$20:G20)</f>
        <v>68</v>
      </c>
      <c r="I20" s="191">
        <f>I21-SUM($D$20:H20)</f>
        <v>30</v>
      </c>
      <c r="J20" s="219">
        <f>J21-SUM($D$20:I20)</f>
        <v>0</v>
      </c>
      <c r="K20" s="66">
        <f>K21-SUM($D$20:J20)</f>
        <v>0</v>
      </c>
      <c r="L20" s="66">
        <f>L21-SUM($D$20:K20)</f>
        <v>0</v>
      </c>
      <c r="M20" s="191">
        <f>M21-SUM($D$20:L20)</f>
        <v>0</v>
      </c>
    </row>
    <row r="21" spans="1:13" s="76" customFormat="1" ht="14.15" customHeight="1">
      <c r="A21" s="183" t="s">
        <v>91</v>
      </c>
      <c r="B21" s="60"/>
      <c r="C21" s="141"/>
      <c r="D21" s="219"/>
      <c r="E21" s="66"/>
      <c r="F21" s="191"/>
      <c r="G21" s="219">
        <f t="shared" ref="G21:M21" si="4">ROUND($C$59*G25,0)</f>
        <v>45</v>
      </c>
      <c r="H21" s="66">
        <f t="shared" si="4"/>
        <v>113</v>
      </c>
      <c r="I21" s="191">
        <f t="shared" si="4"/>
        <v>143</v>
      </c>
      <c r="J21" s="219">
        <f t="shared" si="4"/>
        <v>143</v>
      </c>
      <c r="K21" s="66">
        <f t="shared" si="4"/>
        <v>143</v>
      </c>
      <c r="L21" s="66">
        <f t="shared" si="4"/>
        <v>143</v>
      </c>
      <c r="M21" s="191">
        <f t="shared" si="4"/>
        <v>143</v>
      </c>
    </row>
    <row r="22" spans="1:13" s="76" customFormat="1" ht="14.15" customHeight="1">
      <c r="A22" s="183" t="s">
        <v>36</v>
      </c>
      <c r="B22" s="60">
        <v>850</v>
      </c>
      <c r="C22" s="141"/>
      <c r="D22" s="220"/>
      <c r="E22" s="116"/>
      <c r="F22" s="198"/>
      <c r="G22" s="220"/>
      <c r="H22" s="116"/>
      <c r="I22" s="198"/>
      <c r="J22" s="220"/>
      <c r="K22" s="116"/>
      <c r="L22" s="116"/>
      <c r="M22" s="198"/>
    </row>
    <row r="23" spans="1:13" s="76" customFormat="1" ht="14.15" customHeight="1">
      <c r="A23" s="183" t="s">
        <v>37</v>
      </c>
      <c r="B23" s="66"/>
      <c r="C23" s="141"/>
      <c r="D23" s="221"/>
      <c r="E23" s="194"/>
      <c r="F23" s="199"/>
      <c r="G23" s="221">
        <f>SUM($D$19:G19)*$B$22</f>
        <v>0</v>
      </c>
      <c r="H23" s="194">
        <f>SUM($D$19:H19)*$B$22</f>
        <v>128350</v>
      </c>
      <c r="I23" s="199">
        <f>SUM($D$19:I19)*$B$22</f>
        <v>128350</v>
      </c>
      <c r="J23" s="221">
        <f>SUM($D$19:J19)*$B$22</f>
        <v>128350</v>
      </c>
      <c r="K23" s="194">
        <f>SUM($D$19:K19)*$B$22</f>
        <v>128350</v>
      </c>
      <c r="L23" s="194">
        <f>SUM($D$19:L19)*$B$22</f>
        <v>128350</v>
      </c>
      <c r="M23" s="199">
        <f>SUM($D$19:M19)*$B$22</f>
        <v>128350</v>
      </c>
    </row>
    <row r="24" spans="1:13" s="76" customFormat="1" ht="14.15" customHeight="1">
      <c r="A24" s="183" t="s">
        <v>93</v>
      </c>
      <c r="B24" s="66"/>
      <c r="C24" s="215">
        <f t="shared" ref="C24:M24" si="5">C14</f>
        <v>2.9</v>
      </c>
      <c r="D24" s="222">
        <f t="shared" si="5"/>
        <v>2.9579999999999997</v>
      </c>
      <c r="E24" s="209">
        <f t="shared" si="5"/>
        <v>3.0171600000000001</v>
      </c>
      <c r="F24" s="210">
        <f t="shared" si="5"/>
        <v>3.0775031999999998</v>
      </c>
      <c r="G24" s="222">
        <f t="shared" si="5"/>
        <v>3.1390532639999997</v>
      </c>
      <c r="H24" s="209">
        <f t="shared" si="5"/>
        <v>3.20183432928</v>
      </c>
      <c r="I24" s="210">
        <f t="shared" si="5"/>
        <v>3.2658710158656001</v>
      </c>
      <c r="J24" s="222">
        <f t="shared" si="5"/>
        <v>3.3311884361829112</v>
      </c>
      <c r="K24" s="209">
        <f t="shared" si="5"/>
        <v>3.39781220490657</v>
      </c>
      <c r="L24" s="209">
        <f t="shared" si="5"/>
        <v>3.4657684490047012</v>
      </c>
      <c r="M24" s="210">
        <f t="shared" si="5"/>
        <v>3.5350838179847957</v>
      </c>
    </row>
    <row r="25" spans="1:13" s="76" customFormat="1" ht="14.15" customHeight="1" thickBot="1">
      <c r="A25" s="144" t="s">
        <v>38</v>
      </c>
      <c r="B25" s="200"/>
      <c r="C25" s="216"/>
      <c r="D25" s="223">
        <v>0</v>
      </c>
      <c r="E25" s="202">
        <f>D25</f>
        <v>0</v>
      </c>
      <c r="F25" s="204">
        <f>E25</f>
        <v>0</v>
      </c>
      <c r="G25" s="227">
        <v>0.3</v>
      </c>
      <c r="H25" s="203">
        <v>0.75</v>
      </c>
      <c r="I25" s="224">
        <v>0.95</v>
      </c>
      <c r="J25" s="231">
        <f>I25</f>
        <v>0.95</v>
      </c>
      <c r="K25" s="200">
        <f>J25</f>
        <v>0.95</v>
      </c>
      <c r="L25" s="200">
        <f>K25</f>
        <v>0.95</v>
      </c>
      <c r="M25" s="204">
        <f>L25</f>
        <v>0.95</v>
      </c>
    </row>
    <row r="26" spans="1:13" s="76" customFormat="1" ht="4.5" customHeight="1">
      <c r="A26" s="183"/>
      <c r="B26" s="117"/>
      <c r="C26" s="142"/>
      <c r="D26" s="225"/>
      <c r="E26" s="196"/>
      <c r="F26" s="226"/>
      <c r="G26" s="228"/>
      <c r="H26" s="132"/>
      <c r="I26" s="229"/>
      <c r="J26" s="278"/>
      <c r="K26" s="117"/>
      <c r="L26" s="117"/>
      <c r="M26" s="229"/>
    </row>
    <row r="27" spans="1:13" s="76" customFormat="1" ht="14.15" customHeight="1">
      <c r="A27" s="64" t="s">
        <v>77</v>
      </c>
      <c r="B27" s="66"/>
      <c r="C27" s="141"/>
      <c r="D27" s="65"/>
      <c r="F27" s="121"/>
      <c r="G27" s="65"/>
      <c r="I27" s="121"/>
      <c r="J27" s="65"/>
      <c r="M27" s="121"/>
    </row>
    <row r="28" spans="1:13" s="76" customFormat="1" ht="14.15" customHeight="1">
      <c r="A28" s="183" t="s">
        <v>9</v>
      </c>
      <c r="B28" s="1020">
        <f>$B$8</f>
        <v>0.02</v>
      </c>
      <c r="C28" s="140"/>
      <c r="D28" s="143"/>
      <c r="E28" s="115"/>
      <c r="F28" s="120"/>
      <c r="G28" s="143"/>
      <c r="H28" s="115"/>
      <c r="I28" s="120"/>
      <c r="J28" s="143"/>
      <c r="K28" s="115"/>
      <c r="L28" s="115"/>
      <c r="M28" s="120"/>
    </row>
    <row r="29" spans="1:13" s="76" customFormat="1" ht="14.15" customHeight="1">
      <c r="A29" s="183" t="s">
        <v>90</v>
      </c>
      <c r="B29" s="132"/>
      <c r="C29" s="140"/>
      <c r="D29" s="218"/>
      <c r="E29" s="195"/>
      <c r="F29" s="197"/>
      <c r="G29" s="218"/>
      <c r="H29" s="195"/>
      <c r="I29" s="197"/>
      <c r="J29" s="218">
        <f>ROUND('Development Schedule'!M82/$B$32,0)</f>
        <v>138</v>
      </c>
      <c r="K29" s="195">
        <f>ROUND('Development Schedule'!N82/$B$32,0)</f>
        <v>0</v>
      </c>
      <c r="L29" s="195">
        <f>ROUND('Development Schedule'!O82/$B$32,0)</f>
        <v>0</v>
      </c>
      <c r="M29" s="197">
        <f>ROUND('Development Schedule'!P82/$B$32,0)</f>
        <v>0</v>
      </c>
    </row>
    <row r="30" spans="1:13" s="76" customFormat="1" ht="14.15" customHeight="1">
      <c r="A30" s="183" t="s">
        <v>35</v>
      </c>
      <c r="B30" s="66"/>
      <c r="C30" s="141"/>
      <c r="D30" s="219"/>
      <c r="E30" s="66"/>
      <c r="F30" s="191"/>
      <c r="G30" s="219"/>
      <c r="H30" s="66"/>
      <c r="I30" s="191"/>
      <c r="J30" s="219">
        <f>J31-SUM($D$30:I30)</f>
        <v>41</v>
      </c>
      <c r="K30" s="66">
        <f>K31-SUM($D$30:J30)</f>
        <v>62</v>
      </c>
      <c r="L30" s="66">
        <f>L31-SUM($D$30:K30)</f>
        <v>28</v>
      </c>
      <c r="M30" s="191">
        <f>M31-SUM($D$30:L30)</f>
        <v>0</v>
      </c>
    </row>
    <row r="31" spans="1:13" s="76" customFormat="1" ht="14.15" customHeight="1">
      <c r="A31" s="183" t="s">
        <v>91</v>
      </c>
      <c r="B31" s="60"/>
      <c r="C31" s="141"/>
      <c r="D31" s="219"/>
      <c r="E31" s="66"/>
      <c r="F31" s="191"/>
      <c r="G31" s="219"/>
      <c r="H31" s="66"/>
      <c r="I31" s="191"/>
      <c r="J31" s="219">
        <f>ROUND($C$60*J35,0)</f>
        <v>41</v>
      </c>
      <c r="K31" s="66">
        <f t="shared" ref="K31:M31" si="6">ROUND($C$60*K35,0)</f>
        <v>103</v>
      </c>
      <c r="L31" s="66">
        <f t="shared" si="6"/>
        <v>131</v>
      </c>
      <c r="M31" s="191">
        <f t="shared" si="6"/>
        <v>131</v>
      </c>
    </row>
    <row r="32" spans="1:13" s="76" customFormat="1" ht="14.15" customHeight="1">
      <c r="A32" s="183" t="s">
        <v>36</v>
      </c>
      <c r="B32" s="60">
        <v>850</v>
      </c>
      <c r="C32" s="141"/>
      <c r="D32" s="220"/>
      <c r="E32" s="116"/>
      <c r="F32" s="198"/>
      <c r="G32" s="220"/>
      <c r="H32" s="116"/>
      <c r="I32" s="198"/>
      <c r="J32" s="220"/>
      <c r="K32" s="116"/>
      <c r="L32" s="116"/>
      <c r="M32" s="198"/>
    </row>
    <row r="33" spans="1:14" s="76" customFormat="1" ht="14.15" customHeight="1">
      <c r="A33" s="183" t="s">
        <v>37</v>
      </c>
      <c r="B33" s="66"/>
      <c r="C33" s="141"/>
      <c r="D33" s="221">
        <f>SUM($D$29:D29)*$B$32</f>
        <v>0</v>
      </c>
      <c r="E33" s="194">
        <f>SUM($D$29:E29)*$B$32</f>
        <v>0</v>
      </c>
      <c r="F33" s="199">
        <f>SUM($D$29:F29)*$B$32</f>
        <v>0</v>
      </c>
      <c r="G33" s="221">
        <f>SUM($D$29:G29)*$B$32</f>
        <v>0</v>
      </c>
      <c r="H33" s="194">
        <f>SUM($D$29:H29)*$B$32</f>
        <v>0</v>
      </c>
      <c r="I33" s="199">
        <f>SUM($D$29:I29)*$B$32</f>
        <v>0</v>
      </c>
      <c r="J33" s="221">
        <f>SUM($D$29:J29)*$B$32</f>
        <v>117300</v>
      </c>
      <c r="K33" s="194">
        <f>SUM($D$29:K29)*$B$32</f>
        <v>117300</v>
      </c>
      <c r="L33" s="194">
        <f>SUM($D$29:L29)*$B$32</f>
        <v>117300</v>
      </c>
      <c r="M33" s="199">
        <f>SUM($D$29:M29)*$B$32</f>
        <v>117300</v>
      </c>
    </row>
    <row r="34" spans="1:14" s="76" customFormat="1" ht="14.15" customHeight="1">
      <c r="A34" s="183" t="s">
        <v>93</v>
      </c>
      <c r="B34" s="66"/>
      <c r="C34" s="215">
        <f>C24</f>
        <v>2.9</v>
      </c>
      <c r="D34" s="222">
        <f t="shared" ref="D34:M34" si="7">D24</f>
        <v>2.9579999999999997</v>
      </c>
      <c r="E34" s="209">
        <f t="shared" si="7"/>
        <v>3.0171600000000001</v>
      </c>
      <c r="F34" s="210">
        <f t="shared" si="7"/>
        <v>3.0775031999999998</v>
      </c>
      <c r="G34" s="222">
        <f t="shared" si="7"/>
        <v>3.1390532639999997</v>
      </c>
      <c r="H34" s="209">
        <f t="shared" si="7"/>
        <v>3.20183432928</v>
      </c>
      <c r="I34" s="210">
        <f t="shared" si="7"/>
        <v>3.2658710158656001</v>
      </c>
      <c r="J34" s="222">
        <f t="shared" si="7"/>
        <v>3.3311884361829112</v>
      </c>
      <c r="K34" s="209">
        <f t="shared" si="7"/>
        <v>3.39781220490657</v>
      </c>
      <c r="L34" s="209">
        <f t="shared" si="7"/>
        <v>3.4657684490047012</v>
      </c>
      <c r="M34" s="210">
        <f t="shared" si="7"/>
        <v>3.5350838179847957</v>
      </c>
    </row>
    <row r="35" spans="1:14" s="76" customFormat="1" ht="14.15" customHeight="1" thickBot="1">
      <c r="A35" s="144" t="s">
        <v>38</v>
      </c>
      <c r="B35" s="200"/>
      <c r="C35" s="216"/>
      <c r="D35" s="223">
        <v>0</v>
      </c>
      <c r="E35" s="202">
        <f>D35</f>
        <v>0</v>
      </c>
      <c r="F35" s="204">
        <f>E35</f>
        <v>0</v>
      </c>
      <c r="G35" s="231">
        <f>F35</f>
        <v>0</v>
      </c>
      <c r="H35" s="200">
        <f>G35</f>
        <v>0</v>
      </c>
      <c r="I35" s="204">
        <f>H35</f>
        <v>0</v>
      </c>
      <c r="J35" s="227">
        <v>0.3</v>
      </c>
      <c r="K35" s="203">
        <v>0.75</v>
      </c>
      <c r="L35" s="203">
        <v>0.95</v>
      </c>
      <c r="M35" s="204">
        <f>L35</f>
        <v>0.95</v>
      </c>
    </row>
    <row r="36" spans="1:14" s="76" customFormat="1" ht="3.75" customHeight="1" thickBot="1">
      <c r="A36" s="344"/>
      <c r="B36" s="444"/>
      <c r="C36" s="445"/>
      <c r="D36" s="446"/>
      <c r="E36" s="447"/>
      <c r="F36" s="448"/>
      <c r="G36" s="449"/>
      <c r="H36" s="450"/>
      <c r="I36" s="451"/>
      <c r="J36" s="452"/>
      <c r="K36" s="444"/>
      <c r="L36" s="444"/>
      <c r="M36" s="451"/>
    </row>
    <row r="37" spans="1:14" ht="13.5" thickBot="1">
      <c r="A37" s="208" t="s">
        <v>0</v>
      </c>
      <c r="B37" s="205"/>
      <c r="C37" s="214"/>
      <c r="D37" s="255"/>
      <c r="E37" s="211"/>
      <c r="F37" s="212"/>
      <c r="G37" s="255"/>
      <c r="H37" s="211"/>
      <c r="I37" s="212"/>
      <c r="J37" s="255"/>
      <c r="K37" s="211"/>
      <c r="L37" s="211"/>
      <c r="M37" s="212"/>
    </row>
    <row r="38" spans="1:14" s="37" customFormat="1" ht="14.15" customHeight="1">
      <c r="A38" s="183" t="s">
        <v>10</v>
      </c>
      <c r="B38" s="66"/>
      <c r="C38" s="274">
        <v>0</v>
      </c>
      <c r="D38" s="257">
        <f>SUM(D11,D21,D31)*$B$12*D14*12</f>
        <v>0</v>
      </c>
      <c r="E38" s="258">
        <f t="shared" ref="E38:M38" si="8">SUM(E11,E21,E31)*$B$12*E14*12</f>
        <v>2523552.6239999998</v>
      </c>
      <c r="F38" s="259">
        <f t="shared" si="8"/>
        <v>6403668.6585599994</v>
      </c>
      <c r="G38" s="257">
        <f t="shared" si="8"/>
        <v>9701558.0177183989</v>
      </c>
      <c r="H38" s="258">
        <f t="shared" si="8"/>
        <v>12116381.468861375</v>
      </c>
      <c r="I38" s="259">
        <f t="shared" si="8"/>
        <v>13358065.629093476</v>
      </c>
      <c r="J38" s="275">
        <f t="shared" si="8"/>
        <v>15018329.945687037</v>
      </c>
      <c r="K38" s="240">
        <f t="shared" si="8"/>
        <v>17467472.982983693</v>
      </c>
      <c r="L38" s="240">
        <f t="shared" si="8"/>
        <v>18806645.911679111</v>
      </c>
      <c r="M38" s="244">
        <f t="shared" si="8"/>
        <v>19182778.829912696</v>
      </c>
      <c r="N38" s="371"/>
    </row>
    <row r="39" spans="1:14" s="37" customFormat="1" ht="14.15" customHeight="1">
      <c r="A39" s="245" t="s">
        <v>94</v>
      </c>
      <c r="B39" s="242">
        <v>0.35</v>
      </c>
      <c r="C39" s="276">
        <f>C38*-$B$39</f>
        <v>0</v>
      </c>
      <c r="D39" s="277">
        <f>D38*-$B$39</f>
        <v>0</v>
      </c>
      <c r="E39" s="243">
        <f t="shared" ref="E39:M39" si="9">E38*-$B$39</f>
        <v>-883243.41839999985</v>
      </c>
      <c r="F39" s="246">
        <f t="shared" si="9"/>
        <v>-2241284.0304959998</v>
      </c>
      <c r="G39" s="277">
        <f t="shared" si="9"/>
        <v>-3395545.3062014394</v>
      </c>
      <c r="H39" s="243">
        <f t="shared" si="9"/>
        <v>-4240733.5141014811</v>
      </c>
      <c r="I39" s="246">
        <f t="shared" si="9"/>
        <v>-4675322.9701827159</v>
      </c>
      <c r="J39" s="277">
        <f t="shared" si="9"/>
        <v>-5256415.4809904629</v>
      </c>
      <c r="K39" s="243">
        <f t="shared" si="9"/>
        <v>-6113615.5440442925</v>
      </c>
      <c r="L39" s="243">
        <f t="shared" si="9"/>
        <v>-6582326.0690876888</v>
      </c>
      <c r="M39" s="246">
        <f t="shared" si="9"/>
        <v>-6713972.5904694432</v>
      </c>
      <c r="N39" s="371"/>
    </row>
    <row r="40" spans="1:14" s="37" customFormat="1" ht="14.15" customHeight="1" thickBot="1">
      <c r="A40" s="416" t="s">
        <v>5</v>
      </c>
      <c r="B40" s="69"/>
      <c r="C40" s="272">
        <f>SUM(C38:C39)</f>
        <v>0</v>
      </c>
      <c r="D40" s="273">
        <f>SUM(D38:D39)</f>
        <v>0</v>
      </c>
      <c r="E40" s="247">
        <f t="shared" ref="E40:M40" si="10">SUM(E38:E39)</f>
        <v>1640309.2056</v>
      </c>
      <c r="F40" s="248">
        <f t="shared" si="10"/>
        <v>4162384.6280639996</v>
      </c>
      <c r="G40" s="273">
        <f t="shared" si="10"/>
        <v>6306012.7115169596</v>
      </c>
      <c r="H40" s="247">
        <f t="shared" si="10"/>
        <v>7875647.9547598939</v>
      </c>
      <c r="I40" s="248">
        <f t="shared" si="10"/>
        <v>8682742.6589107588</v>
      </c>
      <c r="J40" s="273">
        <f t="shared" si="10"/>
        <v>9761914.464696575</v>
      </c>
      <c r="K40" s="247">
        <f t="shared" si="10"/>
        <v>11353857.4389394</v>
      </c>
      <c r="L40" s="247">
        <f t="shared" si="10"/>
        <v>12224319.842591424</v>
      </c>
      <c r="M40" s="248">
        <f t="shared" si="10"/>
        <v>12468806.239443254</v>
      </c>
    </row>
    <row r="41" spans="1:14" ht="13.5" thickBot="1">
      <c r="A41" s="208" t="s">
        <v>2</v>
      </c>
      <c r="B41" s="205"/>
      <c r="C41" s="214"/>
      <c r="D41" s="255"/>
      <c r="E41" s="211"/>
      <c r="F41" s="212"/>
      <c r="G41" s="255"/>
      <c r="H41" s="211"/>
      <c r="I41" s="212"/>
      <c r="J41" s="255"/>
      <c r="K41" s="211"/>
      <c r="L41" s="211"/>
      <c r="M41" s="212"/>
    </row>
    <row r="42" spans="1:14" s="37" customFormat="1" ht="14.15" customHeight="1">
      <c r="A42" s="183" t="s">
        <v>95</v>
      </c>
      <c r="B42" s="66"/>
      <c r="C42" s="1039">
        <f>'Development Schedule'!C82</f>
        <v>198.22640000000001</v>
      </c>
      <c r="D42" s="222">
        <f t="shared" ref="D42:M42" si="11">$C$42*(1+$B$8)^D4</f>
        <v>202.19092800000001</v>
      </c>
      <c r="E42" s="209">
        <f t="shared" si="11"/>
        <v>206.23474656000002</v>
      </c>
      <c r="F42" s="210">
        <f t="shared" si="11"/>
        <v>210.35944149119999</v>
      </c>
      <c r="G42" s="222">
        <f t="shared" si="11"/>
        <v>214.56663032102401</v>
      </c>
      <c r="H42" s="209">
        <f t="shared" si="11"/>
        <v>218.8579629274445</v>
      </c>
      <c r="I42" s="210">
        <f t="shared" si="11"/>
        <v>223.23512218599339</v>
      </c>
      <c r="J42" s="222">
        <f t="shared" si="11"/>
        <v>227.69982462971322</v>
      </c>
      <c r="K42" s="209">
        <f t="shared" si="11"/>
        <v>232.2538211223075</v>
      </c>
      <c r="L42" s="209">
        <f t="shared" si="11"/>
        <v>236.89889754475365</v>
      </c>
      <c r="M42" s="210">
        <f t="shared" si="11"/>
        <v>241.63687549564872</v>
      </c>
    </row>
    <row r="43" spans="1:14" s="37" customFormat="1" ht="14.15" customHeight="1">
      <c r="A43" s="183" t="s">
        <v>11</v>
      </c>
      <c r="B43" s="66"/>
      <c r="C43" s="268">
        <f>C44/SUM($C$44:$M$44)</f>
        <v>0</v>
      </c>
      <c r="D43" s="269">
        <f t="shared" ref="D43:M43" si="12">D44/SUM($C$44:$M$44)</f>
        <v>0.18946369007495695</v>
      </c>
      <c r="E43" s="196">
        <f t="shared" si="12"/>
        <v>0</v>
      </c>
      <c r="F43" s="252">
        <f t="shared" si="12"/>
        <v>0.27735885109239677</v>
      </c>
      <c r="G43" s="269">
        <f t="shared" si="12"/>
        <v>0</v>
      </c>
      <c r="H43" s="196">
        <f t="shared" si="12"/>
        <v>0.27346703444895676</v>
      </c>
      <c r="I43" s="252">
        <f t="shared" si="12"/>
        <v>0</v>
      </c>
      <c r="J43" s="269">
        <f t="shared" si="12"/>
        <v>0.25971042438368946</v>
      </c>
      <c r="K43" s="196">
        <f t="shared" si="12"/>
        <v>0</v>
      </c>
      <c r="L43" s="196">
        <f t="shared" si="12"/>
        <v>0</v>
      </c>
      <c r="M43" s="252">
        <f t="shared" si="12"/>
        <v>0</v>
      </c>
    </row>
    <row r="44" spans="1:14" s="37" customFormat="1" ht="14.15" customHeight="1">
      <c r="A44" s="183" t="s">
        <v>2</v>
      </c>
      <c r="B44" s="66"/>
      <c r="C44" s="169">
        <f>C42*'Development Schedule'!F82</f>
        <v>0</v>
      </c>
      <c r="D44" s="368">
        <f>D42*'Development Schedule'!G82</f>
        <v>19418416.725120001</v>
      </c>
      <c r="E44" s="369">
        <f>E42*'Development Schedule'!H82</f>
        <v>0</v>
      </c>
      <c r="F44" s="370">
        <f>F42*'Development Schedule'!I82</f>
        <v>28426923.125913311</v>
      </c>
      <c r="G44" s="368">
        <f>G42*'Development Schedule'!J82</f>
        <v>0</v>
      </c>
      <c r="H44" s="369">
        <f>H42*'Development Schedule'!K82</f>
        <v>28028045.022303179</v>
      </c>
      <c r="I44" s="370">
        <f>I42*'Development Schedule'!L82</f>
        <v>0</v>
      </c>
      <c r="J44" s="368">
        <f>J42*'Development Schedule'!M82</f>
        <v>26618109.499213472</v>
      </c>
      <c r="K44" s="369">
        <f>K42*'Development Schedule'!N82</f>
        <v>0</v>
      </c>
      <c r="L44" s="369">
        <f>L42*'Development Schedule'!O82</f>
        <v>0</v>
      </c>
      <c r="M44" s="370">
        <f>M42*'Development Schedule'!P82</f>
        <v>0</v>
      </c>
    </row>
    <row r="45" spans="1:14" s="37" customFormat="1" ht="14.15" customHeight="1">
      <c r="A45" s="245" t="s">
        <v>12</v>
      </c>
      <c r="B45" s="250"/>
      <c r="C45" s="177"/>
      <c r="D45" s="271"/>
      <c r="E45" s="251"/>
      <c r="F45" s="254"/>
      <c r="G45" s="271"/>
      <c r="H45" s="251"/>
      <c r="I45" s="254"/>
      <c r="J45" s="271"/>
      <c r="K45" s="251"/>
      <c r="L45" s="251"/>
      <c r="M45" s="254"/>
    </row>
    <row r="46" spans="1:14" s="37" customFormat="1" ht="13.5" customHeight="1" thickBot="1">
      <c r="A46" s="416" t="s">
        <v>3</v>
      </c>
      <c r="B46" s="69"/>
      <c r="C46" s="272">
        <f>SUM(C44:C45)</f>
        <v>0</v>
      </c>
      <c r="D46" s="273">
        <f t="shared" ref="D46:M46" si="13">SUM(D44:D45)</f>
        <v>19418416.725120001</v>
      </c>
      <c r="E46" s="247">
        <f t="shared" si="13"/>
        <v>0</v>
      </c>
      <c r="F46" s="248">
        <f t="shared" si="13"/>
        <v>28426923.125913311</v>
      </c>
      <c r="G46" s="273">
        <f t="shared" si="13"/>
        <v>0</v>
      </c>
      <c r="H46" s="247">
        <f t="shared" si="13"/>
        <v>28028045.022303179</v>
      </c>
      <c r="I46" s="248">
        <f t="shared" si="13"/>
        <v>0</v>
      </c>
      <c r="J46" s="273">
        <f t="shared" si="13"/>
        <v>26618109.499213472</v>
      </c>
      <c r="K46" s="247">
        <f t="shared" si="13"/>
        <v>0</v>
      </c>
      <c r="L46" s="247">
        <f t="shared" si="13"/>
        <v>0</v>
      </c>
      <c r="M46" s="248">
        <f t="shared" si="13"/>
        <v>0</v>
      </c>
    </row>
    <row r="47" spans="1:14" ht="13.5" thickBot="1">
      <c r="A47" s="208" t="s">
        <v>4</v>
      </c>
      <c r="B47" s="205"/>
      <c r="C47" s="214"/>
      <c r="D47" s="255"/>
      <c r="E47" s="211"/>
      <c r="F47" s="212"/>
      <c r="G47" s="255"/>
      <c r="H47" s="211"/>
      <c r="I47" s="212"/>
      <c r="J47" s="255"/>
      <c r="K47" s="211"/>
      <c r="L47" s="211"/>
      <c r="M47" s="212"/>
    </row>
    <row r="48" spans="1:14" ht="14.15" customHeight="1">
      <c r="A48" s="183" t="s">
        <v>5</v>
      </c>
      <c r="B48" s="66"/>
      <c r="C48" s="256">
        <f>C40</f>
        <v>0</v>
      </c>
      <c r="D48" s="257">
        <f t="shared" ref="D48:M48" si="14">D40</f>
        <v>0</v>
      </c>
      <c r="E48" s="258">
        <f t="shared" si="14"/>
        <v>1640309.2056</v>
      </c>
      <c r="F48" s="259">
        <f t="shared" si="14"/>
        <v>4162384.6280639996</v>
      </c>
      <c r="G48" s="257">
        <f t="shared" si="14"/>
        <v>6306012.7115169596</v>
      </c>
      <c r="H48" s="258">
        <f t="shared" si="14"/>
        <v>7875647.9547598939</v>
      </c>
      <c r="I48" s="259">
        <f t="shared" si="14"/>
        <v>8682742.6589107588</v>
      </c>
      <c r="J48" s="240">
        <f t="shared" si="14"/>
        <v>9761914.464696575</v>
      </c>
      <c r="K48" s="240">
        <f t="shared" si="14"/>
        <v>11353857.4389394</v>
      </c>
      <c r="L48" s="240">
        <f t="shared" si="14"/>
        <v>12224319.842591424</v>
      </c>
      <c r="M48" s="244">
        <f t="shared" si="14"/>
        <v>12468806.239443254</v>
      </c>
    </row>
    <row r="49" spans="1:13" ht="14.15" customHeight="1">
      <c r="A49" s="183" t="s">
        <v>55</v>
      </c>
      <c r="B49" s="117">
        <f>D63</f>
        <v>0.05</v>
      </c>
      <c r="C49" s="153">
        <v>0</v>
      </c>
      <c r="D49" s="260">
        <f>C49</f>
        <v>0</v>
      </c>
      <c r="E49" s="249">
        <f t="shared" ref="E49:L49" si="15">D49</f>
        <v>0</v>
      </c>
      <c r="F49" s="261">
        <f t="shared" si="15"/>
        <v>0</v>
      </c>
      <c r="G49" s="260">
        <f t="shared" si="15"/>
        <v>0</v>
      </c>
      <c r="H49" s="249">
        <f t="shared" si="15"/>
        <v>0</v>
      </c>
      <c r="I49" s="261">
        <f t="shared" si="15"/>
        <v>0</v>
      </c>
      <c r="J49" s="249">
        <f t="shared" si="15"/>
        <v>0</v>
      </c>
      <c r="K49" s="249">
        <f t="shared" si="15"/>
        <v>0</v>
      </c>
      <c r="L49" s="249">
        <f t="shared" si="15"/>
        <v>0</v>
      </c>
      <c r="M49" s="261">
        <f>M48/B49</f>
        <v>249376124.78886506</v>
      </c>
    </row>
    <row r="50" spans="1:13" ht="14.15" customHeight="1">
      <c r="A50" s="183" t="s">
        <v>56</v>
      </c>
      <c r="B50" s="117">
        <f>D64</f>
        <v>0.03</v>
      </c>
      <c r="C50" s="153">
        <v>0</v>
      </c>
      <c r="D50" s="260">
        <f>C50</f>
        <v>0</v>
      </c>
      <c r="E50" s="249">
        <f t="shared" ref="E50:L50" si="16">D50</f>
        <v>0</v>
      </c>
      <c r="F50" s="261">
        <f t="shared" si="16"/>
        <v>0</v>
      </c>
      <c r="G50" s="260">
        <f t="shared" si="16"/>
        <v>0</v>
      </c>
      <c r="H50" s="249">
        <f t="shared" si="16"/>
        <v>0</v>
      </c>
      <c r="I50" s="261">
        <f t="shared" si="16"/>
        <v>0</v>
      </c>
      <c r="J50" s="249">
        <f t="shared" si="16"/>
        <v>0</v>
      </c>
      <c r="K50" s="249">
        <f t="shared" si="16"/>
        <v>0</v>
      </c>
      <c r="L50" s="249">
        <f t="shared" si="16"/>
        <v>0</v>
      </c>
      <c r="M50" s="261">
        <f>M49*-B50</f>
        <v>-7481283.7436659513</v>
      </c>
    </row>
    <row r="51" spans="1:13" ht="14.15" customHeight="1">
      <c r="A51" s="245" t="s">
        <v>96</v>
      </c>
      <c r="B51" s="250"/>
      <c r="C51" s="276">
        <f>-C46</f>
        <v>0</v>
      </c>
      <c r="D51" s="277">
        <f t="shared" ref="D51:M51" si="17">-D46</f>
        <v>-19418416.725120001</v>
      </c>
      <c r="E51" s="243">
        <f t="shared" si="17"/>
        <v>0</v>
      </c>
      <c r="F51" s="246">
        <f t="shared" si="17"/>
        <v>-28426923.125913311</v>
      </c>
      <c r="G51" s="277">
        <f t="shared" si="17"/>
        <v>0</v>
      </c>
      <c r="H51" s="243">
        <f t="shared" si="17"/>
        <v>-28028045.022303179</v>
      </c>
      <c r="I51" s="246">
        <f t="shared" si="17"/>
        <v>0</v>
      </c>
      <c r="J51" s="243">
        <f t="shared" si="17"/>
        <v>-26618109.499213472</v>
      </c>
      <c r="K51" s="243">
        <f t="shared" si="17"/>
        <v>0</v>
      </c>
      <c r="L51" s="243">
        <f t="shared" si="17"/>
        <v>0</v>
      </c>
      <c r="M51" s="246">
        <f t="shared" si="17"/>
        <v>0</v>
      </c>
    </row>
    <row r="52" spans="1:13" ht="13.5" thickBot="1">
      <c r="A52" s="125" t="s">
        <v>6</v>
      </c>
      <c r="B52" s="69"/>
      <c r="C52" s="329">
        <f>SUM(C48:C51)</f>
        <v>0</v>
      </c>
      <c r="D52" s="329">
        <f t="shared" ref="D52:M52" si="18">SUM(D48:D51)</f>
        <v>-19418416.725120001</v>
      </c>
      <c r="E52" s="330">
        <f t="shared" si="18"/>
        <v>1640309.2056</v>
      </c>
      <c r="F52" s="331">
        <f t="shared" si="18"/>
        <v>-24264538.497849312</v>
      </c>
      <c r="G52" s="329">
        <f t="shared" si="18"/>
        <v>6306012.7115169596</v>
      </c>
      <c r="H52" s="330">
        <f t="shared" si="18"/>
        <v>-20152397.067543283</v>
      </c>
      <c r="I52" s="331">
        <f t="shared" si="18"/>
        <v>8682742.6589107588</v>
      </c>
      <c r="J52" s="330">
        <f t="shared" si="18"/>
        <v>-16856195.034516897</v>
      </c>
      <c r="K52" s="330">
        <f t="shared" si="18"/>
        <v>11353857.4389394</v>
      </c>
      <c r="L52" s="330">
        <f t="shared" si="18"/>
        <v>12224319.842591424</v>
      </c>
      <c r="M52" s="331">
        <f t="shared" si="18"/>
        <v>254363647.28464234</v>
      </c>
    </row>
    <row r="53" spans="1:13" ht="13.5" thickBot="1">
      <c r="A53" s="124" t="s">
        <v>25</v>
      </c>
      <c r="B53" s="114"/>
      <c r="C53" s="329">
        <f>C52+NPV(D65,D52:M52)</f>
        <v>70927349.430909559</v>
      </c>
      <c r="D53" s="280"/>
      <c r="E53" s="281"/>
      <c r="F53" s="282"/>
      <c r="G53" s="280"/>
      <c r="H53" s="281"/>
      <c r="I53" s="282"/>
      <c r="J53" s="281"/>
      <c r="K53" s="281"/>
      <c r="L53" s="281"/>
      <c r="M53" s="282"/>
    </row>
    <row r="54" spans="1:13" ht="13.5" thickBot="1">
      <c r="A54" s="89" t="s">
        <v>57</v>
      </c>
      <c r="B54" s="162"/>
      <c r="C54" s="283">
        <f>IRR(C52:M52,0)</f>
        <v>0.24268319293738916</v>
      </c>
      <c r="D54" s="264"/>
      <c r="E54" s="162"/>
      <c r="F54" s="182"/>
      <c r="G54" s="264"/>
      <c r="H54" s="162"/>
      <c r="I54" s="182"/>
      <c r="J54" s="162"/>
      <c r="K54" s="162"/>
      <c r="L54" s="162"/>
      <c r="M54" s="182"/>
    </row>
    <row r="55" spans="1:13" ht="13" thickBot="1">
      <c r="A55" s="37"/>
      <c r="B55" s="59"/>
      <c r="C55" s="59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3.5" thickBot="1">
      <c r="A56" s="193" t="s">
        <v>89</v>
      </c>
      <c r="B56" s="168"/>
      <c r="C56" s="168"/>
      <c r="D56" s="192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3.5" thickBot="1">
      <c r="A57" s="87"/>
      <c r="B57" s="162"/>
      <c r="C57" s="92" t="s">
        <v>87</v>
      </c>
      <c r="D57" s="93" t="s">
        <v>88</v>
      </c>
      <c r="E57" s="37"/>
      <c r="F57" s="37"/>
      <c r="G57" s="37"/>
      <c r="H57" s="37"/>
      <c r="I57" s="37"/>
      <c r="J57" s="37"/>
      <c r="K57" s="37"/>
      <c r="L57" s="37"/>
      <c r="M57" s="37"/>
    </row>
    <row r="58" spans="1:13">
      <c r="A58" s="65" t="s">
        <v>34</v>
      </c>
      <c r="B58" s="66"/>
      <c r="C58" s="293">
        <f>D58/$B$12</f>
        <v>271.97058823529414</v>
      </c>
      <c r="D58" s="237">
        <f>SUM('Development Schedule'!G82:I82)</f>
        <v>231175</v>
      </c>
      <c r="E58" s="37"/>
      <c r="F58" s="37"/>
      <c r="G58" s="37"/>
      <c r="H58" s="37"/>
      <c r="I58" s="37"/>
      <c r="J58" s="37"/>
      <c r="K58" s="37"/>
      <c r="L58" s="37"/>
      <c r="M58" s="37"/>
    </row>
    <row r="59" spans="1:13">
      <c r="A59" s="65" t="s">
        <v>76</v>
      </c>
      <c r="B59" s="66"/>
      <c r="C59" s="293">
        <f t="shared" ref="C59:C60" si="19">D59/$B$12</f>
        <v>150.66470588235293</v>
      </c>
      <c r="D59" s="237">
        <f>SUM('Development Schedule'!J82:L82)</f>
        <v>128064.99999999999</v>
      </c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3" thickBot="1">
      <c r="A60" s="68" t="s">
        <v>77</v>
      </c>
      <c r="B60" s="69"/>
      <c r="C60" s="1038">
        <f t="shared" si="19"/>
        <v>137.52941176470586</v>
      </c>
      <c r="D60" s="238">
        <f>SUM('Development Schedule'!M82:P82)</f>
        <v>116899.99999999999</v>
      </c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3" thickBot="1">
      <c r="A61" s="37"/>
      <c r="B61" s="59"/>
      <c r="C61" s="59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3.5" thickBot="1">
      <c r="A62" s="193" t="s">
        <v>97</v>
      </c>
      <c r="B62" s="266"/>
      <c r="C62" s="266"/>
      <c r="D62" s="267"/>
      <c r="E62" s="37"/>
      <c r="F62" s="37"/>
      <c r="G62" s="37"/>
      <c r="H62" s="37"/>
      <c r="I62" s="37"/>
      <c r="J62" s="37"/>
      <c r="K62" s="37"/>
      <c r="L62" s="37"/>
      <c r="M62" s="37"/>
    </row>
    <row r="63" spans="1:13">
      <c r="A63" s="65" t="s">
        <v>98</v>
      </c>
      <c r="B63" s="66"/>
      <c r="C63" s="66"/>
      <c r="D63" s="226">
        <v>0.05</v>
      </c>
      <c r="E63" s="37"/>
      <c r="F63" s="37"/>
      <c r="G63" s="37"/>
      <c r="H63" s="37"/>
      <c r="I63" s="37"/>
      <c r="J63" s="37"/>
      <c r="K63" s="37"/>
      <c r="L63" s="37"/>
      <c r="M63" s="37"/>
    </row>
    <row r="64" spans="1:13">
      <c r="A64" s="65" t="s">
        <v>99</v>
      </c>
      <c r="B64" s="66"/>
      <c r="C64" s="66"/>
      <c r="D64" s="226">
        <v>0.03</v>
      </c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3" thickBot="1">
      <c r="A65" s="68" t="s">
        <v>85</v>
      </c>
      <c r="B65" s="69"/>
      <c r="C65" s="69"/>
      <c r="D65" s="224">
        <v>0.09</v>
      </c>
      <c r="E65" s="37"/>
      <c r="F65" s="37"/>
      <c r="G65" s="37"/>
      <c r="H65" s="37"/>
      <c r="I65" s="37"/>
      <c r="J65" s="37"/>
      <c r="K65" s="37"/>
      <c r="L65" s="37"/>
      <c r="M65" s="37"/>
    </row>
    <row r="66" spans="1:13">
      <c r="A66" s="37"/>
      <c r="B66" s="59"/>
      <c r="C66" s="59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8" spans="1:13">
      <c r="C68" s="1094">
        <f>SUM(C58:C60)</f>
        <v>560.16470588235291</v>
      </c>
    </row>
  </sheetData>
  <phoneticPr fontId="3" type="noConversion"/>
  <printOptions horizontalCentered="1"/>
  <pageMargins left="0.5" right="0.5" top="1" bottom="0.5" header="0.5" footer="0.5"/>
  <pageSetup scale="65" orientation="landscape" r:id="rId1"/>
  <headerFooter alignWithMargins="0">
    <oddHeader>&amp;L&amp;"Arial,Bold"2. Income Statement: Market-rate Rental Housing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5"/>
  <sheetViews>
    <sheetView view="pageBreakPreview" topLeftCell="A31" zoomScale="85" zoomScaleNormal="100" zoomScaleSheetLayoutView="85" workbookViewId="0">
      <selection activeCell="D49" sqref="D49"/>
    </sheetView>
  </sheetViews>
  <sheetFormatPr defaultColWidth="9.1796875" defaultRowHeight="12.5"/>
  <cols>
    <col min="1" max="1" width="23.1796875" style="105" customWidth="1"/>
    <col min="2" max="2" width="12.7265625" style="106" customWidth="1"/>
    <col min="3" max="3" width="13.7265625" style="106" customWidth="1"/>
    <col min="4" max="13" width="13.7265625" style="105" customWidth="1"/>
    <col min="14" max="16384" width="9.1796875" style="105"/>
  </cols>
  <sheetData>
    <row r="1" spans="1:13" ht="14.15" customHeight="1" thickBot="1">
      <c r="A1" s="37"/>
      <c r="B1" s="59"/>
      <c r="C1" s="59"/>
      <c r="D1" s="37"/>
      <c r="E1" s="37"/>
      <c r="F1" s="37"/>
      <c r="G1" s="37"/>
      <c r="H1" s="37"/>
      <c r="I1" s="37"/>
      <c r="J1" s="37"/>
      <c r="K1" s="37"/>
      <c r="L1" s="145" t="s">
        <v>86</v>
      </c>
      <c r="M1" s="343">
        <v>203666</v>
      </c>
    </row>
    <row r="2" spans="1:13" ht="14.15" customHeight="1" thickBot="1">
      <c r="A2" s="37"/>
      <c r="B2" s="59"/>
      <c r="C2" s="59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15" customHeight="1" thickBot="1">
      <c r="A3" s="133"/>
      <c r="B3" s="213"/>
      <c r="C3" s="47" t="s">
        <v>53</v>
      </c>
      <c r="D3" s="112" t="s">
        <v>34</v>
      </c>
      <c r="E3" s="113"/>
      <c r="F3" s="44"/>
      <c r="G3" s="112" t="s">
        <v>76</v>
      </c>
      <c r="H3" s="154"/>
      <c r="I3" s="44"/>
      <c r="J3" s="42" t="s">
        <v>77</v>
      </c>
      <c r="K3" s="42"/>
      <c r="L3" s="43"/>
      <c r="M3" s="44"/>
    </row>
    <row r="4" spans="1:13" ht="14.15" customHeight="1" thickBot="1">
      <c r="A4" s="65"/>
      <c r="B4" s="66"/>
      <c r="C4" s="303">
        <v>0</v>
      </c>
      <c r="D4" s="110">
        <f>C4+1</f>
        <v>1</v>
      </c>
      <c r="E4" s="109">
        <f t="shared" ref="E4:M5" si="0">D4+1</f>
        <v>2</v>
      </c>
      <c r="F4" s="111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09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</row>
    <row r="5" spans="1:13" ht="14.15" customHeight="1" thickBot="1">
      <c r="A5" s="68"/>
      <c r="B5" s="146"/>
      <c r="C5" s="1016" t="str">
        <f>'1.Inftr Costs'!$D$5</f>
        <v>2020-2021</v>
      </c>
      <c r="D5" s="1017">
        <f>'1.Inftr Costs'!$E$5</f>
        <v>2022</v>
      </c>
      <c r="E5" s="109">
        <f>D5+1</f>
        <v>2023</v>
      </c>
      <c r="F5" s="111">
        <f t="shared" si="0"/>
        <v>2024</v>
      </c>
      <c r="G5" s="110">
        <f t="shared" si="0"/>
        <v>2025</v>
      </c>
      <c r="H5" s="109">
        <f t="shared" si="0"/>
        <v>2026</v>
      </c>
      <c r="I5" s="111">
        <f t="shared" si="0"/>
        <v>2027</v>
      </c>
      <c r="J5" s="109">
        <f t="shared" si="0"/>
        <v>2028</v>
      </c>
      <c r="K5" s="109">
        <f t="shared" si="0"/>
        <v>2029</v>
      </c>
      <c r="L5" s="109">
        <f>K5+1</f>
        <v>2030</v>
      </c>
      <c r="M5" s="111">
        <f>L5+1</f>
        <v>2031</v>
      </c>
    </row>
    <row r="6" spans="1:13" ht="13.5" thickBot="1">
      <c r="A6" s="208" t="s">
        <v>8</v>
      </c>
      <c r="B6" s="205"/>
      <c r="C6" s="214"/>
      <c r="D6" s="217"/>
      <c r="E6" s="206"/>
      <c r="F6" s="207"/>
      <c r="G6" s="217"/>
      <c r="H6" s="206"/>
      <c r="I6" s="207"/>
      <c r="J6" s="206"/>
      <c r="K6" s="206"/>
      <c r="L6" s="206"/>
      <c r="M6" s="207"/>
    </row>
    <row r="7" spans="1:13" ht="13">
      <c r="A7" s="336" t="s">
        <v>92</v>
      </c>
      <c r="B7" s="213"/>
      <c r="C7" s="337"/>
      <c r="D7" s="133"/>
      <c r="E7" s="338"/>
      <c r="F7" s="339"/>
      <c r="G7" s="133"/>
      <c r="H7" s="338"/>
      <c r="I7" s="339"/>
      <c r="J7" s="338"/>
      <c r="K7" s="338"/>
      <c r="L7" s="338"/>
      <c r="M7" s="339"/>
    </row>
    <row r="8" spans="1:13" ht="14.15" customHeight="1">
      <c r="A8" s="183" t="s">
        <v>9</v>
      </c>
      <c r="B8" s="1019">
        <f>'1.Inftr Costs'!$C$6</f>
        <v>0.02</v>
      </c>
      <c r="C8" s="140"/>
      <c r="D8" s="143"/>
      <c r="E8" s="115"/>
      <c r="F8" s="120"/>
      <c r="G8" s="143"/>
      <c r="H8" s="115"/>
      <c r="I8" s="120"/>
      <c r="J8" s="115"/>
      <c r="K8" s="115"/>
      <c r="L8" s="115"/>
      <c r="M8" s="120"/>
    </row>
    <row r="9" spans="1:13" ht="14.15" customHeight="1">
      <c r="A9" s="183" t="s">
        <v>90</v>
      </c>
      <c r="B9" s="132"/>
      <c r="C9" s="140"/>
      <c r="D9" s="218">
        <f>ROUND('Development Schedule'!G83/$B$12,0)</f>
        <v>0</v>
      </c>
      <c r="E9" s="195">
        <f>ROUND('Development Schedule'!H83/$B$12,0)</f>
        <v>0</v>
      </c>
      <c r="F9" s="197">
        <f>ROUND('Development Schedule'!I83/$B$12,0)</f>
        <v>0</v>
      </c>
      <c r="G9" s="218">
        <f>ROUND('Development Schedule'!J83/$B$12,0)</f>
        <v>74</v>
      </c>
      <c r="H9" s="195">
        <f>ROUND('Development Schedule'!K83/$B$12,0)</f>
        <v>0</v>
      </c>
      <c r="I9" s="197">
        <f>ROUND('Development Schedule'!L83/$B$12,0)</f>
        <v>0</v>
      </c>
      <c r="J9" s="195">
        <f>ROUND('Development Schedule'!M83/$B$12,0)</f>
        <v>0</v>
      </c>
      <c r="K9" s="195">
        <f>ROUND('Development Schedule'!N83/$B$12,0)</f>
        <v>0</v>
      </c>
      <c r="L9" s="195">
        <f>ROUND('Development Schedule'!O83/$B$12,0)</f>
        <v>0</v>
      </c>
      <c r="M9" s="197">
        <f>ROUND('Development Schedule'!P83/$B$12,0)</f>
        <v>0</v>
      </c>
    </row>
    <row r="10" spans="1:13" ht="14.15" customHeight="1">
      <c r="A10" s="183" t="s">
        <v>101</v>
      </c>
      <c r="B10" s="132"/>
      <c r="C10" s="140"/>
      <c r="D10" s="309">
        <v>0</v>
      </c>
      <c r="E10" s="293">
        <f>D10</f>
        <v>0</v>
      </c>
      <c r="F10" s="297">
        <f>E10</f>
        <v>0</v>
      </c>
      <c r="G10" s="310">
        <f>F10</f>
        <v>0</v>
      </c>
      <c r="H10" s="293">
        <f>ROUND($C$44/3,0)</f>
        <v>25</v>
      </c>
      <c r="I10" s="297">
        <f>ROUND($C$44/3,0)</f>
        <v>25</v>
      </c>
      <c r="J10" s="293">
        <f>C44-SUM(H10:I10)</f>
        <v>24.166666666666671</v>
      </c>
      <c r="K10" s="294">
        <v>0</v>
      </c>
      <c r="L10" s="293">
        <f>K10</f>
        <v>0</v>
      </c>
      <c r="M10" s="297">
        <f>L10</f>
        <v>0</v>
      </c>
    </row>
    <row r="11" spans="1:13" ht="13.5" customHeight="1">
      <c r="A11" s="183" t="s">
        <v>102</v>
      </c>
      <c r="B11" s="66"/>
      <c r="C11" s="141"/>
      <c r="D11" s="310">
        <f>SUM($D$10:D10)</f>
        <v>0</v>
      </c>
      <c r="E11" s="293">
        <f>SUM($D$10:E10)</f>
        <v>0</v>
      </c>
      <c r="F11" s="297">
        <f>SUM($D$10:F10)</f>
        <v>0</v>
      </c>
      <c r="G11" s="310">
        <f>SUM($D$10:G10)</f>
        <v>0</v>
      </c>
      <c r="H11" s="293">
        <f>SUM($D$10:H10)</f>
        <v>25</v>
      </c>
      <c r="I11" s="297">
        <f>SUM($D$10:I10)</f>
        <v>50</v>
      </c>
      <c r="J11" s="293">
        <f>SUM($D$10:J10)</f>
        <v>74.166666666666671</v>
      </c>
      <c r="K11" s="293">
        <f>SUM($D$10:K10)</f>
        <v>74.166666666666671</v>
      </c>
      <c r="L11" s="293">
        <f>SUM($D$10:L10)</f>
        <v>74.166666666666671</v>
      </c>
      <c r="M11" s="297">
        <f>SUM($D$10:M10)</f>
        <v>74.166666666666671</v>
      </c>
    </row>
    <row r="12" spans="1:13" ht="14.15" customHeight="1">
      <c r="A12" s="183" t="s">
        <v>36</v>
      </c>
      <c r="B12" s="60">
        <v>1200</v>
      </c>
      <c r="C12" s="141"/>
      <c r="D12" s="220"/>
      <c r="E12" s="116"/>
      <c r="F12" s="198"/>
      <c r="G12" s="220"/>
      <c r="H12" s="116"/>
      <c r="I12" s="198"/>
      <c r="J12" s="116"/>
      <c r="K12" s="116"/>
      <c r="L12" s="116"/>
      <c r="M12" s="198"/>
    </row>
    <row r="13" spans="1:13" ht="14.15" customHeight="1">
      <c r="A13" s="183" t="s">
        <v>39</v>
      </c>
      <c r="B13" s="66"/>
      <c r="C13" s="141"/>
      <c r="D13" s="311">
        <f>SUM($D$9:D9)*$B$12</f>
        <v>0</v>
      </c>
      <c r="E13" s="295">
        <f>SUM($D$9:E9)*$B$12</f>
        <v>0</v>
      </c>
      <c r="F13" s="298">
        <f>SUM($D$9:F9)*$B$12</f>
        <v>0</v>
      </c>
      <c r="G13" s="311">
        <f>SUM($D$9:G9)*$B$12</f>
        <v>88800</v>
      </c>
      <c r="H13" s="295">
        <f>SUM($D$9:H9)*$B$12</f>
        <v>88800</v>
      </c>
      <c r="I13" s="298">
        <f>SUM($D$9:I9)*$B$12</f>
        <v>88800</v>
      </c>
      <c r="J13" s="295">
        <f>SUM($D$9:J9)*$B$12</f>
        <v>88800</v>
      </c>
      <c r="K13" s="295">
        <f>SUM($D$9:K9)*$B$12</f>
        <v>88800</v>
      </c>
      <c r="L13" s="295">
        <f>SUM($D$9:L9)*$B$12</f>
        <v>88800</v>
      </c>
      <c r="M13" s="298">
        <f>SUM($D$9:M9)*$B$12</f>
        <v>88800</v>
      </c>
    </row>
    <row r="14" spans="1:13" ht="14.15" customHeight="1" thickBot="1">
      <c r="A14" s="144" t="s">
        <v>104</v>
      </c>
      <c r="B14" s="69"/>
      <c r="C14" s="302">
        <v>275</v>
      </c>
      <c r="D14" s="312">
        <f>$C14*(1+$B$8)^D$4</f>
        <v>280.5</v>
      </c>
      <c r="E14" s="299">
        <f t="shared" ref="E14:M14" si="1">$C14*(1+$B$8)^E$4</f>
        <v>286.11</v>
      </c>
      <c r="F14" s="300">
        <f t="shared" si="1"/>
        <v>291.8322</v>
      </c>
      <c r="G14" s="312">
        <f t="shared" si="1"/>
        <v>297.66884399999998</v>
      </c>
      <c r="H14" s="299">
        <f t="shared" si="1"/>
        <v>303.62222087999999</v>
      </c>
      <c r="I14" s="300">
        <f t="shared" si="1"/>
        <v>309.69466529760001</v>
      </c>
      <c r="J14" s="299">
        <f t="shared" si="1"/>
        <v>315.88855860355193</v>
      </c>
      <c r="K14" s="299">
        <f t="shared" si="1"/>
        <v>322.20632977562303</v>
      </c>
      <c r="L14" s="299">
        <f t="shared" si="1"/>
        <v>328.65045637113548</v>
      </c>
      <c r="M14" s="300">
        <f t="shared" si="1"/>
        <v>335.2234654985582</v>
      </c>
    </row>
    <row r="15" spans="1:13" ht="4.5" customHeight="1">
      <c r="A15" s="344"/>
      <c r="B15" s="213"/>
      <c r="C15" s="301"/>
      <c r="D15" s="307"/>
      <c r="E15" s="296"/>
      <c r="F15" s="308"/>
      <c r="G15" s="307"/>
      <c r="H15" s="296"/>
      <c r="I15" s="308"/>
      <c r="J15" s="296"/>
      <c r="K15" s="296"/>
      <c r="L15" s="296"/>
      <c r="M15" s="308"/>
    </row>
    <row r="16" spans="1:13" ht="13">
      <c r="A16" s="64" t="s">
        <v>103</v>
      </c>
      <c r="B16" s="66"/>
      <c r="C16" s="141"/>
      <c r="D16" s="65"/>
      <c r="E16" s="76"/>
      <c r="F16" s="121"/>
      <c r="G16" s="65"/>
      <c r="H16" s="76"/>
      <c r="I16" s="121"/>
      <c r="J16" s="76"/>
      <c r="K16" s="76"/>
      <c r="L16" s="76"/>
      <c r="M16" s="121"/>
    </row>
    <row r="17" spans="1:13" ht="14.15" customHeight="1">
      <c r="A17" s="183" t="s">
        <v>9</v>
      </c>
      <c r="B17" s="1020"/>
      <c r="C17" s="140"/>
      <c r="D17" s="143"/>
      <c r="E17" s="115"/>
      <c r="F17" s="120"/>
      <c r="G17" s="143"/>
      <c r="H17" s="115"/>
      <c r="I17" s="120"/>
      <c r="J17" s="115"/>
      <c r="K17" s="115"/>
      <c r="L17" s="115"/>
      <c r="M17" s="120"/>
    </row>
    <row r="18" spans="1:13" ht="14.15" customHeight="1">
      <c r="A18" s="183" t="s">
        <v>90</v>
      </c>
      <c r="B18" s="132"/>
      <c r="C18" s="140"/>
      <c r="D18" s="340"/>
      <c r="E18" s="341"/>
      <c r="F18" s="237"/>
      <c r="G18" s="340"/>
      <c r="H18" s="341"/>
      <c r="I18" s="237"/>
      <c r="J18" s="341"/>
      <c r="K18" s="341"/>
      <c r="L18" s="341"/>
      <c r="M18" s="237"/>
    </row>
    <row r="19" spans="1:13" ht="14.15" customHeight="1">
      <c r="A19" s="183" t="s">
        <v>101</v>
      </c>
      <c r="B19" s="132"/>
      <c r="C19" s="140"/>
      <c r="D19" s="342"/>
      <c r="E19" s="194"/>
      <c r="F19" s="199"/>
      <c r="G19" s="221"/>
      <c r="H19" s="194"/>
      <c r="I19" s="199"/>
      <c r="J19" s="194"/>
      <c r="K19" s="60"/>
      <c r="L19" s="194"/>
      <c r="M19" s="199"/>
    </row>
    <row r="20" spans="1:13" ht="13.5" customHeight="1">
      <c r="A20" s="183" t="s">
        <v>102</v>
      </c>
      <c r="B20" s="66"/>
      <c r="C20" s="141"/>
      <c r="D20" s="221"/>
      <c r="E20" s="194"/>
      <c r="F20" s="199"/>
      <c r="G20" s="221"/>
      <c r="H20" s="194"/>
      <c r="I20" s="199"/>
      <c r="J20" s="194"/>
      <c r="K20" s="194"/>
      <c r="L20" s="194"/>
      <c r="M20" s="199"/>
    </row>
    <row r="21" spans="1:13" ht="14.15" customHeight="1">
      <c r="A21" s="183" t="s">
        <v>36</v>
      </c>
      <c r="B21" s="60"/>
      <c r="C21" s="141"/>
      <c r="D21" s="313"/>
      <c r="E21" s="314"/>
      <c r="F21" s="315"/>
      <c r="G21" s="313"/>
      <c r="H21" s="314"/>
      <c r="I21" s="315"/>
      <c r="J21" s="314"/>
      <c r="K21" s="314"/>
      <c r="L21" s="314"/>
      <c r="M21" s="315"/>
    </row>
    <row r="22" spans="1:13" ht="14.15" customHeight="1">
      <c r="A22" s="183" t="s">
        <v>39</v>
      </c>
      <c r="B22" s="66"/>
      <c r="C22" s="141"/>
      <c r="D22" s="316"/>
      <c r="E22" s="317"/>
      <c r="F22" s="318"/>
      <c r="G22" s="316"/>
      <c r="H22" s="317"/>
      <c r="I22" s="318"/>
      <c r="J22" s="317"/>
      <c r="K22" s="317"/>
      <c r="L22" s="317"/>
      <c r="M22" s="318"/>
    </row>
    <row r="23" spans="1:13" ht="14.15" customHeight="1" thickBot="1">
      <c r="A23" s="144" t="s">
        <v>104</v>
      </c>
      <c r="B23" s="69"/>
      <c r="C23" s="373"/>
      <c r="D23" s="312"/>
      <c r="E23" s="299"/>
      <c r="F23" s="300"/>
      <c r="G23" s="312"/>
      <c r="H23" s="299"/>
      <c r="I23" s="300"/>
      <c r="J23" s="299"/>
      <c r="K23" s="299"/>
      <c r="L23" s="299"/>
      <c r="M23" s="300"/>
    </row>
    <row r="24" spans="1:13" ht="13.5" thickBot="1">
      <c r="A24" s="208" t="s">
        <v>0</v>
      </c>
      <c r="B24" s="205"/>
      <c r="C24" s="214"/>
      <c r="D24" s="255"/>
      <c r="E24" s="211"/>
      <c r="F24" s="212"/>
      <c r="G24" s="255"/>
      <c r="H24" s="211"/>
      <c r="I24" s="212"/>
      <c r="J24" s="211"/>
      <c r="K24" s="211"/>
      <c r="L24" s="211"/>
      <c r="M24" s="212"/>
    </row>
    <row r="25" spans="1:13" ht="14.15" customHeight="1">
      <c r="A25" s="183" t="s">
        <v>14</v>
      </c>
      <c r="B25" s="66"/>
      <c r="C25" s="148">
        <f>SUM(C10,C19)*$B$12*C14</f>
        <v>0</v>
      </c>
      <c r="D25" s="275">
        <f t="shared" ref="D25:M25" si="2">SUM(D10,D19)*$B$12*D14</f>
        <v>0</v>
      </c>
      <c r="E25" s="240">
        <f t="shared" si="2"/>
        <v>0</v>
      </c>
      <c r="F25" s="244">
        <f t="shared" si="2"/>
        <v>0</v>
      </c>
      <c r="G25" s="275">
        <f t="shared" si="2"/>
        <v>0</v>
      </c>
      <c r="H25" s="240">
        <f t="shared" si="2"/>
        <v>9108666.6263999995</v>
      </c>
      <c r="I25" s="244">
        <f t="shared" si="2"/>
        <v>9290839.9589280002</v>
      </c>
      <c r="J25" s="240">
        <f t="shared" si="2"/>
        <v>9160768.1995030083</v>
      </c>
      <c r="K25" s="240">
        <f t="shared" si="2"/>
        <v>0</v>
      </c>
      <c r="L25" s="240">
        <f t="shared" si="2"/>
        <v>0</v>
      </c>
      <c r="M25" s="244">
        <f t="shared" si="2"/>
        <v>0</v>
      </c>
    </row>
    <row r="26" spans="1:13" ht="14.15" customHeight="1">
      <c r="A26" s="183" t="s">
        <v>40</v>
      </c>
      <c r="B26" s="117">
        <f>D48</f>
        <v>0.05</v>
      </c>
      <c r="C26" s="149">
        <f>C25*-$B$26</f>
        <v>0</v>
      </c>
      <c r="D26" s="262">
        <f t="shared" ref="D26:M26" si="3">D25*-$B$26</f>
        <v>0</v>
      </c>
      <c r="E26" s="241">
        <f t="shared" si="3"/>
        <v>0</v>
      </c>
      <c r="F26" s="263">
        <f t="shared" si="3"/>
        <v>0</v>
      </c>
      <c r="G26" s="262">
        <f t="shared" si="3"/>
        <v>0</v>
      </c>
      <c r="H26" s="241">
        <f t="shared" si="3"/>
        <v>-455433.33132</v>
      </c>
      <c r="I26" s="263">
        <f t="shared" si="3"/>
        <v>-464541.99794640002</v>
      </c>
      <c r="J26" s="241">
        <f t="shared" si="3"/>
        <v>-458038.40997515043</v>
      </c>
      <c r="K26" s="241">
        <f t="shared" si="3"/>
        <v>0</v>
      </c>
      <c r="L26" s="241">
        <f t="shared" si="3"/>
        <v>0</v>
      </c>
      <c r="M26" s="263">
        <f t="shared" si="3"/>
        <v>0</v>
      </c>
    </row>
    <row r="27" spans="1:13" ht="14.15" customHeight="1">
      <c r="A27" s="245" t="s">
        <v>41</v>
      </c>
      <c r="B27" s="119">
        <f>D49</f>
        <v>0.05</v>
      </c>
      <c r="C27" s="276">
        <f>C25*-$B$27</f>
        <v>0</v>
      </c>
      <c r="D27" s="277">
        <f t="shared" ref="D27:M27" si="4">D25*-$B$27</f>
        <v>0</v>
      </c>
      <c r="E27" s="243">
        <f t="shared" si="4"/>
        <v>0</v>
      </c>
      <c r="F27" s="246">
        <f t="shared" si="4"/>
        <v>0</v>
      </c>
      <c r="G27" s="277">
        <f t="shared" si="4"/>
        <v>0</v>
      </c>
      <c r="H27" s="243">
        <f t="shared" si="4"/>
        <v>-455433.33132</v>
      </c>
      <c r="I27" s="246">
        <f t="shared" si="4"/>
        <v>-464541.99794640002</v>
      </c>
      <c r="J27" s="243">
        <f t="shared" si="4"/>
        <v>-458038.40997515043</v>
      </c>
      <c r="K27" s="243">
        <f t="shared" si="4"/>
        <v>0</v>
      </c>
      <c r="L27" s="243">
        <f t="shared" si="4"/>
        <v>0</v>
      </c>
      <c r="M27" s="246">
        <f t="shared" si="4"/>
        <v>0</v>
      </c>
    </row>
    <row r="28" spans="1:13" ht="14.15" customHeight="1" thickBot="1">
      <c r="A28" s="125" t="s">
        <v>5</v>
      </c>
      <c r="B28" s="69"/>
      <c r="C28" s="272">
        <f>SUM(C25:C27)</f>
        <v>0</v>
      </c>
      <c r="D28" s="273">
        <f t="shared" ref="D28:M28" si="5">SUM(D25:D27)</f>
        <v>0</v>
      </c>
      <c r="E28" s="247">
        <f t="shared" si="5"/>
        <v>0</v>
      </c>
      <c r="F28" s="248">
        <f t="shared" si="5"/>
        <v>0</v>
      </c>
      <c r="G28" s="273">
        <f t="shared" si="5"/>
        <v>0</v>
      </c>
      <c r="H28" s="247">
        <f t="shared" si="5"/>
        <v>8197799.9637599988</v>
      </c>
      <c r="I28" s="248">
        <f t="shared" si="5"/>
        <v>8361755.9630351998</v>
      </c>
      <c r="J28" s="247">
        <f t="shared" si="5"/>
        <v>8244691.3795527071</v>
      </c>
      <c r="K28" s="247">
        <f t="shared" si="5"/>
        <v>0</v>
      </c>
      <c r="L28" s="247">
        <f t="shared" si="5"/>
        <v>0</v>
      </c>
      <c r="M28" s="248">
        <f t="shared" si="5"/>
        <v>0</v>
      </c>
    </row>
    <row r="29" spans="1:13" ht="13.5" thickBot="1">
      <c r="A29" s="208" t="s">
        <v>2</v>
      </c>
      <c r="B29" s="320"/>
      <c r="C29" s="214"/>
      <c r="D29" s="255"/>
      <c r="E29" s="211"/>
      <c r="F29" s="212"/>
      <c r="G29" s="255"/>
      <c r="H29" s="211"/>
      <c r="I29" s="212"/>
      <c r="J29" s="211"/>
      <c r="K29" s="211"/>
      <c r="L29" s="211"/>
      <c r="M29" s="212"/>
    </row>
    <row r="30" spans="1:13" s="37" customFormat="1">
      <c r="A30" s="183" t="s">
        <v>95</v>
      </c>
      <c r="B30" s="191"/>
      <c r="C30" s="1039">
        <f>'Development Schedule'!C83</f>
        <v>198.22640000000001</v>
      </c>
      <c r="D30" s="222">
        <f>$C$30*(1+$B$8)^D4</f>
        <v>202.19092800000001</v>
      </c>
      <c r="E30" s="209">
        <f t="shared" ref="E30:M30" si="6">$C$30*(1+$B$8)^E4</f>
        <v>206.23474656000002</v>
      </c>
      <c r="F30" s="210">
        <f t="shared" si="6"/>
        <v>210.35944149119999</v>
      </c>
      <c r="G30" s="222">
        <f t="shared" si="6"/>
        <v>214.56663032102401</v>
      </c>
      <c r="H30" s="209">
        <f t="shared" si="6"/>
        <v>218.8579629274445</v>
      </c>
      <c r="I30" s="210">
        <f t="shared" si="6"/>
        <v>223.23512218599339</v>
      </c>
      <c r="J30" s="209">
        <f t="shared" si="6"/>
        <v>227.69982462971322</v>
      </c>
      <c r="K30" s="209">
        <f t="shared" si="6"/>
        <v>232.2538211223075</v>
      </c>
      <c r="L30" s="209">
        <f t="shared" si="6"/>
        <v>236.89889754475365</v>
      </c>
      <c r="M30" s="210">
        <f t="shared" si="6"/>
        <v>241.63687549564872</v>
      </c>
    </row>
    <row r="31" spans="1:13" ht="14.15" customHeight="1">
      <c r="A31" s="183" t="s">
        <v>11</v>
      </c>
      <c r="B31" s="191"/>
      <c r="C31" s="268">
        <f>C32/SUM($C$32:$M$32)</f>
        <v>0</v>
      </c>
      <c r="D31" s="269">
        <f t="shared" ref="D31:M31" si="7">D32/SUM($C$32:$M$32)</f>
        <v>0</v>
      </c>
      <c r="E31" s="196">
        <f t="shared" si="7"/>
        <v>0</v>
      </c>
      <c r="F31" s="252">
        <f t="shared" si="7"/>
        <v>0</v>
      </c>
      <c r="G31" s="269">
        <f t="shared" si="7"/>
        <v>1</v>
      </c>
      <c r="H31" s="196">
        <f t="shared" si="7"/>
        <v>0</v>
      </c>
      <c r="I31" s="252">
        <f t="shared" si="7"/>
        <v>0</v>
      </c>
      <c r="J31" s="196">
        <f t="shared" si="7"/>
        <v>0</v>
      </c>
      <c r="K31" s="196">
        <f t="shared" si="7"/>
        <v>0</v>
      </c>
      <c r="L31" s="196">
        <f t="shared" si="7"/>
        <v>0</v>
      </c>
      <c r="M31" s="252">
        <f t="shared" si="7"/>
        <v>0</v>
      </c>
    </row>
    <row r="32" spans="1:13" ht="14.15" customHeight="1">
      <c r="A32" s="183" t="s">
        <v>2</v>
      </c>
      <c r="B32" s="191"/>
      <c r="C32" s="169">
        <f>C30*'Development Schedule'!F83</f>
        <v>0</v>
      </c>
      <c r="D32" s="323">
        <f>D30*'Development Schedule'!G83</f>
        <v>0</v>
      </c>
      <c r="E32" s="324">
        <f>E30*'Development Schedule'!H83</f>
        <v>0</v>
      </c>
      <c r="F32" s="325">
        <f>F30*'Development Schedule'!I83</f>
        <v>0</v>
      </c>
      <c r="G32" s="323">
        <f>G30*'Development Schedule'!J83</f>
        <v>19096430.098571137</v>
      </c>
      <c r="H32" s="324">
        <f>H30*'Development Schedule'!K83</f>
        <v>0</v>
      </c>
      <c r="I32" s="325">
        <f>I30*'Development Schedule'!L83</f>
        <v>0</v>
      </c>
      <c r="J32" s="324">
        <f>J30*'Development Schedule'!M83</f>
        <v>0</v>
      </c>
      <c r="K32" s="324">
        <f>K30*'Development Schedule'!N83</f>
        <v>0</v>
      </c>
      <c r="L32" s="324">
        <f>L30*'Development Schedule'!O83</f>
        <v>0</v>
      </c>
      <c r="M32" s="325">
        <f>M30*'Development Schedule'!P83</f>
        <v>0</v>
      </c>
    </row>
    <row r="33" spans="1:13" ht="14.15" customHeight="1">
      <c r="A33" s="245" t="s">
        <v>12</v>
      </c>
      <c r="B33" s="321"/>
      <c r="C33" s="177"/>
      <c r="D33" s="271"/>
      <c r="E33" s="251"/>
      <c r="F33" s="254"/>
      <c r="G33" s="271"/>
      <c r="H33" s="251"/>
      <c r="I33" s="254"/>
      <c r="J33" s="251"/>
      <c r="K33" s="251"/>
      <c r="L33" s="251"/>
      <c r="M33" s="254"/>
    </row>
    <row r="34" spans="1:13" ht="14.15" customHeight="1" thickBot="1">
      <c r="A34" s="125" t="s">
        <v>3</v>
      </c>
      <c r="B34" s="322"/>
      <c r="C34" s="272">
        <f>SUM(C32:C33)</f>
        <v>0</v>
      </c>
      <c r="D34" s="329">
        <f t="shared" ref="D34:M34" si="8">SUM(D32:D33)</f>
        <v>0</v>
      </c>
      <c r="E34" s="330">
        <f t="shared" si="8"/>
        <v>0</v>
      </c>
      <c r="F34" s="331">
        <f t="shared" si="8"/>
        <v>0</v>
      </c>
      <c r="G34" s="329">
        <f t="shared" si="8"/>
        <v>19096430.098571137</v>
      </c>
      <c r="H34" s="330">
        <f t="shared" si="8"/>
        <v>0</v>
      </c>
      <c r="I34" s="331">
        <f t="shared" si="8"/>
        <v>0</v>
      </c>
      <c r="J34" s="330">
        <f t="shared" si="8"/>
        <v>0</v>
      </c>
      <c r="K34" s="330">
        <f t="shared" si="8"/>
        <v>0</v>
      </c>
      <c r="L34" s="330">
        <f t="shared" si="8"/>
        <v>0</v>
      </c>
      <c r="M34" s="331">
        <f t="shared" si="8"/>
        <v>0</v>
      </c>
    </row>
    <row r="35" spans="1:13" ht="13.5" thickBot="1">
      <c r="A35" s="208" t="s">
        <v>4</v>
      </c>
      <c r="B35" s="205"/>
      <c r="C35" s="332"/>
      <c r="D35" s="333"/>
      <c r="E35" s="334"/>
      <c r="F35" s="335"/>
      <c r="G35" s="333"/>
      <c r="H35" s="334"/>
      <c r="I35" s="335"/>
      <c r="J35" s="334"/>
      <c r="K35" s="334"/>
      <c r="L35" s="334"/>
      <c r="M35" s="335"/>
    </row>
    <row r="36" spans="1:13" ht="14.15" customHeight="1">
      <c r="A36" s="183" t="s">
        <v>5</v>
      </c>
      <c r="B36" s="66"/>
      <c r="C36" s="148">
        <f>C28</f>
        <v>0</v>
      </c>
      <c r="D36" s="270">
        <f t="shared" ref="D36:M36" si="9">D28</f>
        <v>0</v>
      </c>
      <c r="E36" s="239">
        <f t="shared" si="9"/>
        <v>0</v>
      </c>
      <c r="F36" s="253">
        <f t="shared" si="9"/>
        <v>0</v>
      </c>
      <c r="G36" s="270">
        <f t="shared" si="9"/>
        <v>0</v>
      </c>
      <c r="H36" s="239">
        <f t="shared" si="9"/>
        <v>8197799.9637599988</v>
      </c>
      <c r="I36" s="253">
        <f t="shared" si="9"/>
        <v>8361755.9630351998</v>
      </c>
      <c r="J36" s="239">
        <f t="shared" si="9"/>
        <v>8244691.3795527071</v>
      </c>
      <c r="K36" s="239">
        <f t="shared" si="9"/>
        <v>0</v>
      </c>
      <c r="L36" s="239">
        <f t="shared" si="9"/>
        <v>0</v>
      </c>
      <c r="M36" s="253">
        <f t="shared" si="9"/>
        <v>0</v>
      </c>
    </row>
    <row r="37" spans="1:13" ht="14.15" customHeight="1">
      <c r="A37" s="245" t="s">
        <v>96</v>
      </c>
      <c r="B37" s="319"/>
      <c r="C37" s="276">
        <f>-C34</f>
        <v>0</v>
      </c>
      <c r="D37" s="277">
        <f t="shared" ref="D37:M37" si="10">-D34</f>
        <v>0</v>
      </c>
      <c r="E37" s="243">
        <f t="shared" si="10"/>
        <v>0</v>
      </c>
      <c r="F37" s="246">
        <f t="shared" si="10"/>
        <v>0</v>
      </c>
      <c r="G37" s="277">
        <f t="shared" si="10"/>
        <v>-19096430.098571137</v>
      </c>
      <c r="H37" s="243">
        <f t="shared" si="10"/>
        <v>0</v>
      </c>
      <c r="I37" s="246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6">
        <f t="shared" si="10"/>
        <v>0</v>
      </c>
    </row>
    <row r="38" spans="1:13" ht="14.15" customHeight="1" thickBot="1">
      <c r="A38" s="287" t="s">
        <v>6</v>
      </c>
      <c r="B38" s="127"/>
      <c r="C38" s="272">
        <f>SUM(C36:C37)</f>
        <v>0</v>
      </c>
      <c r="D38" s="273">
        <f t="shared" ref="D38:M38" si="11">SUM(D36:D37)</f>
        <v>0</v>
      </c>
      <c r="E38" s="247">
        <f t="shared" si="11"/>
        <v>0</v>
      </c>
      <c r="F38" s="248">
        <f t="shared" si="11"/>
        <v>0</v>
      </c>
      <c r="G38" s="273">
        <f t="shared" si="11"/>
        <v>-19096430.098571137</v>
      </c>
      <c r="H38" s="247">
        <f t="shared" si="11"/>
        <v>8197799.9637599988</v>
      </c>
      <c r="I38" s="248">
        <f t="shared" si="11"/>
        <v>8361755.9630351998</v>
      </c>
      <c r="J38" s="247">
        <f t="shared" si="11"/>
        <v>8244691.3795527071</v>
      </c>
      <c r="K38" s="247">
        <f t="shared" si="11"/>
        <v>0</v>
      </c>
      <c r="L38" s="247">
        <f t="shared" si="11"/>
        <v>0</v>
      </c>
      <c r="M38" s="248">
        <f t="shared" si="11"/>
        <v>0</v>
      </c>
    </row>
    <row r="39" spans="1:13" ht="13.5" thickBot="1">
      <c r="A39" s="124" t="s">
        <v>25</v>
      </c>
      <c r="B39" s="114"/>
      <c r="C39" s="279">
        <f>C38+NPV(D50,D38:M38)</f>
        <v>1295585.3707461976</v>
      </c>
      <c r="D39" s="220"/>
      <c r="E39" s="116"/>
      <c r="F39" s="198"/>
      <c r="G39" s="220"/>
      <c r="H39" s="116"/>
      <c r="I39" s="198"/>
      <c r="J39" s="116"/>
      <c r="K39" s="116"/>
      <c r="L39" s="116"/>
      <c r="M39" s="198"/>
    </row>
    <row r="40" spans="1:13" ht="13.5" thickBot="1">
      <c r="A40" s="89" t="s">
        <v>57</v>
      </c>
      <c r="B40" s="162"/>
      <c r="C40" s="283">
        <f>IRR(C38:M38,0)</f>
        <v>0.14291698140593811</v>
      </c>
      <c r="D40" s="264"/>
      <c r="E40" s="162"/>
      <c r="F40" s="182"/>
      <c r="G40" s="264"/>
      <c r="H40" s="162"/>
      <c r="I40" s="182"/>
      <c r="J40" s="162"/>
      <c r="K40" s="162"/>
      <c r="L40" s="162"/>
      <c r="M40" s="182"/>
    </row>
    <row r="41" spans="1:13" ht="13" thickBot="1">
      <c r="A41" s="37"/>
      <c r="B41" s="59"/>
      <c r="C41" s="59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3.5" thickBot="1">
      <c r="A42" s="193" t="s">
        <v>89</v>
      </c>
      <c r="B42" s="168"/>
      <c r="C42" s="168"/>
      <c r="D42" s="192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3.5" thickBot="1">
      <c r="A43" s="87"/>
      <c r="B43" s="162"/>
      <c r="C43" s="92" t="s">
        <v>87</v>
      </c>
      <c r="D43" s="93" t="s">
        <v>88</v>
      </c>
      <c r="E43" s="37"/>
      <c r="F43" s="37"/>
      <c r="G43" s="37"/>
      <c r="H43" s="37"/>
      <c r="I43" s="37"/>
      <c r="J43" s="37"/>
      <c r="K43" s="37"/>
      <c r="L43" s="37"/>
      <c r="M43" s="37"/>
    </row>
    <row r="44" spans="1:13">
      <c r="A44" s="65" t="s">
        <v>92</v>
      </c>
      <c r="B44" s="66"/>
      <c r="C44" s="293">
        <f>D44/$B$12</f>
        <v>74.166666666666671</v>
      </c>
      <c r="D44" s="237">
        <f>'Development Schedule'!J83</f>
        <v>89000</v>
      </c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3" thickBot="1">
      <c r="A45" s="68" t="s">
        <v>103</v>
      </c>
      <c r="B45" s="69"/>
      <c r="C45" s="69"/>
      <c r="D45" s="238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13" thickBot="1">
      <c r="A46" s="37"/>
      <c r="B46" s="59"/>
      <c r="C46" s="59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3.5" thickBot="1">
      <c r="A47" s="193" t="s">
        <v>97</v>
      </c>
      <c r="B47" s="266"/>
      <c r="C47" s="266"/>
      <c r="D47" s="267"/>
      <c r="E47" s="37"/>
      <c r="F47" s="37"/>
      <c r="G47" s="37"/>
      <c r="H47" s="37"/>
      <c r="I47" s="37"/>
      <c r="J47" s="37"/>
      <c r="K47" s="37"/>
      <c r="L47" s="37"/>
      <c r="M47" s="37"/>
    </row>
    <row r="48" spans="1:13">
      <c r="A48" s="65" t="s">
        <v>40</v>
      </c>
      <c r="B48" s="66"/>
      <c r="C48" s="66"/>
      <c r="D48" s="226">
        <v>0.05</v>
      </c>
      <c r="E48" s="37"/>
      <c r="F48" s="37"/>
      <c r="G48" s="37"/>
      <c r="H48" s="37"/>
      <c r="I48" s="37"/>
      <c r="J48" s="37"/>
      <c r="K48" s="37"/>
      <c r="L48" s="37"/>
      <c r="M48" s="37"/>
    </row>
    <row r="49" spans="1:13">
      <c r="A49" s="65" t="s">
        <v>41</v>
      </c>
      <c r="B49" s="66"/>
      <c r="C49" s="66"/>
      <c r="D49" s="226">
        <v>0.05</v>
      </c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3" thickBot="1">
      <c r="A50" s="68" t="s">
        <v>85</v>
      </c>
      <c r="B50" s="69"/>
      <c r="C50" s="69"/>
      <c r="D50" s="224">
        <v>0.09</v>
      </c>
      <c r="E50" s="37"/>
      <c r="F50" s="37"/>
      <c r="G50" s="37"/>
      <c r="H50" s="37"/>
      <c r="I50" s="37"/>
      <c r="J50" s="37"/>
      <c r="K50" s="37"/>
      <c r="L50" s="37"/>
      <c r="M50" s="37"/>
    </row>
    <row r="51" spans="1:13">
      <c r="A51" s="37"/>
      <c r="B51" s="59"/>
      <c r="C51" s="59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A52" s="37"/>
      <c r="B52" s="59"/>
      <c r="C52" s="59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>
      <c r="A53" s="37"/>
      <c r="B53" s="59"/>
      <c r="C53" s="59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>
      <c r="A54" s="37"/>
      <c r="B54" s="59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>
      <c r="A55" s="37"/>
      <c r="B55" s="59"/>
      <c r="C55" s="59"/>
      <c r="D55" s="37"/>
      <c r="E55" s="37"/>
      <c r="F55" s="37"/>
      <c r="G55" s="37"/>
      <c r="H55" s="37"/>
      <c r="I55" s="37"/>
      <c r="J55" s="37"/>
      <c r="K55" s="37"/>
      <c r="L55" s="37"/>
      <c r="M55" s="37"/>
    </row>
  </sheetData>
  <phoneticPr fontId="3" type="noConversion"/>
  <printOptions horizontalCentered="1"/>
  <pageMargins left="0.5" right="0.5" top="1" bottom="0.5" header="0.5" footer="0.5"/>
  <pageSetup scale="69" orientation="landscape" r:id="rId1"/>
  <headerFooter alignWithMargins="0">
    <oddHeader>&amp;L&amp;"Arial,Bold"3. Income Statement: Market-rate For Sale Housing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8"/>
  <sheetViews>
    <sheetView view="pageBreakPreview" zoomScale="85" zoomScaleNormal="100" zoomScaleSheetLayoutView="85" workbookViewId="0">
      <selection activeCell="D1" sqref="D1"/>
    </sheetView>
  </sheetViews>
  <sheetFormatPr defaultColWidth="9.1796875" defaultRowHeight="13"/>
  <cols>
    <col min="1" max="1" width="23.26953125" style="1" customWidth="1"/>
    <col min="2" max="2" width="12.7265625" style="2" customWidth="1"/>
    <col min="3" max="3" width="13.7265625" style="2" customWidth="1"/>
    <col min="4" max="13" width="13.7265625" style="1" customWidth="1"/>
    <col min="14" max="14" width="14" style="1" bestFit="1" customWidth="1"/>
    <col min="15" max="16384" width="9.1796875" style="1"/>
  </cols>
  <sheetData>
    <row r="1" spans="1:13" ht="14.15" customHeight="1" thickBot="1">
      <c r="A1" s="288"/>
      <c r="B1" s="289"/>
      <c r="C1" s="289"/>
      <c r="D1" s="288"/>
      <c r="E1" s="288"/>
      <c r="F1" s="288"/>
      <c r="G1" s="288"/>
      <c r="H1" s="288"/>
      <c r="I1" s="288"/>
      <c r="J1" s="288"/>
      <c r="K1" s="288"/>
      <c r="L1" s="145" t="s">
        <v>86</v>
      </c>
      <c r="M1" s="343">
        <v>203666</v>
      </c>
    </row>
    <row r="2" spans="1:13" ht="14.15" customHeight="1" thickBot="1">
      <c r="A2" s="288"/>
      <c r="B2" s="289"/>
      <c r="C2" s="289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4.15" customHeight="1" thickBot="1">
      <c r="A3" s="133"/>
      <c r="B3" s="213"/>
      <c r="C3" s="139" t="s">
        <v>53</v>
      </c>
      <c r="D3" s="112" t="s">
        <v>34</v>
      </c>
      <c r="E3" s="113"/>
      <c r="F3" s="43"/>
      <c r="G3" s="112" t="s">
        <v>76</v>
      </c>
      <c r="H3" s="154"/>
      <c r="I3" s="44"/>
      <c r="J3" s="42" t="s">
        <v>77</v>
      </c>
      <c r="K3" s="42"/>
      <c r="L3" s="43"/>
      <c r="M3" s="44"/>
    </row>
    <row r="4" spans="1:13" ht="14.15" customHeight="1" thickBot="1">
      <c r="A4" s="65"/>
      <c r="B4" s="66"/>
      <c r="C4" s="147">
        <v>0</v>
      </c>
      <c r="D4" s="110">
        <f>C4+1</f>
        <v>1</v>
      </c>
      <c r="E4" s="109">
        <f t="shared" ref="E4:M5" si="0">D4+1</f>
        <v>2</v>
      </c>
      <c r="F4" s="109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09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</row>
    <row r="5" spans="1:13" ht="14.15" customHeight="1" thickBot="1">
      <c r="A5" s="68"/>
      <c r="B5" s="146"/>
      <c r="C5" s="1016" t="str">
        <f>'1.Inftr Costs'!$D$5</f>
        <v>2020-2021</v>
      </c>
      <c r="D5" s="1017">
        <f>'1.Inftr Costs'!$E$5</f>
        <v>2022</v>
      </c>
      <c r="E5" s="109">
        <f>D5+1</f>
        <v>2023</v>
      </c>
      <c r="F5" s="109">
        <f t="shared" si="0"/>
        <v>2024</v>
      </c>
      <c r="G5" s="110">
        <f t="shared" si="0"/>
        <v>2025</v>
      </c>
      <c r="H5" s="109">
        <f t="shared" si="0"/>
        <v>2026</v>
      </c>
      <c r="I5" s="111">
        <f t="shared" si="0"/>
        <v>2027</v>
      </c>
      <c r="J5" s="109">
        <f t="shared" si="0"/>
        <v>2028</v>
      </c>
      <c r="K5" s="109">
        <f t="shared" si="0"/>
        <v>2029</v>
      </c>
      <c r="L5" s="109">
        <f>K5+1</f>
        <v>2030</v>
      </c>
      <c r="M5" s="111">
        <f>L5+1</f>
        <v>2031</v>
      </c>
    </row>
    <row r="6" spans="1:13" ht="13.5" thickBot="1">
      <c r="A6" s="208" t="s">
        <v>8</v>
      </c>
      <c r="B6" s="205"/>
      <c r="C6" s="214"/>
      <c r="D6" s="217"/>
      <c r="E6" s="206"/>
      <c r="F6" s="206"/>
      <c r="G6" s="217"/>
      <c r="H6" s="206"/>
      <c r="I6" s="207"/>
      <c r="J6" s="206"/>
      <c r="K6" s="206"/>
      <c r="L6" s="206"/>
      <c r="M6" s="207"/>
    </row>
    <row r="7" spans="1:13">
      <c r="A7" s="64" t="s">
        <v>34</v>
      </c>
      <c r="B7" s="66"/>
      <c r="C7" s="141"/>
      <c r="D7" s="65"/>
      <c r="E7" s="76"/>
      <c r="F7" s="76"/>
      <c r="G7" s="65"/>
      <c r="H7" s="76"/>
      <c r="I7" s="121"/>
      <c r="J7" s="76"/>
      <c r="K7" s="76"/>
      <c r="L7" s="76"/>
      <c r="M7" s="121"/>
    </row>
    <row r="8" spans="1:13">
      <c r="A8" s="183" t="s">
        <v>9</v>
      </c>
      <c r="B8" s="132">
        <v>0.02</v>
      </c>
      <c r="C8" s="347"/>
      <c r="D8" s="350"/>
      <c r="E8" s="291"/>
      <c r="F8" s="291"/>
      <c r="G8" s="350"/>
      <c r="H8" s="291"/>
      <c r="I8" s="345"/>
      <c r="J8" s="291"/>
      <c r="K8" s="291"/>
      <c r="L8" s="291"/>
      <c r="M8" s="345"/>
    </row>
    <row r="9" spans="1:13" ht="14.15" customHeight="1">
      <c r="A9" s="183" t="s">
        <v>90</v>
      </c>
      <c r="B9" s="132"/>
      <c r="C9" s="348"/>
      <c r="D9" s="367">
        <f>ROUND('Development Schedule'!G81/$B$12,0)</f>
        <v>34</v>
      </c>
      <c r="E9" s="365">
        <f>ROUND('Development Schedule'!H81/$B$12,0)</f>
        <v>0</v>
      </c>
      <c r="F9" s="365">
        <f>ROUND('Development Schedule'!I81/$B$12,0)</f>
        <v>48</v>
      </c>
      <c r="G9" s="367"/>
      <c r="H9" s="365"/>
      <c r="I9" s="366"/>
      <c r="J9" s="365"/>
      <c r="K9" s="365"/>
      <c r="L9" s="365"/>
      <c r="M9" s="366"/>
    </row>
    <row r="10" spans="1:13" ht="14.15" customHeight="1">
      <c r="A10" s="183" t="s">
        <v>35</v>
      </c>
      <c r="B10" s="66"/>
      <c r="C10" s="348"/>
      <c r="D10" s="352">
        <f>ROUND(D15*$C$57,0)</f>
        <v>0</v>
      </c>
      <c r="E10" s="353">
        <f>E11-SUM($D$10:D10)</f>
        <v>25</v>
      </c>
      <c r="F10" s="353">
        <f>F11-SUM($D$10:E10)</f>
        <v>37</v>
      </c>
      <c r="G10" s="352">
        <f>G11-SUM($D$10:F10)</f>
        <v>21</v>
      </c>
      <c r="H10" s="353">
        <f>H11-SUM($D$10:G10)</f>
        <v>0</v>
      </c>
      <c r="I10" s="354">
        <f>I11-SUM($D$10:H10)</f>
        <v>0</v>
      </c>
      <c r="J10" s="353">
        <f>J11-SUM($D$10:I10)</f>
        <v>0</v>
      </c>
      <c r="K10" s="353">
        <f>K11-SUM($D$10:J10)</f>
        <v>0</v>
      </c>
      <c r="L10" s="353">
        <f>L11-SUM($D$10:K10)</f>
        <v>0</v>
      </c>
      <c r="M10" s="354">
        <f>M11-SUM($D$10:L10)</f>
        <v>0</v>
      </c>
    </row>
    <row r="11" spans="1:13" ht="14.15" customHeight="1">
      <c r="A11" s="183" t="s">
        <v>91</v>
      </c>
      <c r="B11" s="60"/>
      <c r="C11" s="348"/>
      <c r="D11" s="352">
        <f t="shared" ref="D11:M11" si="1">ROUND(D15*$C$57,0)</f>
        <v>0</v>
      </c>
      <c r="E11" s="353">
        <f t="shared" si="1"/>
        <v>25</v>
      </c>
      <c r="F11" s="353">
        <f t="shared" si="1"/>
        <v>62</v>
      </c>
      <c r="G11" s="352">
        <f t="shared" si="1"/>
        <v>83</v>
      </c>
      <c r="H11" s="353">
        <f t="shared" si="1"/>
        <v>83</v>
      </c>
      <c r="I11" s="354">
        <f t="shared" si="1"/>
        <v>83</v>
      </c>
      <c r="J11" s="353">
        <f t="shared" si="1"/>
        <v>83</v>
      </c>
      <c r="K11" s="353">
        <f t="shared" si="1"/>
        <v>83</v>
      </c>
      <c r="L11" s="353">
        <f t="shared" si="1"/>
        <v>83</v>
      </c>
      <c r="M11" s="354">
        <f t="shared" si="1"/>
        <v>83</v>
      </c>
    </row>
    <row r="12" spans="1:13" ht="14.15" customHeight="1">
      <c r="A12" s="183" t="s">
        <v>36</v>
      </c>
      <c r="B12" s="60">
        <v>1200</v>
      </c>
      <c r="C12" s="348"/>
      <c r="D12" s="351"/>
      <c r="E12" s="290"/>
      <c r="F12" s="290"/>
      <c r="G12" s="351"/>
      <c r="H12" s="290"/>
      <c r="I12" s="346"/>
      <c r="J12" s="290"/>
      <c r="K12" s="290"/>
      <c r="L12" s="290"/>
      <c r="M12" s="346"/>
    </row>
    <row r="13" spans="1:13" ht="14.15" customHeight="1">
      <c r="A13" s="183" t="s">
        <v>37</v>
      </c>
      <c r="B13" s="66"/>
      <c r="C13" s="348"/>
      <c r="D13" s="355">
        <f>SUM($D$9:D9)*$B$12</f>
        <v>40800</v>
      </c>
      <c r="E13" s="356">
        <f>SUM($D$9:E9)*$B$12</f>
        <v>40800</v>
      </c>
      <c r="F13" s="356">
        <f>SUM($D$9:F9)*$B$12</f>
        <v>98400</v>
      </c>
      <c r="G13" s="355">
        <f>SUM($D$9:G9)*$B$12</f>
        <v>98400</v>
      </c>
      <c r="H13" s="356">
        <f>SUM($D$9:H9)*$B$12</f>
        <v>98400</v>
      </c>
      <c r="I13" s="357">
        <f>SUM($D$9:I9)*$B$12</f>
        <v>98400</v>
      </c>
      <c r="J13" s="356">
        <f>SUM($D$9:J9)*$B$12</f>
        <v>98400</v>
      </c>
      <c r="K13" s="356">
        <f>SUM($D$9:K9)*$B$12</f>
        <v>98400</v>
      </c>
      <c r="L13" s="356">
        <f>SUM($D$9:L9)*$B$12</f>
        <v>98400</v>
      </c>
      <c r="M13" s="357">
        <f>SUM($D$9:M9)*$B$12</f>
        <v>98400</v>
      </c>
    </row>
    <row r="14" spans="1:13" ht="14.15" customHeight="1">
      <c r="A14" s="183" t="s">
        <v>93</v>
      </c>
      <c r="B14" s="66"/>
      <c r="C14" s="359">
        <v>1</v>
      </c>
      <c r="D14" s="360">
        <f>$C$14*(1+$B$8)^D$4</f>
        <v>1.02</v>
      </c>
      <c r="E14" s="361">
        <f t="shared" ref="E14:M14" si="2">$C$14*(1+$B$8)^E$4</f>
        <v>1.0404</v>
      </c>
      <c r="F14" s="361">
        <f t="shared" si="2"/>
        <v>1.0612079999999999</v>
      </c>
      <c r="G14" s="360">
        <f t="shared" si="2"/>
        <v>1.08243216</v>
      </c>
      <c r="H14" s="361">
        <f t="shared" si="2"/>
        <v>1.1040808032</v>
      </c>
      <c r="I14" s="362">
        <f t="shared" si="2"/>
        <v>1.1261624192640001</v>
      </c>
      <c r="J14" s="361">
        <f t="shared" si="2"/>
        <v>1.1486856676492798</v>
      </c>
      <c r="K14" s="361">
        <f t="shared" si="2"/>
        <v>1.1716593810022655</v>
      </c>
      <c r="L14" s="361">
        <f t="shared" si="2"/>
        <v>1.1950925686223108</v>
      </c>
      <c r="M14" s="362">
        <f t="shared" si="2"/>
        <v>1.2189944199947571</v>
      </c>
    </row>
    <row r="15" spans="1:13" ht="14.15" customHeight="1" thickBot="1">
      <c r="A15" s="144" t="s">
        <v>38</v>
      </c>
      <c r="B15" s="200"/>
      <c r="C15" s="349"/>
      <c r="D15" s="223">
        <v>0</v>
      </c>
      <c r="E15" s="201">
        <v>0.3</v>
      </c>
      <c r="F15" s="203">
        <v>0.75</v>
      </c>
      <c r="G15" s="227">
        <v>1</v>
      </c>
      <c r="H15" s="200">
        <f t="shared" ref="H15:M15" si="3">G15</f>
        <v>1</v>
      </c>
      <c r="I15" s="204">
        <f t="shared" si="3"/>
        <v>1</v>
      </c>
      <c r="J15" s="200">
        <f t="shared" si="3"/>
        <v>1</v>
      </c>
      <c r="K15" s="200">
        <f t="shared" si="3"/>
        <v>1</v>
      </c>
      <c r="L15" s="200">
        <f t="shared" si="3"/>
        <v>1</v>
      </c>
      <c r="M15" s="204">
        <f t="shared" si="3"/>
        <v>1</v>
      </c>
    </row>
    <row r="16" spans="1:13" ht="4.5" customHeight="1">
      <c r="A16" s="183"/>
      <c r="B16" s="117"/>
      <c r="C16" s="364"/>
      <c r="D16" s="363"/>
      <c r="E16" s="363"/>
      <c r="F16" s="132"/>
      <c r="G16" s="278"/>
      <c r="H16" s="117"/>
      <c r="I16" s="229"/>
      <c r="J16" s="117"/>
      <c r="K16" s="117"/>
      <c r="L16" s="117"/>
      <c r="M16" s="229"/>
    </row>
    <row r="17" spans="1:13">
      <c r="A17" s="64" t="s">
        <v>76</v>
      </c>
      <c r="B17" s="66"/>
      <c r="C17" s="141"/>
      <c r="D17" s="76"/>
      <c r="E17" s="76"/>
      <c r="F17" s="76"/>
      <c r="G17" s="65"/>
      <c r="H17" s="76"/>
      <c r="I17" s="121"/>
      <c r="J17" s="76"/>
      <c r="K17" s="76"/>
      <c r="L17" s="76"/>
      <c r="M17" s="121"/>
    </row>
    <row r="18" spans="1:13">
      <c r="A18" s="183" t="s">
        <v>9</v>
      </c>
      <c r="B18" s="132">
        <v>0.02</v>
      </c>
      <c r="C18" s="347"/>
      <c r="D18" s="291"/>
      <c r="E18" s="291"/>
      <c r="F18" s="291"/>
      <c r="G18" s="350"/>
      <c r="H18" s="291"/>
      <c r="I18" s="345"/>
      <c r="J18" s="291"/>
      <c r="K18" s="291"/>
      <c r="L18" s="291"/>
      <c r="M18" s="345"/>
    </row>
    <row r="19" spans="1:13" ht="14.15" customHeight="1">
      <c r="A19" s="183" t="s">
        <v>90</v>
      </c>
      <c r="B19" s="132"/>
      <c r="C19" s="348"/>
      <c r="D19" s="365"/>
      <c r="E19" s="365"/>
      <c r="F19" s="365"/>
      <c r="G19" s="367">
        <f>ROUND('Development Schedule'!J81/$B$22,0)</f>
        <v>0</v>
      </c>
      <c r="H19" s="365">
        <f>ROUND('Development Schedule'!K81/$B$22,0)</f>
        <v>46</v>
      </c>
      <c r="I19" s="366">
        <f>ROUND('Development Schedule'!L81/$B$22,0)</f>
        <v>0</v>
      </c>
      <c r="J19" s="365"/>
      <c r="K19" s="365"/>
      <c r="L19" s="365"/>
      <c r="M19" s="366"/>
    </row>
    <row r="20" spans="1:13" ht="14.15" customHeight="1">
      <c r="A20" s="183" t="s">
        <v>35</v>
      </c>
      <c r="B20" s="66"/>
      <c r="C20" s="348"/>
      <c r="D20" s="353"/>
      <c r="E20" s="353"/>
      <c r="F20" s="353"/>
      <c r="G20" s="352">
        <f>G21-SUM($D$20:F20)</f>
        <v>14</v>
      </c>
      <c r="H20" s="353">
        <f>H21-SUM($D$20:G20)</f>
        <v>20</v>
      </c>
      <c r="I20" s="354">
        <f>I21-SUM($D$20:H20)</f>
        <v>12</v>
      </c>
      <c r="J20" s="353">
        <f>J21-SUM($D$20:I20)</f>
        <v>0</v>
      </c>
      <c r="K20" s="353">
        <f>K21-SUM($D$20:J20)</f>
        <v>0</v>
      </c>
      <c r="L20" s="353">
        <f>L21-SUM($D$20:K20)</f>
        <v>0</v>
      </c>
      <c r="M20" s="354">
        <f>M21-SUM($D$20:L20)</f>
        <v>0</v>
      </c>
    </row>
    <row r="21" spans="1:13" ht="14.15" customHeight="1">
      <c r="A21" s="183" t="s">
        <v>91</v>
      </c>
      <c r="B21" s="60"/>
      <c r="C21" s="348"/>
      <c r="D21" s="353"/>
      <c r="E21" s="353"/>
      <c r="F21" s="353"/>
      <c r="G21" s="352">
        <f t="shared" ref="G21:M21" si="4">ROUND(G25*$C$58,0)</f>
        <v>14</v>
      </c>
      <c r="H21" s="353">
        <f t="shared" si="4"/>
        <v>34</v>
      </c>
      <c r="I21" s="354">
        <f t="shared" si="4"/>
        <v>46</v>
      </c>
      <c r="J21" s="353">
        <f t="shared" si="4"/>
        <v>46</v>
      </c>
      <c r="K21" s="353">
        <f t="shared" si="4"/>
        <v>46</v>
      </c>
      <c r="L21" s="353">
        <f t="shared" si="4"/>
        <v>46</v>
      </c>
      <c r="M21" s="354">
        <f t="shared" si="4"/>
        <v>46</v>
      </c>
    </row>
    <row r="22" spans="1:13" ht="14.15" customHeight="1">
      <c r="A22" s="183" t="s">
        <v>36</v>
      </c>
      <c r="B22" s="60">
        <f>B12</f>
        <v>1200</v>
      </c>
      <c r="C22" s="348"/>
      <c r="D22" s="290"/>
      <c r="E22" s="290"/>
      <c r="F22" s="290"/>
      <c r="G22" s="351"/>
      <c r="H22" s="290"/>
      <c r="I22" s="346"/>
      <c r="J22" s="290"/>
      <c r="K22" s="290"/>
      <c r="L22" s="290"/>
      <c r="M22" s="346"/>
    </row>
    <row r="23" spans="1:13" ht="14.15" customHeight="1">
      <c r="A23" s="183" t="s">
        <v>37</v>
      </c>
      <c r="B23" s="66"/>
      <c r="C23" s="348"/>
      <c r="D23" s="356">
        <f>SUM($D$19:D19)*$B$22</f>
        <v>0</v>
      </c>
      <c r="E23" s="356">
        <f>SUM($D$19:E19)*$B$22</f>
        <v>0</v>
      </c>
      <c r="F23" s="356">
        <f>SUM($D$19:F19)*$B$22</f>
        <v>0</v>
      </c>
      <c r="G23" s="355">
        <f>SUM($D$19:G19)*$B$22</f>
        <v>0</v>
      </c>
      <c r="H23" s="356">
        <f>SUM($D$19:H19)*$B$22</f>
        <v>55200</v>
      </c>
      <c r="I23" s="357">
        <f>SUM($D$19:I19)*$B$22</f>
        <v>55200</v>
      </c>
      <c r="J23" s="356">
        <f>SUM($D$19:J19)*$B$22</f>
        <v>55200</v>
      </c>
      <c r="K23" s="356">
        <f>SUM($D$19:K19)*$B$22</f>
        <v>55200</v>
      </c>
      <c r="L23" s="356">
        <f>SUM($D$19:L19)*$B$22</f>
        <v>55200</v>
      </c>
      <c r="M23" s="357">
        <f>SUM($D$19:M19)*$B$22</f>
        <v>55200</v>
      </c>
    </row>
    <row r="24" spans="1:13" ht="14.15" customHeight="1">
      <c r="A24" s="183" t="s">
        <v>93</v>
      </c>
      <c r="B24" s="66"/>
      <c r="C24" s="358">
        <f>C14</f>
        <v>1</v>
      </c>
      <c r="D24" s="361">
        <f t="shared" ref="D24:M24" si="5">D14</f>
        <v>1.02</v>
      </c>
      <c r="E24" s="361">
        <f t="shared" si="5"/>
        <v>1.0404</v>
      </c>
      <c r="F24" s="361">
        <f t="shared" si="5"/>
        <v>1.0612079999999999</v>
      </c>
      <c r="G24" s="360">
        <f t="shared" si="5"/>
        <v>1.08243216</v>
      </c>
      <c r="H24" s="361">
        <f t="shared" si="5"/>
        <v>1.1040808032</v>
      </c>
      <c r="I24" s="362">
        <f t="shared" si="5"/>
        <v>1.1261624192640001</v>
      </c>
      <c r="J24" s="361">
        <f t="shared" si="5"/>
        <v>1.1486856676492798</v>
      </c>
      <c r="K24" s="361">
        <f t="shared" si="5"/>
        <v>1.1716593810022655</v>
      </c>
      <c r="L24" s="361">
        <f t="shared" si="5"/>
        <v>1.1950925686223108</v>
      </c>
      <c r="M24" s="362">
        <f t="shared" si="5"/>
        <v>1.2189944199947571</v>
      </c>
    </row>
    <row r="25" spans="1:13" ht="14.15" customHeight="1" thickBot="1">
      <c r="A25" s="144" t="s">
        <v>38</v>
      </c>
      <c r="B25" s="200"/>
      <c r="C25" s="349"/>
      <c r="D25" s="201">
        <v>0</v>
      </c>
      <c r="E25" s="202">
        <f>D25</f>
        <v>0</v>
      </c>
      <c r="F25" s="200">
        <f>E25</f>
        <v>0</v>
      </c>
      <c r="G25" s="227">
        <v>0.3</v>
      </c>
      <c r="H25" s="203">
        <v>0.75</v>
      </c>
      <c r="I25" s="224">
        <v>1</v>
      </c>
      <c r="J25" s="200">
        <f>I25</f>
        <v>1</v>
      </c>
      <c r="K25" s="200">
        <f>J25</f>
        <v>1</v>
      </c>
      <c r="L25" s="200">
        <f>K25</f>
        <v>1</v>
      </c>
      <c r="M25" s="204">
        <f>L25</f>
        <v>1</v>
      </c>
    </row>
    <row r="26" spans="1:13" ht="4.5" customHeight="1">
      <c r="A26" s="183"/>
      <c r="B26" s="117"/>
      <c r="C26" s="364"/>
      <c r="D26" s="363"/>
      <c r="E26" s="363"/>
      <c r="F26" s="132"/>
      <c r="G26" s="278"/>
      <c r="H26" s="117"/>
      <c r="I26" s="229"/>
      <c r="J26" s="117"/>
      <c r="K26" s="117"/>
      <c r="L26" s="117"/>
      <c r="M26" s="229"/>
    </row>
    <row r="27" spans="1:13">
      <c r="A27" s="64" t="s">
        <v>77</v>
      </c>
      <c r="B27" s="66"/>
      <c r="C27" s="141"/>
      <c r="D27" s="76"/>
      <c r="E27" s="76"/>
      <c r="F27" s="76"/>
      <c r="G27" s="65"/>
      <c r="H27" s="76"/>
      <c r="I27" s="121"/>
      <c r="J27" s="76"/>
      <c r="K27" s="76"/>
      <c r="L27" s="76"/>
      <c r="M27" s="121"/>
    </row>
    <row r="28" spans="1:13">
      <c r="A28" s="183" t="s">
        <v>9</v>
      </c>
      <c r="B28" s="132">
        <v>0.02</v>
      </c>
      <c r="C28" s="347"/>
      <c r="D28" s="291"/>
      <c r="E28" s="291"/>
      <c r="F28" s="291"/>
      <c r="G28" s="350"/>
      <c r="H28" s="291"/>
      <c r="I28" s="345"/>
      <c r="J28" s="291"/>
      <c r="K28" s="291"/>
      <c r="L28" s="291"/>
      <c r="M28" s="345"/>
    </row>
    <row r="29" spans="1:13" ht="14.15" customHeight="1">
      <c r="A29" s="183" t="s">
        <v>90</v>
      </c>
      <c r="B29" s="132"/>
      <c r="C29" s="348"/>
      <c r="D29" s="365"/>
      <c r="E29" s="365"/>
      <c r="F29" s="365"/>
      <c r="G29" s="367"/>
      <c r="H29" s="365"/>
      <c r="I29" s="366"/>
      <c r="J29" s="365">
        <f>ROUND('Development Schedule'!M81/$B$32,0)</f>
        <v>42</v>
      </c>
      <c r="K29" s="365">
        <f>ROUND('Development Schedule'!N81/$B$32,0)</f>
        <v>0</v>
      </c>
      <c r="L29" s="365">
        <f>ROUND('Development Schedule'!O81/$B$32,0)</f>
        <v>0</v>
      </c>
      <c r="M29" s="366">
        <f>ROUND('Development Schedule'!P81/$B$32,0)</f>
        <v>0</v>
      </c>
    </row>
    <row r="30" spans="1:13" ht="14.15" customHeight="1">
      <c r="A30" s="183" t="s">
        <v>35</v>
      </c>
      <c r="B30" s="66"/>
      <c r="C30" s="348"/>
      <c r="D30" s="353"/>
      <c r="E30" s="353"/>
      <c r="F30" s="353"/>
      <c r="G30" s="352"/>
      <c r="H30" s="353"/>
      <c r="I30" s="354"/>
      <c r="J30" s="353">
        <f>J31-SUM($D$30:I30)</f>
        <v>0</v>
      </c>
      <c r="K30" s="353">
        <f>K31-SUM($D$30:J30)</f>
        <v>13</v>
      </c>
      <c r="L30" s="353">
        <f>L31-SUM($D$30:K30)</f>
        <v>18</v>
      </c>
      <c r="M30" s="354">
        <f>M31-SUM($D$30:L30)</f>
        <v>11</v>
      </c>
    </row>
    <row r="31" spans="1:13" ht="14.15" customHeight="1">
      <c r="A31" s="183" t="s">
        <v>91</v>
      </c>
      <c r="B31" s="60"/>
      <c r="C31" s="348"/>
      <c r="D31" s="353"/>
      <c r="E31" s="353"/>
      <c r="F31" s="353"/>
      <c r="G31" s="352"/>
      <c r="H31" s="353"/>
      <c r="I31" s="354"/>
      <c r="J31" s="353">
        <f t="shared" ref="J31:M31" si="6">ROUND(J35*$C$59,0)</f>
        <v>0</v>
      </c>
      <c r="K31" s="353">
        <f t="shared" si="6"/>
        <v>13</v>
      </c>
      <c r="L31" s="353">
        <f t="shared" si="6"/>
        <v>31</v>
      </c>
      <c r="M31" s="354">
        <f t="shared" si="6"/>
        <v>42</v>
      </c>
    </row>
    <row r="32" spans="1:13" ht="14.15" customHeight="1">
      <c r="A32" s="183" t="s">
        <v>36</v>
      </c>
      <c r="B32" s="60">
        <f>B12</f>
        <v>1200</v>
      </c>
      <c r="C32" s="348"/>
      <c r="D32" s="290"/>
      <c r="E32" s="290"/>
      <c r="F32" s="290"/>
      <c r="G32" s="351"/>
      <c r="H32" s="290"/>
      <c r="I32" s="346"/>
      <c r="J32" s="290"/>
      <c r="K32" s="290"/>
      <c r="L32" s="290"/>
      <c r="M32" s="346"/>
    </row>
    <row r="33" spans="1:14" ht="14.15" customHeight="1">
      <c r="A33" s="183" t="s">
        <v>37</v>
      </c>
      <c r="B33" s="66"/>
      <c r="C33" s="348"/>
      <c r="D33" s="356"/>
      <c r="E33" s="356"/>
      <c r="F33" s="356"/>
      <c r="G33" s="355"/>
      <c r="H33" s="356"/>
      <c r="I33" s="357"/>
      <c r="J33" s="356">
        <f>SUM($D$29:J29)*$B$32</f>
        <v>50400</v>
      </c>
      <c r="K33" s="356">
        <f>SUM($D$29:K29)*$B$32</f>
        <v>50400</v>
      </c>
      <c r="L33" s="356">
        <f>SUM($D$29:L29)*$B$32</f>
        <v>50400</v>
      </c>
      <c r="M33" s="357">
        <f>SUM($D$29:M29)*$B$32</f>
        <v>50400</v>
      </c>
    </row>
    <row r="34" spans="1:14" ht="14.15" customHeight="1">
      <c r="A34" s="183" t="s">
        <v>93</v>
      </c>
      <c r="B34" s="66"/>
      <c r="C34" s="358">
        <f>C24</f>
        <v>1</v>
      </c>
      <c r="D34" s="361"/>
      <c r="E34" s="361"/>
      <c r="F34" s="361"/>
      <c r="G34" s="360"/>
      <c r="H34" s="361"/>
      <c r="I34" s="362"/>
      <c r="J34" s="361">
        <f>J14</f>
        <v>1.1486856676492798</v>
      </c>
      <c r="K34" s="361">
        <f t="shared" ref="K34:M34" si="7">K14</f>
        <v>1.1716593810022655</v>
      </c>
      <c r="L34" s="361">
        <f t="shared" si="7"/>
        <v>1.1950925686223108</v>
      </c>
      <c r="M34" s="362">
        <f t="shared" si="7"/>
        <v>1.2189944199947571</v>
      </c>
    </row>
    <row r="35" spans="1:14" ht="14.15" customHeight="1" thickBot="1">
      <c r="A35" s="144" t="s">
        <v>38</v>
      </c>
      <c r="B35" s="200"/>
      <c r="C35" s="349"/>
      <c r="D35" s="201">
        <v>0</v>
      </c>
      <c r="E35" s="202">
        <f t="shared" ref="E35:J35" si="8">D35</f>
        <v>0</v>
      </c>
      <c r="F35" s="200">
        <f t="shared" si="8"/>
        <v>0</v>
      </c>
      <c r="G35" s="231">
        <f t="shared" si="8"/>
        <v>0</v>
      </c>
      <c r="H35" s="200">
        <f t="shared" si="8"/>
        <v>0</v>
      </c>
      <c r="I35" s="204">
        <f t="shared" si="8"/>
        <v>0</v>
      </c>
      <c r="J35" s="200">
        <f t="shared" si="8"/>
        <v>0</v>
      </c>
      <c r="K35" s="203">
        <v>0.3</v>
      </c>
      <c r="L35" s="203">
        <v>0.75</v>
      </c>
      <c r="M35" s="224">
        <v>1</v>
      </c>
    </row>
    <row r="36" spans="1:14" ht="13.5" thickBot="1">
      <c r="A36" s="208" t="s">
        <v>0</v>
      </c>
      <c r="B36" s="205"/>
      <c r="C36" s="214"/>
      <c r="D36" s="255"/>
      <c r="E36" s="211"/>
      <c r="F36" s="211"/>
      <c r="G36" s="255"/>
      <c r="H36" s="211"/>
      <c r="I36" s="212"/>
      <c r="J36" s="211"/>
      <c r="K36" s="211"/>
      <c r="L36" s="211"/>
      <c r="M36" s="212"/>
    </row>
    <row r="37" spans="1:14" ht="14.15" customHeight="1">
      <c r="A37" s="183" t="s">
        <v>10</v>
      </c>
      <c r="B37" s="66"/>
      <c r="C37" s="274">
        <v>0</v>
      </c>
      <c r="D37" s="257">
        <f>SUM(D11,D21,D31)*$B$12*D14*12</f>
        <v>0</v>
      </c>
      <c r="E37" s="258">
        <f t="shared" ref="E37:M37" si="9">SUM(E11,E21,E31)*$B$12*E14*12</f>
        <v>374544</v>
      </c>
      <c r="F37" s="258">
        <f t="shared" si="9"/>
        <v>947446.50239999988</v>
      </c>
      <c r="G37" s="257">
        <f t="shared" si="9"/>
        <v>1511941.2410880001</v>
      </c>
      <c r="H37" s="258">
        <f t="shared" si="9"/>
        <v>1860155.3372313599</v>
      </c>
      <c r="I37" s="259">
        <f t="shared" si="9"/>
        <v>2091959.3100248068</v>
      </c>
      <c r="J37" s="240">
        <f t="shared" si="9"/>
        <v>2133798.4962253021</v>
      </c>
      <c r="K37" s="240">
        <f t="shared" si="9"/>
        <v>2395809.1022734325</v>
      </c>
      <c r="L37" s="240">
        <f t="shared" si="9"/>
        <v>2753493.2781058042</v>
      </c>
      <c r="M37" s="244">
        <f t="shared" si="9"/>
        <v>3001651.8597950898</v>
      </c>
      <c r="N37" s="380"/>
    </row>
    <row r="38" spans="1:14" ht="14.15" customHeight="1">
      <c r="A38" s="245" t="s">
        <v>94</v>
      </c>
      <c r="B38" s="242">
        <v>0.35</v>
      </c>
      <c r="C38" s="276">
        <f>C37*-$B$38</f>
        <v>0</v>
      </c>
      <c r="D38" s="277">
        <f>D37*-$B$38</f>
        <v>0</v>
      </c>
      <c r="E38" s="243">
        <f t="shared" ref="E38:M38" si="10">E37*-$B$38</f>
        <v>-131090.4</v>
      </c>
      <c r="F38" s="243">
        <f t="shared" si="10"/>
        <v>-331606.27583999996</v>
      </c>
      <c r="G38" s="277">
        <f t="shared" si="10"/>
        <v>-529179.4343808</v>
      </c>
      <c r="H38" s="243">
        <f t="shared" si="10"/>
        <v>-651054.36803097592</v>
      </c>
      <c r="I38" s="246">
        <f t="shared" si="10"/>
        <v>-732185.75850868237</v>
      </c>
      <c r="J38" s="243">
        <f t="shared" si="10"/>
        <v>-746829.47367885569</v>
      </c>
      <c r="K38" s="243">
        <f t="shared" si="10"/>
        <v>-838533.18579570134</v>
      </c>
      <c r="L38" s="243">
        <f t="shared" si="10"/>
        <v>-963722.64733703143</v>
      </c>
      <c r="M38" s="246">
        <f t="shared" si="10"/>
        <v>-1050578.1509282815</v>
      </c>
    </row>
    <row r="39" spans="1:14" ht="14.15" customHeight="1" thickBot="1">
      <c r="A39" s="287" t="s">
        <v>5</v>
      </c>
      <c r="B39" s="69"/>
      <c r="C39" s="272">
        <f>SUM(C37:C38)</f>
        <v>0</v>
      </c>
      <c r="D39" s="273">
        <f>SUM(D37:D38)</f>
        <v>0</v>
      </c>
      <c r="E39" s="247">
        <f t="shared" ref="E39:M39" si="11">SUM(E37:E38)</f>
        <v>243453.6</v>
      </c>
      <c r="F39" s="247">
        <f t="shared" si="11"/>
        <v>615840.22655999986</v>
      </c>
      <c r="G39" s="273">
        <f t="shared" si="11"/>
        <v>982761.80670720013</v>
      </c>
      <c r="H39" s="247">
        <f t="shared" si="11"/>
        <v>1209100.9692003839</v>
      </c>
      <c r="I39" s="248">
        <f t="shared" si="11"/>
        <v>1359773.5515161245</v>
      </c>
      <c r="J39" s="247">
        <f t="shared" si="11"/>
        <v>1386969.0225464464</v>
      </c>
      <c r="K39" s="247">
        <f t="shared" si="11"/>
        <v>1557275.9164777312</v>
      </c>
      <c r="L39" s="247">
        <f t="shared" si="11"/>
        <v>1789770.6307687727</v>
      </c>
      <c r="M39" s="248">
        <f t="shared" si="11"/>
        <v>1951073.7088668083</v>
      </c>
    </row>
    <row r="40" spans="1:14" ht="13.5" thickBot="1">
      <c r="A40" s="208" t="s">
        <v>2</v>
      </c>
      <c r="B40" s="205"/>
      <c r="C40" s="214"/>
      <c r="D40" s="255"/>
      <c r="E40" s="211"/>
      <c r="F40" s="211"/>
      <c r="G40" s="255"/>
      <c r="H40" s="211"/>
      <c r="I40" s="212"/>
      <c r="J40" s="211"/>
      <c r="K40" s="211"/>
      <c r="L40" s="211"/>
      <c r="M40" s="212"/>
    </row>
    <row r="41" spans="1:14">
      <c r="A41" s="183" t="s">
        <v>95</v>
      </c>
      <c r="B41" s="66"/>
      <c r="C41" s="1039">
        <f>'Development Schedule'!C81</f>
        <v>198.22640000000001</v>
      </c>
      <c r="D41" s="222">
        <f t="shared" ref="D41:M41" si="12">$C$41*(1+$B$8)^D4</f>
        <v>202.19092800000001</v>
      </c>
      <c r="E41" s="209">
        <f t="shared" si="12"/>
        <v>206.23474656000002</v>
      </c>
      <c r="F41" s="209">
        <f t="shared" si="12"/>
        <v>210.35944149119999</v>
      </c>
      <c r="G41" s="222">
        <f t="shared" si="12"/>
        <v>214.56663032102401</v>
      </c>
      <c r="H41" s="209">
        <f t="shared" si="12"/>
        <v>218.8579629274445</v>
      </c>
      <c r="I41" s="210">
        <f t="shared" si="12"/>
        <v>223.23512218599339</v>
      </c>
      <c r="J41" s="209">
        <f t="shared" si="12"/>
        <v>227.69982462971322</v>
      </c>
      <c r="K41" s="209">
        <f t="shared" si="12"/>
        <v>232.2538211223075</v>
      </c>
      <c r="L41" s="209">
        <f t="shared" si="12"/>
        <v>236.89889754475365</v>
      </c>
      <c r="M41" s="210">
        <f t="shared" si="12"/>
        <v>241.63687549564872</v>
      </c>
    </row>
    <row r="42" spans="1:14" ht="14.15" customHeight="1">
      <c r="A42" s="183" t="s">
        <v>11</v>
      </c>
      <c r="B42" s="66"/>
      <c r="C42" s="268">
        <f>C43/SUM($C$43:$M$43)</f>
        <v>0</v>
      </c>
      <c r="D42" s="269">
        <f t="shared" ref="D42:M42" si="13">D43/SUM($C$43:$M$43)</f>
        <v>0.18946369007495698</v>
      </c>
      <c r="E42" s="196">
        <f t="shared" si="13"/>
        <v>0</v>
      </c>
      <c r="F42" s="196">
        <f t="shared" si="13"/>
        <v>0.27735885109239683</v>
      </c>
      <c r="G42" s="269">
        <f t="shared" si="13"/>
        <v>0</v>
      </c>
      <c r="H42" s="196">
        <f t="shared" si="13"/>
        <v>0.27346703444895681</v>
      </c>
      <c r="I42" s="252">
        <f t="shared" si="13"/>
        <v>0</v>
      </c>
      <c r="J42" s="196">
        <f t="shared" si="13"/>
        <v>0.25971042438368952</v>
      </c>
      <c r="K42" s="196">
        <f t="shared" si="13"/>
        <v>0</v>
      </c>
      <c r="L42" s="196">
        <f t="shared" si="13"/>
        <v>0</v>
      </c>
      <c r="M42" s="252">
        <f t="shared" si="13"/>
        <v>0</v>
      </c>
    </row>
    <row r="43" spans="1:14" ht="14.15" customHeight="1">
      <c r="A43" s="183" t="s">
        <v>2</v>
      </c>
      <c r="B43" s="66"/>
      <c r="C43" s="169">
        <f>C41*'Development Schedule'!F81</f>
        <v>0</v>
      </c>
      <c r="D43" s="368">
        <f>D41*'Development Schedule'!G81</f>
        <v>8322178.5964800008</v>
      </c>
      <c r="E43" s="369">
        <f>E41*'Development Schedule'!H81</f>
        <v>0</v>
      </c>
      <c r="F43" s="369">
        <f>F41*'Development Schedule'!I81</f>
        <v>12182967.053962847</v>
      </c>
      <c r="G43" s="368">
        <f>G41*'Development Schedule'!J81</f>
        <v>0</v>
      </c>
      <c r="H43" s="369">
        <f>H41*'Development Schedule'!K81</f>
        <v>12012019.295272792</v>
      </c>
      <c r="I43" s="370">
        <f>I41*'Development Schedule'!L81</f>
        <v>0</v>
      </c>
      <c r="J43" s="369">
        <f>J41*'Development Schedule'!M81</f>
        <v>11407761.213948632</v>
      </c>
      <c r="K43" s="369">
        <f>K41*'Development Schedule'!N81</f>
        <v>0</v>
      </c>
      <c r="L43" s="369">
        <f>L41*'Development Schedule'!O81</f>
        <v>0</v>
      </c>
      <c r="M43" s="370">
        <f>M41*'Development Schedule'!P81</f>
        <v>0</v>
      </c>
    </row>
    <row r="44" spans="1:14" ht="14.15" customHeight="1">
      <c r="A44" s="245" t="s">
        <v>12</v>
      </c>
      <c r="B44" s="250"/>
      <c r="C44" s="177">
        <f>'1.Inftr Costs'!D11</f>
        <v>0</v>
      </c>
      <c r="D44" s="271"/>
      <c r="E44" s="251"/>
      <c r="F44" s="251"/>
      <c r="G44" s="271"/>
      <c r="H44" s="251"/>
      <c r="I44" s="254"/>
      <c r="J44" s="251"/>
      <c r="K44" s="251"/>
      <c r="L44" s="251"/>
      <c r="M44" s="254"/>
    </row>
    <row r="45" spans="1:14" ht="14.15" customHeight="1" thickBot="1">
      <c r="A45" s="287" t="s">
        <v>3</v>
      </c>
      <c r="B45" s="69"/>
      <c r="C45" s="272">
        <f>SUM(C43:C44)</f>
        <v>0</v>
      </c>
      <c r="D45" s="273">
        <f t="shared" ref="D45:M45" si="14">SUM(D43:D44)</f>
        <v>8322178.5964800008</v>
      </c>
      <c r="E45" s="247">
        <f t="shared" si="14"/>
        <v>0</v>
      </c>
      <c r="F45" s="247">
        <f t="shared" si="14"/>
        <v>12182967.053962847</v>
      </c>
      <c r="G45" s="273">
        <f t="shared" si="14"/>
        <v>0</v>
      </c>
      <c r="H45" s="247">
        <f t="shared" si="14"/>
        <v>12012019.295272792</v>
      </c>
      <c r="I45" s="248">
        <f t="shared" si="14"/>
        <v>0</v>
      </c>
      <c r="J45" s="247">
        <f t="shared" si="14"/>
        <v>11407761.213948632</v>
      </c>
      <c r="K45" s="247">
        <f t="shared" si="14"/>
        <v>0</v>
      </c>
      <c r="L45" s="247">
        <f t="shared" si="14"/>
        <v>0</v>
      </c>
      <c r="M45" s="248">
        <f t="shared" si="14"/>
        <v>0</v>
      </c>
    </row>
    <row r="46" spans="1:14" ht="13.5" thickBot="1">
      <c r="A46" s="208" t="s">
        <v>4</v>
      </c>
      <c r="B46" s="205"/>
      <c r="C46" s="214"/>
      <c r="D46" s="255"/>
      <c r="E46" s="211"/>
      <c r="F46" s="211"/>
      <c r="G46" s="255"/>
      <c r="H46" s="211"/>
      <c r="I46" s="212"/>
      <c r="J46" s="211"/>
      <c r="K46" s="211"/>
      <c r="L46" s="211"/>
      <c r="M46" s="212"/>
    </row>
    <row r="47" spans="1:14" ht="14.15" customHeight="1">
      <c r="A47" s="183" t="s">
        <v>5</v>
      </c>
      <c r="B47" s="66"/>
      <c r="C47" s="256">
        <f>C39</f>
        <v>0</v>
      </c>
      <c r="D47" s="257">
        <f t="shared" ref="D47:M47" si="15">D39</f>
        <v>0</v>
      </c>
      <c r="E47" s="258">
        <f t="shared" si="15"/>
        <v>243453.6</v>
      </c>
      <c r="F47" s="258">
        <f t="shared" si="15"/>
        <v>615840.22655999986</v>
      </c>
      <c r="G47" s="257">
        <f t="shared" si="15"/>
        <v>982761.80670720013</v>
      </c>
      <c r="H47" s="258">
        <f t="shared" si="15"/>
        <v>1209100.9692003839</v>
      </c>
      <c r="I47" s="259">
        <f t="shared" si="15"/>
        <v>1359773.5515161245</v>
      </c>
      <c r="J47" s="240">
        <f t="shared" si="15"/>
        <v>1386969.0225464464</v>
      </c>
      <c r="K47" s="240">
        <f t="shared" si="15"/>
        <v>1557275.9164777312</v>
      </c>
      <c r="L47" s="240">
        <f t="shared" si="15"/>
        <v>1789770.6307687727</v>
      </c>
      <c r="M47" s="244">
        <f t="shared" si="15"/>
        <v>1951073.7088668083</v>
      </c>
    </row>
    <row r="48" spans="1:14" ht="14.15" customHeight="1">
      <c r="A48" s="183" t="s">
        <v>55</v>
      </c>
      <c r="B48" s="117">
        <f>D62</f>
        <v>0.05</v>
      </c>
      <c r="C48" s="153">
        <v>0</v>
      </c>
      <c r="D48" s="260">
        <f>C48</f>
        <v>0</v>
      </c>
      <c r="E48" s="249">
        <f t="shared" ref="E48:L49" si="16">D48</f>
        <v>0</v>
      </c>
      <c r="F48" s="249">
        <f t="shared" si="16"/>
        <v>0</v>
      </c>
      <c r="G48" s="260">
        <f t="shared" si="16"/>
        <v>0</v>
      </c>
      <c r="H48" s="249">
        <f t="shared" si="16"/>
        <v>0</v>
      </c>
      <c r="I48" s="261">
        <f t="shared" si="16"/>
        <v>0</v>
      </c>
      <c r="J48" s="249">
        <f t="shared" si="16"/>
        <v>0</v>
      </c>
      <c r="K48" s="249">
        <f t="shared" si="16"/>
        <v>0</v>
      </c>
      <c r="L48" s="249">
        <f t="shared" si="16"/>
        <v>0</v>
      </c>
      <c r="M48" s="261">
        <f>M47/B48</f>
        <v>39021474.177336164</v>
      </c>
    </row>
    <row r="49" spans="1:13" ht="14.15" customHeight="1">
      <c r="A49" s="183" t="s">
        <v>56</v>
      </c>
      <c r="B49" s="117">
        <f>D63</f>
        <v>0.03</v>
      </c>
      <c r="C49" s="153">
        <v>0</v>
      </c>
      <c r="D49" s="260">
        <f>C49</f>
        <v>0</v>
      </c>
      <c r="E49" s="249">
        <f t="shared" si="16"/>
        <v>0</v>
      </c>
      <c r="F49" s="249">
        <f t="shared" si="16"/>
        <v>0</v>
      </c>
      <c r="G49" s="260">
        <f t="shared" si="16"/>
        <v>0</v>
      </c>
      <c r="H49" s="249">
        <f t="shared" si="16"/>
        <v>0</v>
      </c>
      <c r="I49" s="261">
        <f t="shared" si="16"/>
        <v>0</v>
      </c>
      <c r="J49" s="249">
        <f t="shared" si="16"/>
        <v>0</v>
      </c>
      <c r="K49" s="249">
        <f t="shared" si="16"/>
        <v>0</v>
      </c>
      <c r="L49" s="249">
        <f t="shared" si="16"/>
        <v>0</v>
      </c>
      <c r="M49" s="261">
        <f>M48*-B49</f>
        <v>-1170644.225320085</v>
      </c>
    </row>
    <row r="50" spans="1:13" ht="14.15" customHeight="1">
      <c r="A50" s="245" t="s">
        <v>96</v>
      </c>
      <c r="B50" s="250"/>
      <c r="C50" s="276">
        <f>-C45</f>
        <v>0</v>
      </c>
      <c r="D50" s="277">
        <f t="shared" ref="D50:M50" si="17">-D45</f>
        <v>-8322178.5964800008</v>
      </c>
      <c r="E50" s="243">
        <f t="shared" si="17"/>
        <v>0</v>
      </c>
      <c r="F50" s="243">
        <f t="shared" si="17"/>
        <v>-12182967.053962847</v>
      </c>
      <c r="G50" s="277">
        <f t="shared" si="17"/>
        <v>0</v>
      </c>
      <c r="H50" s="243">
        <f t="shared" si="17"/>
        <v>-12012019.295272792</v>
      </c>
      <c r="I50" s="246">
        <f t="shared" si="17"/>
        <v>0</v>
      </c>
      <c r="J50" s="243">
        <f t="shared" si="17"/>
        <v>-11407761.213948632</v>
      </c>
      <c r="K50" s="243">
        <f t="shared" si="17"/>
        <v>0</v>
      </c>
      <c r="L50" s="243">
        <f t="shared" si="17"/>
        <v>0</v>
      </c>
      <c r="M50" s="246">
        <f t="shared" si="17"/>
        <v>0</v>
      </c>
    </row>
    <row r="51" spans="1:13" ht="13.5" thickBot="1">
      <c r="A51" s="125" t="s">
        <v>6</v>
      </c>
      <c r="B51" s="69"/>
      <c r="C51" s="272">
        <f>SUM(C47:C50)</f>
        <v>0</v>
      </c>
      <c r="D51" s="329">
        <f t="shared" ref="D51:M51" si="18">SUM(D47:D50)</f>
        <v>-8322178.5964800008</v>
      </c>
      <c r="E51" s="330">
        <f t="shared" si="18"/>
        <v>243453.6</v>
      </c>
      <c r="F51" s="330">
        <f t="shared" si="18"/>
        <v>-11567126.827402847</v>
      </c>
      <c r="G51" s="329">
        <f t="shared" si="18"/>
        <v>982761.80670720013</v>
      </c>
      <c r="H51" s="330">
        <f t="shared" si="18"/>
        <v>-10802918.326072408</v>
      </c>
      <c r="I51" s="331">
        <f t="shared" si="18"/>
        <v>1359773.5515161245</v>
      </c>
      <c r="J51" s="330">
        <f t="shared" si="18"/>
        <v>-10020792.191402186</v>
      </c>
      <c r="K51" s="330">
        <f t="shared" si="18"/>
        <v>1557275.9164777312</v>
      </c>
      <c r="L51" s="330">
        <f t="shared" si="18"/>
        <v>1789770.6307687727</v>
      </c>
      <c r="M51" s="331">
        <f t="shared" si="18"/>
        <v>39801903.660882883</v>
      </c>
    </row>
    <row r="52" spans="1:13" ht="13.5" thickBot="1">
      <c r="A52" s="124" t="s">
        <v>25</v>
      </c>
      <c r="B52" s="114"/>
      <c r="C52" s="265">
        <f>C51+NPV(D64,D51:M51)</f>
        <v>-8939572.221233217</v>
      </c>
      <c r="D52" s="280"/>
      <c r="E52" s="281"/>
      <c r="F52" s="281"/>
      <c r="G52" s="280"/>
      <c r="H52" s="281"/>
      <c r="I52" s="282"/>
      <c r="J52" s="281"/>
      <c r="K52" s="281"/>
      <c r="L52" s="281"/>
      <c r="M52" s="282"/>
    </row>
    <row r="53" spans="1:13" ht="13.5" thickBot="1">
      <c r="A53" s="89" t="s">
        <v>57</v>
      </c>
      <c r="B53" s="162"/>
      <c r="C53" s="283">
        <f>IRR(C51:M51,0)</f>
        <v>2.1268628902538556E-2</v>
      </c>
      <c r="D53" s="264"/>
      <c r="E53" s="162"/>
      <c r="F53" s="162"/>
      <c r="G53" s="264"/>
      <c r="H53" s="162"/>
      <c r="I53" s="182"/>
      <c r="J53" s="162"/>
      <c r="K53" s="162"/>
      <c r="L53" s="162"/>
      <c r="M53" s="182"/>
    </row>
    <row r="54" spans="1:13" ht="13.5" thickBot="1">
      <c r="A54" s="288"/>
      <c r="B54" s="289"/>
      <c r="C54" s="289"/>
      <c r="D54" s="288"/>
      <c r="E54" s="288"/>
      <c r="F54" s="288"/>
      <c r="G54" s="288"/>
      <c r="H54" s="288"/>
      <c r="I54" s="288"/>
      <c r="J54" s="288"/>
      <c r="K54" s="288"/>
      <c r="L54" s="288"/>
      <c r="M54" s="288"/>
    </row>
    <row r="55" spans="1:13" ht="13.5" thickBot="1">
      <c r="A55" s="193" t="s">
        <v>89</v>
      </c>
      <c r="B55" s="168"/>
      <c r="C55" s="168"/>
      <c r="D55" s="192"/>
      <c r="E55" s="288"/>
      <c r="F55" s="288"/>
      <c r="G55" s="288"/>
      <c r="H55" s="288"/>
      <c r="I55" s="288"/>
      <c r="J55" s="288"/>
      <c r="K55" s="288"/>
      <c r="L55" s="288"/>
      <c r="M55" s="288"/>
    </row>
    <row r="56" spans="1:13" ht="13.5" thickBot="1">
      <c r="A56" s="87"/>
      <c r="B56" s="162"/>
      <c r="C56" s="92" t="s">
        <v>87</v>
      </c>
      <c r="D56" s="93" t="s">
        <v>88</v>
      </c>
      <c r="E56" s="288"/>
      <c r="F56" s="288"/>
      <c r="G56" s="288"/>
      <c r="H56" s="288"/>
      <c r="I56" s="288"/>
      <c r="J56" s="288"/>
      <c r="K56" s="288"/>
      <c r="L56" s="288"/>
      <c r="M56" s="288"/>
    </row>
    <row r="57" spans="1:13">
      <c r="A57" s="65" t="s">
        <v>34</v>
      </c>
      <c r="B57" s="66"/>
      <c r="C57" s="293">
        <f>D57/$B$12</f>
        <v>82.5625</v>
      </c>
      <c r="D57" s="237">
        <f>SUM('Development Schedule'!G81:I81)</f>
        <v>99075</v>
      </c>
      <c r="E57" s="288"/>
      <c r="F57" s="288"/>
      <c r="G57" s="288"/>
      <c r="H57" s="288"/>
      <c r="I57" s="288"/>
      <c r="J57" s="288"/>
      <c r="K57" s="288"/>
      <c r="L57" s="288"/>
      <c r="M57" s="1097"/>
    </row>
    <row r="58" spans="1:13">
      <c r="A58" s="65" t="s">
        <v>76</v>
      </c>
      <c r="B58" s="66"/>
      <c r="C58" s="293">
        <f>D58/$B$22</f>
        <v>45.737499999999997</v>
      </c>
      <c r="D58" s="237">
        <f>SUM('Development Schedule'!J81:L81)</f>
        <v>54885</v>
      </c>
      <c r="E58" s="288"/>
      <c r="F58" s="288"/>
      <c r="G58" s="288"/>
      <c r="H58" s="288"/>
      <c r="I58" s="288"/>
      <c r="J58" s="288"/>
      <c r="K58" s="288"/>
      <c r="L58" s="288"/>
      <c r="M58" s="288"/>
    </row>
    <row r="59" spans="1:13" ht="13.5" thickBot="1">
      <c r="A59" s="68" t="s">
        <v>77</v>
      </c>
      <c r="B59" s="69"/>
      <c r="C59" s="1038">
        <f>D59/$B$32</f>
        <v>41.75</v>
      </c>
      <c r="D59" s="238">
        <f>SUM('Development Schedule'!M81:P81)</f>
        <v>50100</v>
      </c>
      <c r="E59" s="288"/>
      <c r="F59" s="288"/>
      <c r="G59" s="288"/>
      <c r="H59" s="288"/>
      <c r="I59" s="288"/>
      <c r="J59" s="288"/>
      <c r="K59" s="288"/>
      <c r="L59" s="288"/>
      <c r="M59" s="1097"/>
    </row>
    <row r="60" spans="1:13" ht="13.5" thickBot="1">
      <c r="A60" s="37"/>
      <c r="B60" s="59"/>
      <c r="C60" s="59"/>
      <c r="D60" s="37"/>
      <c r="E60" s="288"/>
      <c r="F60" s="288"/>
      <c r="G60" s="288"/>
      <c r="H60" s="288"/>
      <c r="I60" s="288"/>
      <c r="J60" s="288"/>
      <c r="K60" s="288"/>
      <c r="L60" s="288"/>
      <c r="M60" s="288"/>
    </row>
    <row r="61" spans="1:13" ht="13.5" thickBot="1">
      <c r="A61" s="193" t="s">
        <v>97</v>
      </c>
      <c r="B61" s="266"/>
      <c r="C61" s="266"/>
      <c r="D61" s="267"/>
      <c r="E61" s="288"/>
      <c r="F61" s="288"/>
      <c r="G61" s="288"/>
      <c r="H61" s="288"/>
      <c r="I61" s="288"/>
      <c r="J61" s="288"/>
      <c r="K61" s="288"/>
      <c r="L61" s="288"/>
      <c r="M61" s="288"/>
    </row>
    <row r="62" spans="1:13">
      <c r="A62" s="65" t="s">
        <v>98</v>
      </c>
      <c r="B62" s="66"/>
      <c r="C62" s="66"/>
      <c r="D62" s="226">
        <v>0.05</v>
      </c>
      <c r="E62" s="288"/>
      <c r="F62" s="288"/>
      <c r="G62" s="288"/>
      <c r="H62" s="288"/>
      <c r="I62" s="288"/>
      <c r="J62" s="288"/>
      <c r="K62" s="288"/>
      <c r="L62" s="288"/>
      <c r="M62" s="288"/>
    </row>
    <row r="63" spans="1:13">
      <c r="A63" s="65" t="s">
        <v>99</v>
      </c>
      <c r="B63" s="66"/>
      <c r="C63" s="66"/>
      <c r="D63" s="226">
        <v>0.03</v>
      </c>
      <c r="E63" s="288"/>
      <c r="F63" s="288"/>
      <c r="G63" s="288"/>
      <c r="H63" s="288"/>
      <c r="I63" s="288"/>
      <c r="J63" s="288"/>
      <c r="K63" s="288"/>
      <c r="L63" s="288"/>
      <c r="M63" s="288"/>
    </row>
    <row r="64" spans="1:13" ht="13.5" thickBot="1">
      <c r="A64" s="68" t="s">
        <v>85</v>
      </c>
      <c r="B64" s="69"/>
      <c r="C64" s="69"/>
      <c r="D64" s="224">
        <v>0.09</v>
      </c>
      <c r="E64" s="288"/>
      <c r="F64" s="288"/>
      <c r="G64" s="288"/>
      <c r="H64" s="288"/>
      <c r="I64" s="288"/>
      <c r="J64" s="288"/>
      <c r="K64" s="288"/>
      <c r="L64" s="288"/>
      <c r="M64" s="288"/>
    </row>
    <row r="65" spans="1:13">
      <c r="A65" s="288"/>
      <c r="B65" s="289"/>
      <c r="C65" s="289"/>
      <c r="D65" s="288"/>
      <c r="E65" s="288"/>
      <c r="F65" s="288"/>
      <c r="G65" s="288"/>
      <c r="H65" s="288"/>
      <c r="I65" s="288"/>
      <c r="J65" s="288"/>
      <c r="K65" s="288"/>
      <c r="L65" s="288"/>
      <c r="M65" s="288"/>
    </row>
    <row r="67" spans="1:13">
      <c r="C67" s="1095">
        <f>SUM(C57:C59)</f>
        <v>170.05</v>
      </c>
    </row>
    <row r="68" spans="1:13">
      <c r="C68" s="1096">
        <f>C67/560</f>
        <v>0.30366071428571428</v>
      </c>
    </row>
  </sheetData>
  <phoneticPr fontId="3" type="noConversion"/>
  <printOptions horizontalCentered="1"/>
  <pageMargins left="0.5" right="0.5" top="1" bottom="0.5" header="0.5" footer="0.5"/>
  <pageSetup scale="69" fitToHeight="2" orientation="landscape" r:id="rId1"/>
  <headerFooter alignWithMargins="0">
    <oddHeader>&amp;L&amp;"Arial,Bold"4. Income Statement: Affordable Rental Housing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0"/>
  <sheetViews>
    <sheetView view="pageBreakPreview" topLeftCell="A51" zoomScale="85" zoomScaleNormal="100" zoomScaleSheetLayoutView="85" workbookViewId="0">
      <selection activeCell="F66" sqref="F66"/>
    </sheetView>
  </sheetViews>
  <sheetFormatPr defaultColWidth="9.1796875" defaultRowHeight="12.5" outlineLevelRow="1"/>
  <cols>
    <col min="1" max="1" width="23.453125" style="105" customWidth="1"/>
    <col min="2" max="2" width="12.81640625" style="106" customWidth="1"/>
    <col min="3" max="3" width="13.7265625" style="106" customWidth="1"/>
    <col min="4" max="13" width="13.7265625" style="105" customWidth="1"/>
    <col min="14" max="16384" width="9.1796875" style="105"/>
  </cols>
  <sheetData>
    <row r="1" spans="1:13" ht="14.15" customHeight="1" thickBot="1">
      <c r="A1" s="37"/>
      <c r="B1" s="59"/>
      <c r="C1" s="59"/>
      <c r="D1" s="37"/>
      <c r="E1" s="37"/>
      <c r="F1" s="37"/>
      <c r="G1" s="37"/>
      <c r="H1" s="37"/>
      <c r="I1" s="37"/>
      <c r="J1" s="37"/>
      <c r="K1" s="37"/>
      <c r="L1" s="145" t="s">
        <v>86</v>
      </c>
      <c r="M1" s="343">
        <v>203666</v>
      </c>
    </row>
    <row r="2" spans="1:13" ht="14.15" customHeight="1" thickBot="1">
      <c r="A2" s="37"/>
      <c r="B2" s="59"/>
      <c r="C2" s="59"/>
      <c r="D2" s="37"/>
      <c r="E2" s="37"/>
      <c r="F2" s="37"/>
      <c r="G2" s="37"/>
      <c r="H2" s="37"/>
      <c r="I2" s="37"/>
      <c r="J2" s="37"/>
      <c r="K2" s="37"/>
      <c r="L2" s="384"/>
      <c r="M2" s="385"/>
    </row>
    <row r="3" spans="1:13" ht="14.15" customHeight="1" thickBot="1">
      <c r="A3" s="133"/>
      <c r="B3" s="213"/>
      <c r="C3" s="47" t="s">
        <v>53</v>
      </c>
      <c r="D3" s="112" t="s">
        <v>34</v>
      </c>
      <c r="E3" s="113"/>
      <c r="F3" s="44"/>
      <c r="G3" s="112" t="s">
        <v>76</v>
      </c>
      <c r="H3" s="154"/>
      <c r="I3" s="44"/>
      <c r="J3" s="112" t="s">
        <v>77</v>
      </c>
      <c r="K3" s="42"/>
      <c r="L3" s="43"/>
      <c r="M3" s="44"/>
    </row>
    <row r="4" spans="1:13" ht="14.15" customHeight="1" thickBot="1">
      <c r="A4" s="65"/>
      <c r="B4" s="66"/>
      <c r="C4" s="303">
        <v>0</v>
      </c>
      <c r="D4" s="110">
        <f>C4+1</f>
        <v>1</v>
      </c>
      <c r="E4" s="109">
        <f t="shared" ref="E4:M5" si="0">D4+1</f>
        <v>2</v>
      </c>
      <c r="F4" s="111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10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</row>
    <row r="5" spans="1:13" ht="14.15" customHeight="1" thickBot="1">
      <c r="A5" s="65"/>
      <c r="B5" s="386"/>
      <c r="C5" s="1016" t="str">
        <f>'1.Inftr Costs'!$D$5</f>
        <v>2020-2021</v>
      </c>
      <c r="D5" s="1017">
        <f>'1.Inftr Costs'!$E$5</f>
        <v>2022</v>
      </c>
      <c r="E5" s="381">
        <f>D5+1</f>
        <v>2023</v>
      </c>
      <c r="F5" s="383">
        <f t="shared" si="0"/>
        <v>2024</v>
      </c>
      <c r="G5" s="382">
        <f t="shared" si="0"/>
        <v>2025</v>
      </c>
      <c r="H5" s="381">
        <f t="shared" si="0"/>
        <v>2026</v>
      </c>
      <c r="I5" s="383">
        <f t="shared" si="0"/>
        <v>2027</v>
      </c>
      <c r="J5" s="382">
        <f t="shared" si="0"/>
        <v>2028</v>
      </c>
      <c r="K5" s="381">
        <f t="shared" si="0"/>
        <v>2029</v>
      </c>
      <c r="L5" s="381">
        <f>K5+1</f>
        <v>2030</v>
      </c>
      <c r="M5" s="383">
        <f>L5+1</f>
        <v>2031</v>
      </c>
    </row>
    <row r="6" spans="1:13" ht="13.5" thickBot="1">
      <c r="A6" s="208" t="s">
        <v>8</v>
      </c>
      <c r="B6" s="205"/>
      <c r="C6" s="304"/>
      <c r="D6" s="217"/>
      <c r="E6" s="206"/>
      <c r="F6" s="207"/>
      <c r="G6" s="217"/>
      <c r="H6" s="206"/>
      <c r="I6" s="207"/>
      <c r="J6" s="217"/>
      <c r="K6" s="206"/>
      <c r="L6" s="206"/>
      <c r="M6" s="207"/>
    </row>
    <row r="7" spans="1:13" ht="13">
      <c r="A7" s="336" t="s">
        <v>508</v>
      </c>
      <c r="B7" s="213"/>
      <c r="C7" s="389"/>
      <c r="D7" s="133"/>
      <c r="E7" s="338"/>
      <c r="F7" s="339"/>
      <c r="G7" s="133"/>
      <c r="H7" s="338"/>
      <c r="I7" s="339"/>
      <c r="J7" s="133"/>
      <c r="K7" s="338"/>
      <c r="L7" s="338"/>
      <c r="M7" s="339"/>
    </row>
    <row r="8" spans="1:13" ht="14.15" customHeight="1">
      <c r="A8" s="183" t="s">
        <v>9</v>
      </c>
      <c r="B8" s="132">
        <v>0.02</v>
      </c>
      <c r="C8" s="305"/>
      <c r="D8" s="143"/>
      <c r="E8" s="115"/>
      <c r="F8" s="120"/>
      <c r="G8" s="143"/>
      <c r="H8" s="115"/>
      <c r="I8" s="120"/>
      <c r="J8" s="143"/>
      <c r="K8" s="115"/>
      <c r="L8" s="115"/>
      <c r="M8" s="120"/>
    </row>
    <row r="9" spans="1:13" ht="14.15" customHeight="1">
      <c r="A9" s="183" t="s">
        <v>105</v>
      </c>
      <c r="B9" s="66"/>
      <c r="C9" s="221">
        <f>C59</f>
        <v>51390</v>
      </c>
      <c r="D9" s="221">
        <f>C9</f>
        <v>51390</v>
      </c>
      <c r="E9" s="194">
        <f t="shared" ref="E9:G9" si="1">D9</f>
        <v>51390</v>
      </c>
      <c r="F9" s="199">
        <f t="shared" si="1"/>
        <v>51390</v>
      </c>
      <c r="G9" s="221">
        <f t="shared" si="1"/>
        <v>51390</v>
      </c>
      <c r="H9" s="194"/>
      <c r="I9" s="199"/>
      <c r="J9" s="221"/>
      <c r="K9" s="194"/>
      <c r="L9" s="194"/>
      <c r="M9" s="199"/>
    </row>
    <row r="10" spans="1:13" ht="14.15" customHeight="1">
      <c r="A10" s="183" t="s">
        <v>37</v>
      </c>
      <c r="B10" s="132">
        <v>0.9</v>
      </c>
      <c r="C10" s="221">
        <f>C9*B10</f>
        <v>46251</v>
      </c>
      <c r="D10" s="221">
        <f>C10</f>
        <v>46251</v>
      </c>
      <c r="E10" s="194">
        <f t="shared" ref="E10:G10" si="2">D10</f>
        <v>46251</v>
      </c>
      <c r="F10" s="199">
        <f t="shared" si="2"/>
        <v>46251</v>
      </c>
      <c r="G10" s="221">
        <f t="shared" si="2"/>
        <v>46251</v>
      </c>
      <c r="H10" s="194"/>
      <c r="I10" s="199"/>
      <c r="J10" s="221"/>
      <c r="K10" s="194"/>
      <c r="L10" s="194"/>
      <c r="M10" s="199"/>
    </row>
    <row r="11" spans="1:13" ht="14.15" customHeight="1">
      <c r="A11" s="183" t="s">
        <v>42</v>
      </c>
      <c r="B11" s="114"/>
      <c r="C11" s="228">
        <v>0</v>
      </c>
      <c r="D11" s="278">
        <f>C11</f>
        <v>0</v>
      </c>
      <c r="E11" s="117">
        <f t="shared" ref="E11:G11" si="3">D11</f>
        <v>0</v>
      </c>
      <c r="F11" s="229">
        <f t="shared" si="3"/>
        <v>0</v>
      </c>
      <c r="G11" s="278">
        <f t="shared" si="3"/>
        <v>0</v>
      </c>
      <c r="H11" s="117"/>
      <c r="I11" s="229"/>
      <c r="J11" s="278"/>
      <c r="K11" s="117"/>
      <c r="L11" s="117"/>
      <c r="M11" s="229"/>
    </row>
    <row r="12" spans="1:13" ht="13" thickBot="1">
      <c r="A12" s="144" t="s">
        <v>106</v>
      </c>
      <c r="B12" s="69"/>
      <c r="C12" s="306">
        <v>30</v>
      </c>
      <c r="D12" s="312">
        <f>$C$12*(1+$B$8)^D$4</f>
        <v>30.6</v>
      </c>
      <c r="E12" s="299">
        <f t="shared" ref="E12:G12" si="4">$C$12*(1+$B$8)^E$4</f>
        <v>31.212</v>
      </c>
      <c r="F12" s="300">
        <f t="shared" si="4"/>
        <v>31.836239999999997</v>
      </c>
      <c r="G12" s="312">
        <f t="shared" si="4"/>
        <v>32.4729648</v>
      </c>
      <c r="H12" s="299"/>
      <c r="I12" s="300"/>
      <c r="J12" s="312"/>
      <c r="K12" s="299"/>
      <c r="L12" s="299"/>
      <c r="M12" s="300"/>
    </row>
    <row r="13" spans="1:13" ht="14.15" hidden="1" customHeight="1" outlineLevel="1">
      <c r="A13" s="183" t="s">
        <v>15</v>
      </c>
      <c r="B13" s="66"/>
      <c r="C13" s="270">
        <f>C10*(1-C11)*C12</f>
        <v>1387530</v>
      </c>
      <c r="D13" s="275">
        <f t="shared" ref="D13:M13" si="5">D10*(1-D11)*D12</f>
        <v>1415280.6</v>
      </c>
      <c r="E13" s="240">
        <f t="shared" si="5"/>
        <v>1443586.2120000001</v>
      </c>
      <c r="F13" s="244">
        <f t="shared" si="5"/>
        <v>1472457.93624</v>
      </c>
      <c r="G13" s="275">
        <f t="shared" si="5"/>
        <v>1501907.0949647999</v>
      </c>
      <c r="H13" s="240">
        <f t="shared" si="5"/>
        <v>0</v>
      </c>
      <c r="I13" s="244">
        <f t="shared" si="5"/>
        <v>0</v>
      </c>
      <c r="J13" s="275">
        <f t="shared" si="5"/>
        <v>0</v>
      </c>
      <c r="K13" s="240">
        <f t="shared" si="5"/>
        <v>0</v>
      </c>
      <c r="L13" s="240">
        <f t="shared" si="5"/>
        <v>0</v>
      </c>
      <c r="M13" s="244">
        <f t="shared" si="5"/>
        <v>0</v>
      </c>
    </row>
    <row r="14" spans="1:13" ht="14.15" hidden="1" customHeight="1" outlineLevel="1">
      <c r="A14" s="183" t="s">
        <v>157</v>
      </c>
      <c r="B14" s="66"/>
      <c r="C14" s="262">
        <f t="shared" ref="C14:M14" si="6">C10*(1-C11)*($D$64*(1+$B$8)^C$4)</f>
        <v>925020</v>
      </c>
      <c r="D14" s="260">
        <f t="shared" si="6"/>
        <v>943520.39999999991</v>
      </c>
      <c r="E14" s="249">
        <f t="shared" si="6"/>
        <v>962390.80799999996</v>
      </c>
      <c r="F14" s="261">
        <f t="shared" si="6"/>
        <v>981638.62415999989</v>
      </c>
      <c r="G14" s="260">
        <f t="shared" si="6"/>
        <v>1001271.3966432</v>
      </c>
      <c r="H14" s="249">
        <f t="shared" si="6"/>
        <v>0</v>
      </c>
      <c r="I14" s="261">
        <f t="shared" si="6"/>
        <v>0</v>
      </c>
      <c r="J14" s="260">
        <f t="shared" si="6"/>
        <v>0</v>
      </c>
      <c r="K14" s="249">
        <f t="shared" si="6"/>
        <v>0</v>
      </c>
      <c r="L14" s="249">
        <f t="shared" si="6"/>
        <v>0</v>
      </c>
      <c r="M14" s="261">
        <f t="shared" si="6"/>
        <v>0</v>
      </c>
    </row>
    <row r="15" spans="1:13" ht="14.15" hidden="1" customHeight="1" outlineLevel="1" thickBot="1">
      <c r="A15" s="144" t="s">
        <v>158</v>
      </c>
      <c r="B15" s="69"/>
      <c r="C15" s="454">
        <f t="shared" ref="C15:M15" si="7">C10*($D$64*(1+$B$8)^C$4)</f>
        <v>925020</v>
      </c>
      <c r="D15" s="455">
        <f t="shared" si="7"/>
        <v>943520.39999999991</v>
      </c>
      <c r="E15" s="456">
        <f t="shared" si="7"/>
        <v>962390.80799999996</v>
      </c>
      <c r="F15" s="457">
        <f t="shared" si="7"/>
        <v>981638.62415999989</v>
      </c>
      <c r="G15" s="455">
        <f t="shared" si="7"/>
        <v>1001271.3966432</v>
      </c>
      <c r="H15" s="456">
        <f t="shared" si="7"/>
        <v>0</v>
      </c>
      <c r="I15" s="457">
        <f t="shared" si="7"/>
        <v>0</v>
      </c>
      <c r="J15" s="455">
        <f t="shared" si="7"/>
        <v>0</v>
      </c>
      <c r="K15" s="456">
        <f t="shared" si="7"/>
        <v>0</v>
      </c>
      <c r="L15" s="456">
        <f t="shared" si="7"/>
        <v>0</v>
      </c>
      <c r="M15" s="457">
        <f t="shared" si="7"/>
        <v>0</v>
      </c>
    </row>
    <row r="16" spans="1:13" ht="13" collapsed="1">
      <c r="A16" s="64" t="s">
        <v>486</v>
      </c>
      <c r="B16" s="66"/>
      <c r="C16" s="219"/>
      <c r="D16" s="65"/>
      <c r="E16" s="76"/>
      <c r="F16" s="121"/>
      <c r="G16" s="65"/>
      <c r="H16" s="76"/>
      <c r="I16" s="121"/>
      <c r="J16" s="65"/>
      <c r="K16" s="76"/>
      <c r="L16" s="76"/>
      <c r="M16" s="121"/>
    </row>
    <row r="17" spans="1:13" ht="14.15" customHeight="1">
      <c r="A17" s="183" t="s">
        <v>9</v>
      </c>
      <c r="B17" s="132">
        <v>0.02</v>
      </c>
      <c r="C17" s="305"/>
      <c r="D17" s="143"/>
      <c r="E17" s="115"/>
      <c r="F17" s="120"/>
      <c r="G17" s="143"/>
      <c r="H17" s="115"/>
      <c r="I17" s="120"/>
      <c r="J17" s="143"/>
      <c r="K17" s="115"/>
      <c r="L17" s="115"/>
      <c r="M17" s="120"/>
    </row>
    <row r="18" spans="1:13" ht="14.15" customHeight="1">
      <c r="A18" s="183" t="s">
        <v>105</v>
      </c>
      <c r="B18" s="66"/>
      <c r="C18" s="342">
        <v>0</v>
      </c>
      <c r="D18" s="1041">
        <f>'Development Schedule'!G84</f>
        <v>0</v>
      </c>
      <c r="E18" s="1040">
        <f>'Development Schedule'!H84</f>
        <v>0</v>
      </c>
      <c r="F18" s="1042">
        <f>'Development Schedule'!I84</f>
        <v>0</v>
      </c>
      <c r="G18" s="1041">
        <f>'Development Schedule'!J84</f>
        <v>0</v>
      </c>
      <c r="H18" s="1040">
        <f>'Development Schedule'!K84</f>
        <v>0</v>
      </c>
      <c r="I18" s="1042">
        <f>'Development Schedule'!L84</f>
        <v>101440</v>
      </c>
      <c r="J18" s="1041">
        <f>'Development Schedule'!M84</f>
        <v>0</v>
      </c>
      <c r="K18" s="1040">
        <f>'Development Schedule'!N84</f>
        <v>15000</v>
      </c>
      <c r="L18" s="1040">
        <f>'Development Schedule'!O84</f>
        <v>35500</v>
      </c>
      <c r="M18" s="1042">
        <f>'Development Schedule'!P84</f>
        <v>0</v>
      </c>
    </row>
    <row r="19" spans="1:13" ht="14.15" customHeight="1">
      <c r="A19" s="183" t="s">
        <v>37</v>
      </c>
      <c r="B19" s="132">
        <v>0.9</v>
      </c>
      <c r="C19" s="342">
        <v>0</v>
      </c>
      <c r="D19" s="221">
        <f>C19</f>
        <v>0</v>
      </c>
      <c r="E19" s="194">
        <f t="shared" ref="E19:H19" si="8">D19</f>
        <v>0</v>
      </c>
      <c r="F19" s="199">
        <f>F18*B19</f>
        <v>0</v>
      </c>
      <c r="G19" s="221">
        <f t="shared" si="8"/>
        <v>0</v>
      </c>
      <c r="H19" s="194">
        <f t="shared" si="8"/>
        <v>0</v>
      </c>
      <c r="I19" s="199">
        <v>0</v>
      </c>
      <c r="J19" s="221">
        <f>I18*B19</f>
        <v>91296</v>
      </c>
      <c r="K19" s="194">
        <f>J19</f>
        <v>91296</v>
      </c>
      <c r="L19" s="194">
        <f>J19+$B$19*K18</f>
        <v>104796</v>
      </c>
      <c r="M19" s="199">
        <f>K19+$B$19*L18</f>
        <v>123246</v>
      </c>
    </row>
    <row r="20" spans="1:13" ht="14.15" customHeight="1">
      <c r="A20" s="183" t="s">
        <v>42</v>
      </c>
      <c r="B20" s="114"/>
      <c r="C20" s="228">
        <v>1</v>
      </c>
      <c r="D20" s="278">
        <f>C20</f>
        <v>1</v>
      </c>
      <c r="E20" s="117">
        <f t="shared" ref="E20:M20" si="9">D20</f>
        <v>1</v>
      </c>
      <c r="F20" s="226">
        <f>E20</f>
        <v>1</v>
      </c>
      <c r="G20" s="228">
        <f>F20</f>
        <v>1</v>
      </c>
      <c r="H20" s="117">
        <f t="shared" si="9"/>
        <v>1</v>
      </c>
      <c r="I20" s="229">
        <v>0.7</v>
      </c>
      <c r="J20" s="278">
        <v>0.5</v>
      </c>
      <c r="K20" s="117">
        <v>0.25</v>
      </c>
      <c r="L20" s="117">
        <f t="shared" si="9"/>
        <v>0.25</v>
      </c>
      <c r="M20" s="229">
        <f t="shared" si="9"/>
        <v>0.25</v>
      </c>
    </row>
    <row r="21" spans="1:13" s="388" customFormat="1" ht="13.5" customHeight="1" thickBot="1">
      <c r="A21" s="144" t="s">
        <v>106</v>
      </c>
      <c r="B21" s="69"/>
      <c r="C21" s="306">
        <v>45</v>
      </c>
      <c r="D21" s="312">
        <f t="shared" ref="D21:M21" si="10">$C$21*(1+$B$17)^D$4</f>
        <v>45.9</v>
      </c>
      <c r="E21" s="299">
        <f t="shared" si="10"/>
        <v>46.817999999999998</v>
      </c>
      <c r="F21" s="300">
        <f t="shared" si="10"/>
        <v>47.754359999999998</v>
      </c>
      <c r="G21" s="312">
        <f t="shared" si="10"/>
        <v>48.7094472</v>
      </c>
      <c r="H21" s="299">
        <f t="shared" si="10"/>
        <v>49.683636143999998</v>
      </c>
      <c r="I21" s="300">
        <f t="shared" si="10"/>
        <v>50.677308866880004</v>
      </c>
      <c r="J21" s="312">
        <f t="shared" si="10"/>
        <v>51.690855044217592</v>
      </c>
      <c r="K21" s="299">
        <f t="shared" si="10"/>
        <v>52.724672145101948</v>
      </c>
      <c r="L21" s="299">
        <f t="shared" si="10"/>
        <v>53.779165588003991</v>
      </c>
      <c r="M21" s="300">
        <f t="shared" si="10"/>
        <v>54.854748899764068</v>
      </c>
    </row>
    <row r="22" spans="1:13" ht="14.15" hidden="1" customHeight="1" outlineLevel="1">
      <c r="A22" s="344" t="s">
        <v>15</v>
      </c>
      <c r="B22" s="213"/>
      <c r="C22" s="458">
        <f>C19*(1-C20)*C21</f>
        <v>0</v>
      </c>
      <c r="D22" s="257">
        <f t="shared" ref="D22:M22" si="11">D19*(1-D20)*D21</f>
        <v>0</v>
      </c>
      <c r="E22" s="258">
        <f t="shared" si="11"/>
        <v>0</v>
      </c>
      <c r="F22" s="259">
        <f t="shared" si="11"/>
        <v>0</v>
      </c>
      <c r="G22" s="257">
        <f t="shared" si="11"/>
        <v>0</v>
      </c>
      <c r="H22" s="258">
        <f t="shared" si="11"/>
        <v>0</v>
      </c>
      <c r="I22" s="259">
        <f t="shared" si="11"/>
        <v>0</v>
      </c>
      <c r="J22" s="257">
        <f t="shared" si="11"/>
        <v>2359584.1510584448</v>
      </c>
      <c r="K22" s="258">
        <f t="shared" si="11"/>
        <v>3610163.7511194204</v>
      </c>
      <c r="L22" s="258">
        <f t="shared" si="11"/>
        <v>4226881.0777203497</v>
      </c>
      <c r="M22" s="259">
        <f t="shared" si="11"/>
        <v>5070471.2871752419</v>
      </c>
    </row>
    <row r="23" spans="1:13" ht="14.15" hidden="1" customHeight="1" outlineLevel="1">
      <c r="A23" s="183" t="s">
        <v>157</v>
      </c>
      <c r="B23" s="66"/>
      <c r="C23" s="262">
        <f t="shared" ref="C23:M23" si="12">C19*(1-C20)*($D$64*(1+$B$17)^C$4)</f>
        <v>0</v>
      </c>
      <c r="D23" s="260">
        <f t="shared" si="12"/>
        <v>0</v>
      </c>
      <c r="E23" s="249">
        <f t="shared" si="12"/>
        <v>0</v>
      </c>
      <c r="F23" s="261">
        <f t="shared" si="12"/>
        <v>0</v>
      </c>
      <c r="G23" s="260">
        <f t="shared" si="12"/>
        <v>0</v>
      </c>
      <c r="H23" s="249">
        <f t="shared" si="12"/>
        <v>0</v>
      </c>
      <c r="I23" s="261">
        <f t="shared" si="12"/>
        <v>0</v>
      </c>
      <c r="J23" s="260">
        <f t="shared" si="12"/>
        <v>1048704.0671370865</v>
      </c>
      <c r="K23" s="249">
        <f t="shared" si="12"/>
        <v>1604517.2227197425</v>
      </c>
      <c r="L23" s="249">
        <f t="shared" si="12"/>
        <v>1878613.8123201553</v>
      </c>
      <c r="M23" s="261">
        <f t="shared" si="12"/>
        <v>2253542.7943001078</v>
      </c>
    </row>
    <row r="24" spans="1:13" ht="14.15" hidden="1" customHeight="1" outlineLevel="1" thickBot="1">
      <c r="A24" s="144" t="s">
        <v>158</v>
      </c>
      <c r="B24" s="69"/>
      <c r="C24" s="454">
        <f t="shared" ref="C24:M24" si="13">C19*($D$64*(1+$B$17)^C$4)</f>
        <v>0</v>
      </c>
      <c r="D24" s="455">
        <f t="shared" si="13"/>
        <v>0</v>
      </c>
      <c r="E24" s="456">
        <f t="shared" si="13"/>
        <v>0</v>
      </c>
      <c r="F24" s="457">
        <f t="shared" si="13"/>
        <v>0</v>
      </c>
      <c r="G24" s="455">
        <f t="shared" si="13"/>
        <v>0</v>
      </c>
      <c r="H24" s="456">
        <f t="shared" si="13"/>
        <v>0</v>
      </c>
      <c r="I24" s="457">
        <f t="shared" si="13"/>
        <v>0</v>
      </c>
      <c r="J24" s="455">
        <f t="shared" si="13"/>
        <v>2097408.1342741731</v>
      </c>
      <c r="K24" s="456">
        <f t="shared" si="13"/>
        <v>2139356.2969596568</v>
      </c>
      <c r="L24" s="456">
        <f t="shared" si="13"/>
        <v>2504818.4164268738</v>
      </c>
      <c r="M24" s="457">
        <f t="shared" si="13"/>
        <v>3004723.7257334767</v>
      </c>
    </row>
    <row r="25" spans="1:13" ht="13" collapsed="1">
      <c r="A25" s="64" t="s">
        <v>509</v>
      </c>
      <c r="B25" s="66"/>
      <c r="C25" s="219"/>
      <c r="D25" s="65"/>
      <c r="E25" s="76"/>
      <c r="F25" s="121"/>
      <c r="G25" s="65"/>
      <c r="H25" s="76"/>
      <c r="I25" s="121"/>
      <c r="J25" s="65"/>
      <c r="K25" s="76"/>
      <c r="L25" s="76"/>
      <c r="M25" s="121"/>
    </row>
    <row r="26" spans="1:13" ht="14.15" customHeight="1">
      <c r="A26" s="183" t="s">
        <v>9</v>
      </c>
      <c r="B26" s="132">
        <v>0.02</v>
      </c>
      <c r="C26" s="305"/>
      <c r="D26" s="143"/>
      <c r="E26" s="115"/>
      <c r="F26" s="120"/>
      <c r="G26" s="143"/>
      <c r="H26" s="115"/>
      <c r="I26" s="120"/>
      <c r="J26" s="143"/>
      <c r="K26" s="115"/>
      <c r="L26" s="115"/>
      <c r="M26" s="120"/>
    </row>
    <row r="27" spans="1:13" ht="14.15" customHeight="1">
      <c r="A27" s="183" t="s">
        <v>105</v>
      </c>
      <c r="B27" s="66"/>
      <c r="C27" s="342">
        <v>0</v>
      </c>
      <c r="D27" s="1041">
        <f>'Development Schedule'!G85</f>
        <v>0</v>
      </c>
      <c r="E27" s="1040">
        <f>'Development Schedule'!H85</f>
        <v>38350</v>
      </c>
      <c r="F27" s="1042">
        <f>'Development Schedule'!I85</f>
        <v>0</v>
      </c>
      <c r="G27" s="1041">
        <f>'Development Schedule'!J85</f>
        <v>0</v>
      </c>
      <c r="H27" s="1040">
        <f>'Development Schedule'!K85</f>
        <v>51390</v>
      </c>
      <c r="I27" s="1042">
        <f>'Development Schedule'!L85</f>
        <v>0</v>
      </c>
      <c r="J27" s="1041">
        <f>'Development Schedule'!M85</f>
        <v>0</v>
      </c>
      <c r="K27" s="1040">
        <f>'Development Schedule'!N85</f>
        <v>29000</v>
      </c>
      <c r="L27" s="1040">
        <f>'Development Schedule'!O85</f>
        <v>30100</v>
      </c>
      <c r="M27" s="1042">
        <f>'Development Schedule'!P85</f>
        <v>0</v>
      </c>
    </row>
    <row r="28" spans="1:13" ht="14.15" customHeight="1">
      <c r="A28" s="183" t="s">
        <v>37</v>
      </c>
      <c r="B28" s="132">
        <v>0.9</v>
      </c>
      <c r="C28" s="342">
        <v>0</v>
      </c>
      <c r="D28" s="221">
        <f>C28</f>
        <v>0</v>
      </c>
      <c r="E28" s="194">
        <f t="shared" ref="E28:J28" si="14">D28</f>
        <v>0</v>
      </c>
      <c r="F28" s="199">
        <f>E27*B28</f>
        <v>34515</v>
      </c>
      <c r="G28" s="221">
        <f t="shared" si="14"/>
        <v>34515</v>
      </c>
      <c r="H28" s="194">
        <f>G28</f>
        <v>34515</v>
      </c>
      <c r="I28" s="199">
        <f>H28+H27*B28</f>
        <v>80766</v>
      </c>
      <c r="J28" s="221">
        <f t="shared" si="14"/>
        <v>80766</v>
      </c>
      <c r="K28" s="194">
        <f>J28</f>
        <v>80766</v>
      </c>
      <c r="L28" s="194">
        <f>K28+L27*B28</f>
        <v>107856</v>
      </c>
      <c r="M28" s="199">
        <f>L28+L27*B28</f>
        <v>134946</v>
      </c>
    </row>
    <row r="29" spans="1:13" ht="14.15" customHeight="1">
      <c r="A29" s="183" t="s">
        <v>42</v>
      </c>
      <c r="B29" s="114"/>
      <c r="C29" s="228">
        <v>1</v>
      </c>
      <c r="D29" s="278">
        <f>C29</f>
        <v>1</v>
      </c>
      <c r="E29" s="117">
        <v>0.7</v>
      </c>
      <c r="F29" s="226">
        <v>0.5</v>
      </c>
      <c r="G29" s="228">
        <v>0.25</v>
      </c>
      <c r="H29" s="117">
        <f t="shared" ref="H29:M29" si="15">G29</f>
        <v>0.25</v>
      </c>
      <c r="I29" s="229">
        <f t="shared" si="15"/>
        <v>0.25</v>
      </c>
      <c r="J29" s="278">
        <f t="shared" si="15"/>
        <v>0.25</v>
      </c>
      <c r="K29" s="117">
        <f t="shared" si="15"/>
        <v>0.25</v>
      </c>
      <c r="L29" s="117">
        <f t="shared" si="15"/>
        <v>0.25</v>
      </c>
      <c r="M29" s="229">
        <f t="shared" si="15"/>
        <v>0.25</v>
      </c>
    </row>
    <row r="30" spans="1:13" ht="14.15" customHeight="1" thickBot="1">
      <c r="A30" s="183" t="s">
        <v>106</v>
      </c>
      <c r="B30" s="66"/>
      <c r="C30" s="453">
        <v>30</v>
      </c>
      <c r="D30" s="222">
        <f>$C$30*(1+$B$17)^D$4</f>
        <v>30.6</v>
      </c>
      <c r="E30" s="209">
        <f t="shared" ref="E30:M30" si="16">$C$30*(1+$B$17)^E$4</f>
        <v>31.212</v>
      </c>
      <c r="F30" s="210">
        <f t="shared" si="16"/>
        <v>31.836239999999997</v>
      </c>
      <c r="G30" s="222">
        <f t="shared" si="16"/>
        <v>32.4729648</v>
      </c>
      <c r="H30" s="209">
        <f t="shared" si="16"/>
        <v>33.122424096000003</v>
      </c>
      <c r="I30" s="210">
        <f t="shared" si="16"/>
        <v>33.784872577920005</v>
      </c>
      <c r="J30" s="222">
        <f t="shared" si="16"/>
        <v>34.460570029478397</v>
      </c>
      <c r="K30" s="209">
        <f t="shared" si="16"/>
        <v>35.149781430067968</v>
      </c>
      <c r="L30" s="209">
        <f t="shared" si="16"/>
        <v>35.852777058669325</v>
      </c>
      <c r="M30" s="210">
        <f t="shared" si="16"/>
        <v>36.569832599842712</v>
      </c>
    </row>
    <row r="31" spans="1:13" ht="14.15" hidden="1" customHeight="1" outlineLevel="1">
      <c r="A31" s="344" t="s">
        <v>15</v>
      </c>
      <c r="B31" s="213"/>
      <c r="C31" s="458">
        <f>C28*(1-C29)*C30</f>
        <v>0</v>
      </c>
      <c r="D31" s="257">
        <f t="shared" ref="D31:M31" si="17">D28*(1-D29)*D30</f>
        <v>0</v>
      </c>
      <c r="E31" s="258">
        <f t="shared" si="17"/>
        <v>0</v>
      </c>
      <c r="F31" s="259">
        <f t="shared" si="17"/>
        <v>549413.91179999989</v>
      </c>
      <c r="G31" s="257">
        <f t="shared" si="17"/>
        <v>840603.28505399998</v>
      </c>
      <c r="H31" s="258">
        <f t="shared" si="17"/>
        <v>857415.35075508012</v>
      </c>
      <c r="I31" s="259">
        <f t="shared" si="17"/>
        <v>2046501.7639712153</v>
      </c>
      <c r="J31" s="257">
        <f t="shared" si="17"/>
        <v>2087431.7992506393</v>
      </c>
      <c r="K31" s="258">
        <f t="shared" si="17"/>
        <v>2129180.4352356521</v>
      </c>
      <c r="L31" s="258">
        <f t="shared" si="17"/>
        <v>2900202.8418298792</v>
      </c>
      <c r="M31" s="259">
        <f t="shared" si="17"/>
        <v>3701214.4725137809</v>
      </c>
    </row>
    <row r="32" spans="1:13" ht="14.15" hidden="1" customHeight="1" outlineLevel="1">
      <c r="A32" s="183" t="s">
        <v>157</v>
      </c>
      <c r="B32" s="66"/>
      <c r="C32" s="262">
        <f t="shared" ref="C32:M32" si="18">C28*(1-C29)*($D$64*(1+$B$26)^C$4)</f>
        <v>0</v>
      </c>
      <c r="D32" s="260">
        <f t="shared" si="18"/>
        <v>0</v>
      </c>
      <c r="E32" s="249">
        <f t="shared" si="18"/>
        <v>0</v>
      </c>
      <c r="F32" s="261">
        <f t="shared" si="18"/>
        <v>366275.94119999994</v>
      </c>
      <c r="G32" s="260">
        <f t="shared" si="18"/>
        <v>560402.19003599999</v>
      </c>
      <c r="H32" s="249">
        <f t="shared" si="18"/>
        <v>571610.23383672</v>
      </c>
      <c r="I32" s="261">
        <f t="shared" si="18"/>
        <v>1364334.5093141436</v>
      </c>
      <c r="J32" s="260">
        <f t="shared" si="18"/>
        <v>1391621.1995004262</v>
      </c>
      <c r="K32" s="249">
        <f t="shared" si="18"/>
        <v>1419453.6234904346</v>
      </c>
      <c r="L32" s="249">
        <f t="shared" si="18"/>
        <v>1933468.5612199195</v>
      </c>
      <c r="M32" s="261">
        <f t="shared" si="18"/>
        <v>2467476.3150091874</v>
      </c>
    </row>
    <row r="33" spans="1:13" ht="14.15" hidden="1" customHeight="1" outlineLevel="1" thickBot="1">
      <c r="A33" s="144" t="s">
        <v>158</v>
      </c>
      <c r="B33" s="69"/>
      <c r="C33" s="454">
        <f t="shared" ref="C33:M33" si="19">C28*($D$64*(1+$B$26)^C$4)</f>
        <v>0</v>
      </c>
      <c r="D33" s="455">
        <f t="shared" si="19"/>
        <v>0</v>
      </c>
      <c r="E33" s="456">
        <f t="shared" si="19"/>
        <v>0</v>
      </c>
      <c r="F33" s="457">
        <f t="shared" si="19"/>
        <v>732551.88239999989</v>
      </c>
      <c r="G33" s="455">
        <f t="shared" si="19"/>
        <v>747202.92004799994</v>
      </c>
      <c r="H33" s="456">
        <f t="shared" si="19"/>
        <v>762146.97844896012</v>
      </c>
      <c r="I33" s="457">
        <f t="shared" si="19"/>
        <v>1819112.6790855248</v>
      </c>
      <c r="J33" s="455">
        <f t="shared" si="19"/>
        <v>1855494.9326672349</v>
      </c>
      <c r="K33" s="456">
        <f t="shared" si="19"/>
        <v>1892604.8313205794</v>
      </c>
      <c r="L33" s="456">
        <f t="shared" si="19"/>
        <v>2577958.0816265591</v>
      </c>
      <c r="M33" s="457">
        <f t="shared" si="19"/>
        <v>3289968.4200122501</v>
      </c>
    </row>
    <row r="34" spans="1:13" ht="13.5" collapsed="1" thickBot="1">
      <c r="A34" s="208" t="s">
        <v>0</v>
      </c>
      <c r="B34" s="205"/>
      <c r="C34" s="214"/>
      <c r="D34" s="255"/>
      <c r="E34" s="211"/>
      <c r="F34" s="212"/>
      <c r="G34" s="255"/>
      <c r="H34" s="211"/>
      <c r="I34" s="212"/>
      <c r="J34" s="255"/>
      <c r="K34" s="211"/>
      <c r="L34" s="211"/>
      <c r="M34" s="212"/>
    </row>
    <row r="35" spans="1:13">
      <c r="A35" s="183" t="s">
        <v>15</v>
      </c>
      <c r="B35" s="66"/>
      <c r="C35" s="148">
        <f t="shared" ref="C35:M35" si="20">SUM(C13,C22,C31)</f>
        <v>1387530</v>
      </c>
      <c r="D35" s="270">
        <f t="shared" si="20"/>
        <v>1415280.6</v>
      </c>
      <c r="E35" s="239">
        <f t="shared" si="20"/>
        <v>1443586.2120000001</v>
      </c>
      <c r="F35" s="253">
        <f t="shared" si="20"/>
        <v>2021871.8480399998</v>
      </c>
      <c r="G35" s="270">
        <f t="shared" si="20"/>
        <v>2342510.3800188</v>
      </c>
      <c r="H35" s="239">
        <f t="shared" si="20"/>
        <v>857415.35075508012</v>
      </c>
      <c r="I35" s="253">
        <f t="shared" si="20"/>
        <v>2046501.7639712153</v>
      </c>
      <c r="J35" s="270">
        <f t="shared" si="20"/>
        <v>4447015.9503090838</v>
      </c>
      <c r="K35" s="239">
        <f t="shared" si="20"/>
        <v>5739344.186355073</v>
      </c>
      <c r="L35" s="239">
        <f t="shared" si="20"/>
        <v>7127083.9195502289</v>
      </c>
      <c r="M35" s="253">
        <f t="shared" si="20"/>
        <v>8771685.7596890219</v>
      </c>
    </row>
    <row r="36" spans="1:13">
      <c r="A36" s="183" t="s">
        <v>109</v>
      </c>
      <c r="B36" s="66"/>
      <c r="C36" s="149">
        <f t="shared" ref="C36:M36" si="21">SUM(C14,C23,C32)</f>
        <v>925020</v>
      </c>
      <c r="D36" s="260">
        <f t="shared" si="21"/>
        <v>943520.39999999991</v>
      </c>
      <c r="E36" s="249">
        <f t="shared" si="21"/>
        <v>962390.80799999996</v>
      </c>
      <c r="F36" s="261">
        <f t="shared" si="21"/>
        <v>1347914.5653599999</v>
      </c>
      <c r="G36" s="260">
        <f t="shared" si="21"/>
        <v>1561673.5866791999</v>
      </c>
      <c r="H36" s="249">
        <f t="shared" si="21"/>
        <v>571610.23383672</v>
      </c>
      <c r="I36" s="261">
        <f t="shared" si="21"/>
        <v>1364334.5093141436</v>
      </c>
      <c r="J36" s="260">
        <f t="shared" si="21"/>
        <v>2440325.2666375125</v>
      </c>
      <c r="K36" s="249">
        <f t="shared" si="21"/>
        <v>3023970.8462101771</v>
      </c>
      <c r="L36" s="249">
        <f t="shared" si="21"/>
        <v>3812082.3735400746</v>
      </c>
      <c r="M36" s="261">
        <f t="shared" si="21"/>
        <v>4721019.1093092952</v>
      </c>
    </row>
    <row r="37" spans="1:13" s="387" customFormat="1">
      <c r="A37" s="245" t="s">
        <v>110</v>
      </c>
      <c r="B37" s="392"/>
      <c r="C37" s="395">
        <f t="shared" ref="C37:M37" si="22">-SUM(C15,C24,C33)</f>
        <v>-925020</v>
      </c>
      <c r="D37" s="396">
        <f t="shared" si="22"/>
        <v>-943520.39999999991</v>
      </c>
      <c r="E37" s="393">
        <f t="shared" si="22"/>
        <v>-962390.80799999996</v>
      </c>
      <c r="F37" s="394">
        <f t="shared" si="22"/>
        <v>-1714190.5065599997</v>
      </c>
      <c r="G37" s="396">
        <f t="shared" si="22"/>
        <v>-1748474.3166911998</v>
      </c>
      <c r="H37" s="393">
        <f t="shared" si="22"/>
        <v>-762146.97844896012</v>
      </c>
      <c r="I37" s="394">
        <f t="shared" si="22"/>
        <v>-1819112.6790855248</v>
      </c>
      <c r="J37" s="396">
        <f t="shared" si="22"/>
        <v>-3952903.066941408</v>
      </c>
      <c r="K37" s="393">
        <f t="shared" si="22"/>
        <v>-4031961.1282802364</v>
      </c>
      <c r="L37" s="393">
        <f t="shared" si="22"/>
        <v>-5082776.4980534334</v>
      </c>
      <c r="M37" s="394">
        <f t="shared" si="22"/>
        <v>-6294692.1457457263</v>
      </c>
    </row>
    <row r="38" spans="1:13" ht="14.15" customHeight="1" thickBot="1">
      <c r="A38" s="287" t="s">
        <v>5</v>
      </c>
      <c r="B38" s="69"/>
      <c r="C38" s="272">
        <f>SUM(C35:C37)</f>
        <v>1387530</v>
      </c>
      <c r="D38" s="273">
        <f t="shared" ref="D38:M38" si="23">SUM(D35:D37)</f>
        <v>1415280.6</v>
      </c>
      <c r="E38" s="247">
        <f t="shared" si="23"/>
        <v>1443586.2120000001</v>
      </c>
      <c r="F38" s="248">
        <f t="shared" si="23"/>
        <v>1655595.9068400003</v>
      </c>
      <c r="G38" s="273">
        <f t="shared" si="23"/>
        <v>2155709.6500068004</v>
      </c>
      <c r="H38" s="247">
        <f t="shared" si="23"/>
        <v>666878.60614284</v>
      </c>
      <c r="I38" s="248">
        <f t="shared" si="23"/>
        <v>1591723.5941998344</v>
      </c>
      <c r="J38" s="273">
        <f t="shared" si="23"/>
        <v>2934438.1500051883</v>
      </c>
      <c r="K38" s="247">
        <f t="shared" si="23"/>
        <v>4731353.9042850146</v>
      </c>
      <c r="L38" s="247">
        <f t="shared" si="23"/>
        <v>5856389.7950368691</v>
      </c>
      <c r="M38" s="248">
        <f t="shared" si="23"/>
        <v>7198012.7232525907</v>
      </c>
    </row>
    <row r="39" spans="1:13" ht="13.5" thickBot="1">
      <c r="A39" s="208" t="s">
        <v>2</v>
      </c>
      <c r="B39" s="205"/>
      <c r="C39" s="214"/>
      <c r="D39" s="255"/>
      <c r="E39" s="211"/>
      <c r="F39" s="212"/>
      <c r="G39" s="255"/>
      <c r="H39" s="211"/>
      <c r="I39" s="212"/>
      <c r="J39" s="255"/>
      <c r="K39" s="211"/>
      <c r="L39" s="211"/>
      <c r="M39" s="212"/>
    </row>
    <row r="40" spans="1:13">
      <c r="A40" s="183" t="s">
        <v>510</v>
      </c>
      <c r="B40" s="66"/>
      <c r="C40" s="230">
        <f>'Development Schedule'!C84</f>
        <v>187.178</v>
      </c>
      <c r="D40" s="222">
        <f>$C$40*(1+$B$8)^D4</f>
        <v>190.92156</v>
      </c>
      <c r="E40" s="209">
        <f t="shared" ref="E40:M40" si="24">$C$40*(1+$B$8)^E4</f>
        <v>194.73999119999999</v>
      </c>
      <c r="F40" s="210">
        <f t="shared" si="24"/>
        <v>198.63479102399998</v>
      </c>
      <c r="G40" s="222">
        <f t="shared" si="24"/>
        <v>202.60748684447998</v>
      </c>
      <c r="H40" s="209">
        <f t="shared" si="24"/>
        <v>206.6596365813696</v>
      </c>
      <c r="I40" s="210">
        <f t="shared" si="24"/>
        <v>210.79282931299701</v>
      </c>
      <c r="J40" s="222">
        <f t="shared" si="24"/>
        <v>215.0086858992569</v>
      </c>
      <c r="K40" s="209">
        <f t="shared" si="24"/>
        <v>219.30885961724206</v>
      </c>
      <c r="L40" s="209">
        <f t="shared" si="24"/>
        <v>223.6950368095869</v>
      </c>
      <c r="M40" s="210">
        <f t="shared" si="24"/>
        <v>228.16893754577865</v>
      </c>
    </row>
    <row r="41" spans="1:13" ht="14.15" customHeight="1">
      <c r="A41" s="183" t="s">
        <v>11</v>
      </c>
      <c r="B41" s="66"/>
      <c r="C41" s="268">
        <f>C42/SUM($C$42:$M$42)</f>
        <v>0</v>
      </c>
      <c r="D41" s="269">
        <f t="shared" ref="D41:M41" si="25">D42/SUM($C$42:$M$42)</f>
        <v>0</v>
      </c>
      <c r="E41" s="196">
        <f t="shared" si="25"/>
        <v>0</v>
      </c>
      <c r="F41" s="252">
        <f t="shared" si="25"/>
        <v>0</v>
      </c>
      <c r="G41" s="269">
        <f t="shared" si="25"/>
        <v>0</v>
      </c>
      <c r="H41" s="196">
        <f t="shared" si="25"/>
        <v>0</v>
      </c>
      <c r="I41" s="252">
        <f t="shared" si="25"/>
        <v>0.65564071674663837</v>
      </c>
      <c r="J41" s="269">
        <f t="shared" si="25"/>
        <v>0</v>
      </c>
      <c r="K41" s="196">
        <f t="shared" si="25"/>
        <v>0.10086680821715337</v>
      </c>
      <c r="L41" s="196">
        <f t="shared" si="25"/>
        <v>0.24349247503620824</v>
      </c>
      <c r="M41" s="252">
        <f t="shared" si="25"/>
        <v>0</v>
      </c>
    </row>
    <row r="42" spans="1:13" ht="14.15" customHeight="1">
      <c r="A42" s="183" t="s">
        <v>2</v>
      </c>
      <c r="B42" s="66"/>
      <c r="C42" s="169">
        <f>C18*C40</f>
        <v>0</v>
      </c>
      <c r="D42" s="323">
        <f t="shared" ref="D42:M42" si="26">D18*D40</f>
        <v>0</v>
      </c>
      <c r="E42" s="324">
        <f t="shared" si="26"/>
        <v>0</v>
      </c>
      <c r="F42" s="325">
        <f t="shared" si="26"/>
        <v>0</v>
      </c>
      <c r="G42" s="323">
        <f t="shared" si="26"/>
        <v>0</v>
      </c>
      <c r="H42" s="324">
        <f t="shared" si="26"/>
        <v>0</v>
      </c>
      <c r="I42" s="325">
        <f t="shared" si="26"/>
        <v>21382824.605510417</v>
      </c>
      <c r="J42" s="323">
        <f t="shared" si="26"/>
        <v>0</v>
      </c>
      <c r="K42" s="324">
        <f t="shared" si="26"/>
        <v>3289632.8942586309</v>
      </c>
      <c r="L42" s="324">
        <f t="shared" si="26"/>
        <v>7941173.8067403352</v>
      </c>
      <c r="M42" s="325">
        <f t="shared" si="26"/>
        <v>0</v>
      </c>
    </row>
    <row r="43" spans="1:13" ht="14.15" customHeight="1">
      <c r="A43" s="183" t="s">
        <v>511</v>
      </c>
      <c r="B43" s="66"/>
      <c r="C43" s="230">
        <f>'Development Schedule'!C85</f>
        <v>210.738</v>
      </c>
      <c r="D43" s="222">
        <f>$C$40*(1+$B$8)^D7</f>
        <v>187.178</v>
      </c>
      <c r="E43" s="209">
        <f t="shared" ref="E43:M43" si="27">$C$40*(1+$B$8)^E7</f>
        <v>187.178</v>
      </c>
      <c r="F43" s="210">
        <f t="shared" si="27"/>
        <v>187.178</v>
      </c>
      <c r="G43" s="222">
        <f t="shared" si="27"/>
        <v>187.178</v>
      </c>
      <c r="H43" s="209">
        <f t="shared" si="27"/>
        <v>187.178</v>
      </c>
      <c r="I43" s="210">
        <f t="shared" si="27"/>
        <v>187.178</v>
      </c>
      <c r="J43" s="222">
        <f t="shared" si="27"/>
        <v>187.178</v>
      </c>
      <c r="K43" s="209">
        <f t="shared" si="27"/>
        <v>187.178</v>
      </c>
      <c r="L43" s="209">
        <f t="shared" si="27"/>
        <v>187.178</v>
      </c>
      <c r="M43" s="210">
        <f t="shared" si="27"/>
        <v>187.178</v>
      </c>
    </row>
    <row r="44" spans="1:13" ht="14.15" customHeight="1">
      <c r="A44" s="183" t="s">
        <v>11</v>
      </c>
      <c r="B44" s="66"/>
      <c r="C44" s="268">
        <f>C45/SUM($C$42:$M$42)</f>
        <v>0</v>
      </c>
      <c r="D44" s="269">
        <f t="shared" ref="D44:M44" si="28">D45/SUM($C$42:$M$42)</f>
        <v>0</v>
      </c>
      <c r="E44" s="196">
        <f t="shared" si="28"/>
        <v>0.22010049210825786</v>
      </c>
      <c r="F44" s="252">
        <f t="shared" si="28"/>
        <v>0</v>
      </c>
      <c r="G44" s="269">
        <f t="shared" si="28"/>
        <v>0</v>
      </c>
      <c r="H44" s="196">
        <f t="shared" si="28"/>
        <v>0.29494039868170457</v>
      </c>
      <c r="I44" s="252">
        <f t="shared" si="28"/>
        <v>0</v>
      </c>
      <c r="J44" s="269">
        <f t="shared" si="28"/>
        <v>0</v>
      </c>
      <c r="K44" s="196">
        <f t="shared" si="28"/>
        <v>0.16643844253297205</v>
      </c>
      <c r="L44" s="196">
        <f t="shared" si="28"/>
        <v>0.17275162483594683</v>
      </c>
      <c r="M44" s="252">
        <f t="shared" si="28"/>
        <v>0</v>
      </c>
    </row>
    <row r="45" spans="1:13" ht="14.15" customHeight="1">
      <c r="A45" s="183" t="s">
        <v>2</v>
      </c>
      <c r="B45" s="66"/>
      <c r="C45" s="169">
        <f>C27*C43</f>
        <v>0</v>
      </c>
      <c r="D45" s="323">
        <f t="shared" ref="D45:M45" si="29">D27*D43</f>
        <v>0</v>
      </c>
      <c r="E45" s="324">
        <f t="shared" si="29"/>
        <v>7178276.2999999998</v>
      </c>
      <c r="F45" s="325">
        <f t="shared" si="29"/>
        <v>0</v>
      </c>
      <c r="G45" s="323">
        <f t="shared" si="29"/>
        <v>0</v>
      </c>
      <c r="H45" s="324">
        <f t="shared" si="29"/>
        <v>9619077.4199999999</v>
      </c>
      <c r="I45" s="325">
        <f t="shared" si="29"/>
        <v>0</v>
      </c>
      <c r="J45" s="323">
        <f t="shared" si="29"/>
        <v>0</v>
      </c>
      <c r="K45" s="324">
        <f t="shared" si="29"/>
        <v>5428162</v>
      </c>
      <c r="L45" s="324">
        <f t="shared" si="29"/>
        <v>5634057.7999999998</v>
      </c>
      <c r="M45" s="325">
        <f t="shared" si="29"/>
        <v>0</v>
      </c>
    </row>
    <row r="46" spans="1:13" ht="14.15" customHeight="1">
      <c r="A46" s="245" t="s">
        <v>12</v>
      </c>
      <c r="B46" s="250"/>
      <c r="C46" s="177"/>
      <c r="D46" s="271"/>
      <c r="E46" s="251"/>
      <c r="F46" s="254"/>
      <c r="G46" s="271"/>
      <c r="H46" s="251"/>
      <c r="I46" s="254"/>
      <c r="J46" s="271"/>
      <c r="K46" s="251"/>
      <c r="L46" s="251"/>
      <c r="M46" s="254"/>
    </row>
    <row r="47" spans="1:13" ht="14.15" customHeight="1" thickBot="1">
      <c r="A47" s="287" t="s">
        <v>3</v>
      </c>
      <c r="B47" s="69"/>
      <c r="C47" s="273">
        <f>C42+C45+C46</f>
        <v>0</v>
      </c>
      <c r="D47" s="273">
        <f t="shared" ref="D47:M47" si="30">D42+D45+D46</f>
        <v>0</v>
      </c>
      <c r="E47" s="247">
        <f t="shared" si="30"/>
        <v>7178276.2999999998</v>
      </c>
      <c r="F47" s="248">
        <f t="shared" si="30"/>
        <v>0</v>
      </c>
      <c r="G47" s="273">
        <f t="shared" si="30"/>
        <v>0</v>
      </c>
      <c r="H47" s="247">
        <f t="shared" si="30"/>
        <v>9619077.4199999999</v>
      </c>
      <c r="I47" s="248">
        <f t="shared" si="30"/>
        <v>21382824.605510417</v>
      </c>
      <c r="J47" s="273">
        <f t="shared" si="30"/>
        <v>0</v>
      </c>
      <c r="K47" s="247">
        <f t="shared" si="30"/>
        <v>8717794.8942586314</v>
      </c>
      <c r="L47" s="247">
        <f t="shared" si="30"/>
        <v>13575231.606740335</v>
      </c>
      <c r="M47" s="248">
        <f t="shared" si="30"/>
        <v>0</v>
      </c>
    </row>
    <row r="48" spans="1:13" ht="13.5" thickBot="1">
      <c r="A48" s="208" t="s">
        <v>4</v>
      </c>
      <c r="B48" s="205"/>
      <c r="C48" s="214"/>
      <c r="D48" s="255"/>
      <c r="E48" s="211"/>
      <c r="F48" s="212"/>
      <c r="G48" s="255"/>
      <c r="H48" s="211"/>
      <c r="I48" s="212"/>
      <c r="J48" s="255"/>
      <c r="K48" s="211"/>
      <c r="L48" s="211"/>
      <c r="M48" s="212"/>
    </row>
    <row r="49" spans="1:13" ht="14.15" customHeight="1">
      <c r="A49" s="183" t="s">
        <v>5</v>
      </c>
      <c r="B49" s="66"/>
      <c r="C49" s="148">
        <f>C38</f>
        <v>1387530</v>
      </c>
      <c r="D49" s="270">
        <f t="shared" ref="D49:M49" si="31">D38</f>
        <v>1415280.6</v>
      </c>
      <c r="E49" s="239">
        <f t="shared" si="31"/>
        <v>1443586.2120000001</v>
      </c>
      <c r="F49" s="253">
        <f t="shared" si="31"/>
        <v>1655595.9068400003</v>
      </c>
      <c r="G49" s="270">
        <f t="shared" si="31"/>
        <v>2155709.6500068004</v>
      </c>
      <c r="H49" s="239">
        <f t="shared" si="31"/>
        <v>666878.60614284</v>
      </c>
      <c r="I49" s="253">
        <f t="shared" si="31"/>
        <v>1591723.5941998344</v>
      </c>
      <c r="J49" s="270">
        <f t="shared" si="31"/>
        <v>2934438.1500051883</v>
      </c>
      <c r="K49" s="239">
        <f t="shared" si="31"/>
        <v>4731353.9042850146</v>
      </c>
      <c r="L49" s="239">
        <f t="shared" si="31"/>
        <v>5856389.7950368691</v>
      </c>
      <c r="M49" s="253">
        <f t="shared" si="31"/>
        <v>7198012.7232525907</v>
      </c>
    </row>
    <row r="50" spans="1:13" ht="14.15" customHeight="1">
      <c r="A50" s="183" t="s">
        <v>55</v>
      </c>
      <c r="B50" s="117">
        <f>D65</f>
        <v>6.5000000000000002E-2</v>
      </c>
      <c r="C50" s="153">
        <v>0</v>
      </c>
      <c r="D50" s="260">
        <f>C50</f>
        <v>0</v>
      </c>
      <c r="E50" s="249">
        <f t="shared" ref="E50:L51" si="32">D50</f>
        <v>0</v>
      </c>
      <c r="F50" s="261">
        <f t="shared" si="32"/>
        <v>0</v>
      </c>
      <c r="G50" s="260">
        <f t="shared" si="32"/>
        <v>0</v>
      </c>
      <c r="H50" s="249">
        <f t="shared" si="32"/>
        <v>0</v>
      </c>
      <c r="I50" s="261">
        <f t="shared" si="32"/>
        <v>0</v>
      </c>
      <c r="J50" s="260">
        <f t="shared" si="32"/>
        <v>0</v>
      </c>
      <c r="K50" s="249">
        <f t="shared" si="32"/>
        <v>0</v>
      </c>
      <c r="L50" s="249">
        <f t="shared" si="32"/>
        <v>0</v>
      </c>
      <c r="M50" s="261">
        <f>M49/B50</f>
        <v>110738657.28080909</v>
      </c>
    </row>
    <row r="51" spans="1:13" ht="14.15" customHeight="1">
      <c r="A51" s="183" t="s">
        <v>56</v>
      </c>
      <c r="B51" s="117">
        <f>D66</f>
        <v>0.03</v>
      </c>
      <c r="C51" s="153">
        <v>0</v>
      </c>
      <c r="D51" s="260">
        <f>C51</f>
        <v>0</v>
      </c>
      <c r="E51" s="249">
        <f t="shared" si="32"/>
        <v>0</v>
      </c>
      <c r="F51" s="261">
        <f t="shared" si="32"/>
        <v>0</v>
      </c>
      <c r="G51" s="260">
        <f t="shared" si="32"/>
        <v>0</v>
      </c>
      <c r="H51" s="249">
        <f t="shared" si="32"/>
        <v>0</v>
      </c>
      <c r="I51" s="261">
        <f t="shared" si="32"/>
        <v>0</v>
      </c>
      <c r="J51" s="260">
        <f t="shared" si="32"/>
        <v>0</v>
      </c>
      <c r="K51" s="249">
        <f t="shared" si="32"/>
        <v>0</v>
      </c>
      <c r="L51" s="249">
        <f t="shared" si="32"/>
        <v>0</v>
      </c>
      <c r="M51" s="261">
        <f>M50*-B51</f>
        <v>-3322159.7184242727</v>
      </c>
    </row>
    <row r="52" spans="1:13" ht="14.15" customHeight="1">
      <c r="A52" s="245" t="s">
        <v>96</v>
      </c>
      <c r="B52" s="319"/>
      <c r="C52" s="276">
        <f>-C47</f>
        <v>0</v>
      </c>
      <c r="D52" s="277">
        <f t="shared" ref="D52:M52" si="33">-D47</f>
        <v>0</v>
      </c>
      <c r="E52" s="243">
        <f t="shared" si="33"/>
        <v>-7178276.2999999998</v>
      </c>
      <c r="F52" s="246">
        <f t="shared" si="33"/>
        <v>0</v>
      </c>
      <c r="G52" s="277">
        <f t="shared" si="33"/>
        <v>0</v>
      </c>
      <c r="H52" s="243">
        <f t="shared" si="33"/>
        <v>-9619077.4199999999</v>
      </c>
      <c r="I52" s="246">
        <f t="shared" si="33"/>
        <v>-21382824.605510417</v>
      </c>
      <c r="J52" s="277">
        <f t="shared" si="33"/>
        <v>0</v>
      </c>
      <c r="K52" s="243">
        <f t="shared" si="33"/>
        <v>-8717794.8942586314</v>
      </c>
      <c r="L52" s="243">
        <f t="shared" si="33"/>
        <v>-13575231.606740335</v>
      </c>
      <c r="M52" s="246">
        <f t="shared" si="33"/>
        <v>0</v>
      </c>
    </row>
    <row r="53" spans="1:13" ht="14.15" customHeight="1" thickBot="1">
      <c r="A53" s="287" t="s">
        <v>6</v>
      </c>
      <c r="B53" s="127"/>
      <c r="C53" s="272">
        <f>SUM(C49:C52)</f>
        <v>1387530</v>
      </c>
      <c r="D53" s="273">
        <f t="shared" ref="D53:M53" si="34">SUM(D49:D52)</f>
        <v>1415280.6</v>
      </c>
      <c r="E53" s="247">
        <f t="shared" si="34"/>
        <v>-5734690.0879999995</v>
      </c>
      <c r="F53" s="248">
        <f t="shared" si="34"/>
        <v>1655595.9068400003</v>
      </c>
      <c r="G53" s="273">
        <f t="shared" si="34"/>
        <v>2155709.6500068004</v>
      </c>
      <c r="H53" s="247">
        <f t="shared" si="34"/>
        <v>-8952198.8138571605</v>
      </c>
      <c r="I53" s="248">
        <f t="shared" si="34"/>
        <v>-19791101.011310585</v>
      </c>
      <c r="J53" s="273">
        <f t="shared" si="34"/>
        <v>2934438.1500051883</v>
      </c>
      <c r="K53" s="247">
        <f t="shared" si="34"/>
        <v>-3986440.9899736168</v>
      </c>
      <c r="L53" s="247">
        <f t="shared" si="34"/>
        <v>-7718841.8117034659</v>
      </c>
      <c r="M53" s="248">
        <f t="shared" si="34"/>
        <v>114614510.28563741</v>
      </c>
    </row>
    <row r="54" spans="1:13" ht="13.5" thickBot="1">
      <c r="A54" s="124" t="s">
        <v>25</v>
      </c>
      <c r="B54" s="114"/>
      <c r="C54" s="400">
        <f>C53+NPV(D67,D53:M53)</f>
        <v>27510676.06991886</v>
      </c>
      <c r="D54" s="397"/>
      <c r="E54" s="398"/>
      <c r="F54" s="399"/>
      <c r="G54" s="397"/>
      <c r="H54" s="398"/>
      <c r="I54" s="399"/>
      <c r="J54" s="116"/>
      <c r="K54" s="116"/>
      <c r="L54" s="116"/>
      <c r="M54" s="198"/>
    </row>
    <row r="55" spans="1:13" ht="13.5" thickBot="1">
      <c r="A55" s="89" t="s">
        <v>57</v>
      </c>
      <c r="B55" s="162"/>
      <c r="C55" s="283">
        <f>IRR(C53:M53)</f>
        <v>0.39301153752279849</v>
      </c>
      <c r="D55" s="264"/>
      <c r="E55" s="162"/>
      <c r="F55" s="182"/>
      <c r="G55" s="264"/>
      <c r="H55" s="162"/>
      <c r="I55" s="182"/>
      <c r="J55" s="162"/>
      <c r="K55" s="162"/>
      <c r="L55" s="162"/>
      <c r="M55" s="182"/>
    </row>
    <row r="56" spans="1:13" ht="13" thickBot="1">
      <c r="A56" s="37"/>
      <c r="B56" s="59"/>
      <c r="C56" s="59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3.5" thickBot="1">
      <c r="A57" s="193" t="s">
        <v>89</v>
      </c>
      <c r="B57" s="168"/>
      <c r="C57" s="168"/>
      <c r="D57" s="192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3.5" thickBot="1">
      <c r="A58" s="87"/>
      <c r="B58" s="162"/>
      <c r="C58" s="92" t="s">
        <v>107</v>
      </c>
      <c r="D58" s="93"/>
      <c r="E58" s="37"/>
      <c r="F58" s="37"/>
      <c r="G58" s="37"/>
      <c r="H58" s="37"/>
      <c r="I58" s="37"/>
      <c r="J58" s="37"/>
      <c r="K58" s="37"/>
      <c r="L58" s="37"/>
      <c r="M58" s="37"/>
    </row>
    <row r="59" spans="1:13">
      <c r="A59" s="65" t="s">
        <v>508</v>
      </c>
      <c r="B59" s="66"/>
      <c r="C59" s="1040">
        <f>'Development Schedule'!E32</f>
        <v>51390</v>
      </c>
      <c r="D59" s="406"/>
      <c r="E59" s="37"/>
      <c r="F59" s="37"/>
      <c r="G59" s="37"/>
      <c r="H59" s="37"/>
      <c r="I59" s="37"/>
      <c r="J59" s="37"/>
      <c r="K59" s="37"/>
      <c r="L59" s="37"/>
      <c r="M59" s="37"/>
    </row>
    <row r="60" spans="1:13">
      <c r="A60" s="65" t="s">
        <v>486</v>
      </c>
      <c r="B60" s="66"/>
      <c r="C60" s="1043">
        <f>'Development Schedule'!E84</f>
        <v>151940</v>
      </c>
      <c r="D60" s="199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3" thickBot="1">
      <c r="A61" s="68" t="s">
        <v>512</v>
      </c>
      <c r="B61" s="69"/>
      <c r="C61" s="1044">
        <f>'Development Schedule'!E85</f>
        <v>148840</v>
      </c>
      <c r="D61" s="285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3" thickBot="1">
      <c r="A62" s="37"/>
      <c r="B62" s="59"/>
      <c r="C62" s="1045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3.5" thickBot="1">
      <c r="A63" s="193" t="s">
        <v>97</v>
      </c>
      <c r="B63" s="266"/>
      <c r="C63" s="266"/>
      <c r="D63" s="267"/>
      <c r="E63" s="37"/>
      <c r="F63" s="37"/>
      <c r="G63" s="37"/>
      <c r="H63" s="37"/>
      <c r="I63" s="37"/>
      <c r="J63" s="37"/>
      <c r="K63" s="37"/>
      <c r="L63" s="37"/>
      <c r="M63" s="37"/>
    </row>
    <row r="64" spans="1:13">
      <c r="A64" s="65" t="s">
        <v>108</v>
      </c>
      <c r="B64" s="66"/>
      <c r="C64" s="66"/>
      <c r="D64" s="167">
        <v>20</v>
      </c>
      <c r="E64" s="37"/>
      <c r="F64" s="37"/>
      <c r="G64" s="37"/>
      <c r="H64" s="37"/>
      <c r="I64" s="37"/>
      <c r="J64" s="37"/>
      <c r="K64" s="37"/>
      <c r="L64" s="37"/>
      <c r="M64" s="37"/>
    </row>
    <row r="65" spans="1:13">
      <c r="A65" s="65" t="s">
        <v>98</v>
      </c>
      <c r="B65" s="66"/>
      <c r="C65" s="66"/>
      <c r="D65" s="391">
        <f>'Summary Board'!K102</f>
        <v>6.5000000000000002E-2</v>
      </c>
      <c r="E65" s="37"/>
      <c r="F65" s="37"/>
      <c r="G65" s="37"/>
      <c r="H65" s="37"/>
      <c r="I65" s="37"/>
      <c r="J65" s="37"/>
      <c r="K65" s="37"/>
      <c r="L65" s="37"/>
      <c r="M65" s="37"/>
    </row>
    <row r="66" spans="1:13">
      <c r="A66" s="65" t="s">
        <v>99</v>
      </c>
      <c r="B66" s="66"/>
      <c r="C66" s="66"/>
      <c r="D66" s="391">
        <v>0.03</v>
      </c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3" thickBot="1">
      <c r="A67" s="68" t="s">
        <v>85</v>
      </c>
      <c r="B67" s="69"/>
      <c r="C67" s="69"/>
      <c r="D67" s="135">
        <v>0.09</v>
      </c>
      <c r="E67" s="37"/>
      <c r="F67" s="37"/>
      <c r="G67" s="37"/>
      <c r="H67" s="37"/>
      <c r="I67" s="37"/>
      <c r="J67" s="37"/>
      <c r="K67" s="37"/>
      <c r="L67" s="37"/>
      <c r="M67" s="37"/>
    </row>
    <row r="68" spans="1:13">
      <c r="A68" s="37"/>
      <c r="B68" s="59"/>
      <c r="C68" s="59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>
      <c r="A69" s="37"/>
      <c r="B69" s="59"/>
      <c r="C69" s="59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>
      <c r="A70" s="37"/>
      <c r="B70" s="59"/>
      <c r="C70" s="59"/>
      <c r="D70" s="37"/>
      <c r="E70" s="37"/>
      <c r="F70" s="37"/>
      <c r="G70" s="37"/>
      <c r="H70" s="37"/>
      <c r="I70" s="37"/>
      <c r="J70" s="37"/>
      <c r="K70" s="37"/>
      <c r="L70" s="37"/>
      <c r="M70" s="37"/>
    </row>
  </sheetData>
  <phoneticPr fontId="3" type="noConversion"/>
  <printOptions horizontalCentered="1"/>
  <pageMargins left="0.5" right="0.5" top="1" bottom="0.5" header="0.5" footer="0.5"/>
  <pageSetup scale="65" orientation="landscape" r:id="rId1"/>
  <headerFooter alignWithMargins="0">
    <oddHeader>&amp;L&amp;"Arial,Bold"5. Income Statement: Office/Commercial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58"/>
  <sheetViews>
    <sheetView view="pageBreakPreview" topLeftCell="A6" zoomScale="85" zoomScaleNormal="100" zoomScaleSheetLayoutView="85" zoomScalePageLayoutView="85" workbookViewId="0">
      <selection activeCell="A43" sqref="A43"/>
    </sheetView>
  </sheetViews>
  <sheetFormatPr defaultColWidth="9.1796875" defaultRowHeight="12.5" outlineLevelRow="1"/>
  <cols>
    <col min="1" max="1" width="23" style="105" customWidth="1"/>
    <col min="2" max="2" width="12.7265625" style="106" customWidth="1"/>
    <col min="3" max="3" width="13.7265625" style="106" customWidth="1"/>
    <col min="4" max="13" width="13.7265625" style="105" customWidth="1"/>
    <col min="14" max="14" width="14.26953125" style="105" bestFit="1" customWidth="1"/>
    <col min="15" max="16384" width="9.1796875" style="105"/>
  </cols>
  <sheetData>
    <row r="1" spans="1:22" ht="14.15" customHeight="1" thickBot="1">
      <c r="A1" s="37"/>
      <c r="B1" s="59"/>
      <c r="C1" s="59"/>
      <c r="D1" s="37"/>
      <c r="E1" s="37"/>
      <c r="F1" s="37"/>
      <c r="G1" s="37"/>
      <c r="H1" s="37"/>
      <c r="I1" s="37"/>
      <c r="J1" s="37"/>
      <c r="K1" s="37"/>
      <c r="L1" s="145" t="s">
        <v>86</v>
      </c>
      <c r="M1" s="343">
        <v>203666</v>
      </c>
    </row>
    <row r="2" spans="1:22" ht="14.15" customHeight="1" thickBot="1">
      <c r="A2" s="37"/>
      <c r="B2" s="59"/>
      <c r="C2" s="59"/>
      <c r="D2" s="37"/>
      <c r="E2" s="37"/>
      <c r="F2" s="37"/>
      <c r="G2" s="37"/>
      <c r="H2" s="37"/>
      <c r="I2" s="37"/>
      <c r="J2" s="37"/>
      <c r="K2" s="37"/>
      <c r="L2" s="384"/>
      <c r="M2" s="385"/>
    </row>
    <row r="3" spans="1:22" ht="14.15" customHeight="1" thickBot="1">
      <c r="A3" s="133"/>
      <c r="B3" s="213"/>
      <c r="C3" s="139" t="s">
        <v>53</v>
      </c>
      <c r="D3" s="42" t="s">
        <v>34</v>
      </c>
      <c r="E3" s="113"/>
      <c r="F3" s="43"/>
      <c r="G3" s="112" t="s">
        <v>76</v>
      </c>
      <c r="H3" s="154"/>
      <c r="I3" s="44"/>
      <c r="J3" s="42" t="s">
        <v>77</v>
      </c>
      <c r="K3" s="42"/>
      <c r="L3" s="43"/>
      <c r="M3" s="44"/>
    </row>
    <row r="4" spans="1:22" ht="14.15" customHeight="1" thickBot="1">
      <c r="A4" s="65"/>
      <c r="B4" s="66"/>
      <c r="C4" s="147">
        <v>0</v>
      </c>
      <c r="D4" s="109">
        <f>C4+1</f>
        <v>1</v>
      </c>
      <c r="E4" s="109">
        <f t="shared" ref="E4:M5" si="0">D4+1</f>
        <v>2</v>
      </c>
      <c r="F4" s="109">
        <f t="shared" si="0"/>
        <v>3</v>
      </c>
      <c r="G4" s="110">
        <f t="shared" si="0"/>
        <v>4</v>
      </c>
      <c r="H4" s="146">
        <f t="shared" si="0"/>
        <v>5</v>
      </c>
      <c r="I4" s="111">
        <f t="shared" si="0"/>
        <v>6</v>
      </c>
      <c r="J4" s="109">
        <f t="shared" si="0"/>
        <v>7</v>
      </c>
      <c r="K4" s="109">
        <f t="shared" si="0"/>
        <v>8</v>
      </c>
      <c r="L4" s="109">
        <f t="shared" si="0"/>
        <v>9</v>
      </c>
      <c r="M4" s="111">
        <f t="shared" si="0"/>
        <v>10</v>
      </c>
    </row>
    <row r="5" spans="1:22" ht="14.15" customHeight="1" thickBot="1">
      <c r="A5" s="68"/>
      <c r="B5" s="146"/>
      <c r="C5" s="1016" t="str">
        <f>'1.Inftr Costs'!$D$5</f>
        <v>2020-2021</v>
      </c>
      <c r="D5" s="1017">
        <f>'1.Inftr Costs'!$E$5</f>
        <v>2022</v>
      </c>
      <c r="E5" s="109">
        <f>D5+1</f>
        <v>2023</v>
      </c>
      <c r="F5" s="109">
        <f t="shared" si="0"/>
        <v>2024</v>
      </c>
      <c r="G5" s="110">
        <f t="shared" si="0"/>
        <v>2025</v>
      </c>
      <c r="H5" s="109">
        <f t="shared" si="0"/>
        <v>2026</v>
      </c>
      <c r="I5" s="111">
        <f t="shared" si="0"/>
        <v>2027</v>
      </c>
      <c r="J5" s="109">
        <f t="shared" si="0"/>
        <v>2028</v>
      </c>
      <c r="K5" s="109">
        <f t="shared" si="0"/>
        <v>2029</v>
      </c>
      <c r="L5" s="109">
        <f>K5+1</f>
        <v>2030</v>
      </c>
      <c r="M5" s="111">
        <f>L5+1</f>
        <v>2031</v>
      </c>
    </row>
    <row r="6" spans="1:22" ht="13.5" thickBot="1">
      <c r="A6" s="208" t="s">
        <v>8</v>
      </c>
      <c r="B6" s="205"/>
      <c r="C6" s="214"/>
      <c r="D6" s="206"/>
      <c r="E6" s="206"/>
      <c r="F6" s="206"/>
      <c r="G6" s="217"/>
      <c r="H6" s="206"/>
      <c r="I6" s="207"/>
      <c r="J6" s="206"/>
      <c r="K6" s="206"/>
      <c r="L6" s="206"/>
      <c r="M6" s="207"/>
    </row>
    <row r="7" spans="1:22" ht="14.15" customHeight="1">
      <c r="A7" s="1046" t="s">
        <v>513</v>
      </c>
      <c r="B7" s="213"/>
      <c r="C7" s="337"/>
      <c r="D7" s="338"/>
      <c r="E7" s="338"/>
      <c r="F7" s="338"/>
      <c r="G7" s="133"/>
      <c r="H7" s="338"/>
      <c r="I7" s="339"/>
      <c r="J7" s="338"/>
      <c r="K7" s="338"/>
      <c r="L7" s="338"/>
      <c r="M7" s="339"/>
    </row>
    <row r="8" spans="1:22" ht="14.15" customHeight="1">
      <c r="A8" s="183" t="s">
        <v>9</v>
      </c>
      <c r="B8" s="132">
        <v>0.02</v>
      </c>
      <c r="C8" s="140"/>
      <c r="D8" s="115"/>
      <c r="E8" s="115"/>
      <c r="F8" s="115"/>
      <c r="G8" s="143"/>
      <c r="H8" s="115"/>
      <c r="I8" s="120"/>
      <c r="J8" s="115"/>
      <c r="K8" s="115"/>
      <c r="L8" s="115"/>
      <c r="M8" s="120"/>
    </row>
    <row r="9" spans="1:22" ht="14.15" customHeight="1">
      <c r="A9" s="183" t="s">
        <v>105</v>
      </c>
      <c r="B9" s="66"/>
      <c r="C9" s="402">
        <v>0</v>
      </c>
      <c r="D9" s="194">
        <f>C140</f>
        <v>20600</v>
      </c>
      <c r="E9" s="194">
        <f t="shared" ref="E9:M11" si="1">D9</f>
        <v>20600</v>
      </c>
      <c r="F9" s="194">
        <f t="shared" si="1"/>
        <v>20600</v>
      </c>
      <c r="G9" s="221">
        <f t="shared" si="1"/>
        <v>20600</v>
      </c>
      <c r="H9" s="194">
        <f t="shared" si="1"/>
        <v>20600</v>
      </c>
      <c r="I9" s="199">
        <f t="shared" si="1"/>
        <v>20600</v>
      </c>
      <c r="J9" s="194">
        <f t="shared" si="1"/>
        <v>20600</v>
      </c>
      <c r="K9" s="194">
        <f t="shared" si="1"/>
        <v>20600</v>
      </c>
      <c r="L9" s="194">
        <f t="shared" si="1"/>
        <v>20600</v>
      </c>
      <c r="M9" s="199">
        <f t="shared" si="1"/>
        <v>20600</v>
      </c>
    </row>
    <row r="10" spans="1:22" ht="14.15" customHeight="1">
      <c r="A10" s="183" t="s">
        <v>37</v>
      </c>
      <c r="B10" s="132">
        <v>0.95</v>
      </c>
      <c r="C10" s="403">
        <f>C9*$B$10</f>
        <v>0</v>
      </c>
      <c r="D10" s="194">
        <f t="shared" ref="D10:M10" si="2">D9*$B$10</f>
        <v>19570</v>
      </c>
      <c r="E10" s="194">
        <f t="shared" si="2"/>
        <v>19570</v>
      </c>
      <c r="F10" s="194">
        <f t="shared" si="2"/>
        <v>19570</v>
      </c>
      <c r="G10" s="221">
        <f t="shared" si="2"/>
        <v>19570</v>
      </c>
      <c r="H10" s="194">
        <f t="shared" si="2"/>
        <v>19570</v>
      </c>
      <c r="I10" s="199">
        <f t="shared" si="2"/>
        <v>19570</v>
      </c>
      <c r="J10" s="194">
        <f t="shared" si="2"/>
        <v>19570</v>
      </c>
      <c r="K10" s="194">
        <f t="shared" si="2"/>
        <v>19570</v>
      </c>
      <c r="L10" s="194">
        <f t="shared" si="2"/>
        <v>19570</v>
      </c>
      <c r="M10" s="199">
        <f t="shared" si="2"/>
        <v>19570</v>
      </c>
    </row>
    <row r="11" spans="1:22" ht="14.15" customHeight="1">
      <c r="A11" s="183" t="s">
        <v>42</v>
      </c>
      <c r="B11" s="114"/>
      <c r="C11" s="404">
        <v>1</v>
      </c>
      <c r="D11" s="117">
        <f>C11</f>
        <v>1</v>
      </c>
      <c r="E11" s="132">
        <v>0</v>
      </c>
      <c r="F11" s="132">
        <v>0</v>
      </c>
      <c r="G11" s="278">
        <f t="shared" si="1"/>
        <v>0</v>
      </c>
      <c r="H11" s="117">
        <f t="shared" si="1"/>
        <v>0</v>
      </c>
      <c r="I11" s="229">
        <f t="shared" si="1"/>
        <v>0</v>
      </c>
      <c r="J11" s="117">
        <f t="shared" si="1"/>
        <v>0</v>
      </c>
      <c r="K11" s="117">
        <f t="shared" si="1"/>
        <v>0</v>
      </c>
      <c r="L11" s="117">
        <f t="shared" si="1"/>
        <v>0</v>
      </c>
      <c r="M11" s="229">
        <f t="shared" si="1"/>
        <v>0</v>
      </c>
    </row>
    <row r="12" spans="1:22" s="388" customFormat="1" ht="13" thickBot="1">
      <c r="A12" s="144" t="s">
        <v>106</v>
      </c>
      <c r="B12" s="69"/>
      <c r="C12" s="302">
        <v>35</v>
      </c>
      <c r="D12" s="299">
        <f>$C$12*(1+$B$8)^D$4</f>
        <v>35.700000000000003</v>
      </c>
      <c r="E12" s="299">
        <f t="shared" ref="E12:M12" si="3">$C$12*(1+$B$8)^E$4</f>
        <v>36.414000000000001</v>
      </c>
      <c r="F12" s="299">
        <f t="shared" si="3"/>
        <v>37.14228</v>
      </c>
      <c r="G12" s="312">
        <f t="shared" si="3"/>
        <v>37.885125600000002</v>
      </c>
      <c r="H12" s="299">
        <f t="shared" si="3"/>
        <v>38.642828112000004</v>
      </c>
      <c r="I12" s="300">
        <f t="shared" si="3"/>
        <v>39.415684674240005</v>
      </c>
      <c r="J12" s="299">
        <f t="shared" si="3"/>
        <v>40.203998367724793</v>
      </c>
      <c r="K12" s="299">
        <f t="shared" si="3"/>
        <v>41.00807833507929</v>
      </c>
      <c r="L12" s="299">
        <f t="shared" si="3"/>
        <v>41.828239901780876</v>
      </c>
      <c r="M12" s="300">
        <f t="shared" si="3"/>
        <v>42.6648046998165</v>
      </c>
      <c r="N12" s="460"/>
      <c r="O12" s="460"/>
      <c r="P12" s="460"/>
      <c r="Q12" s="460"/>
      <c r="R12" s="460"/>
      <c r="S12" s="460"/>
      <c r="T12" s="460"/>
      <c r="U12" s="460"/>
      <c r="V12" s="460"/>
    </row>
    <row r="13" spans="1:22" s="388" customFormat="1" hidden="1" outlineLevel="1">
      <c r="A13" s="344" t="s">
        <v>15</v>
      </c>
      <c r="B13" s="213"/>
      <c r="C13" s="256">
        <f>C10*(1-C11)*C12</f>
        <v>0</v>
      </c>
      <c r="D13" s="258">
        <f t="shared" ref="D13:M13" si="4">D10*(1-D11)*D12</f>
        <v>0</v>
      </c>
      <c r="E13" s="258">
        <f t="shared" si="4"/>
        <v>712621.98</v>
      </c>
      <c r="F13" s="258">
        <f t="shared" si="4"/>
        <v>726874.41960000002</v>
      </c>
      <c r="G13" s="257">
        <f t="shared" si="4"/>
        <v>741411.90799199999</v>
      </c>
      <c r="H13" s="258">
        <f t="shared" si="4"/>
        <v>756240.1461518401</v>
      </c>
      <c r="I13" s="259">
        <f t="shared" si="4"/>
        <v>771364.94907487684</v>
      </c>
      <c r="J13" s="258">
        <f t="shared" si="4"/>
        <v>786792.24805637426</v>
      </c>
      <c r="K13" s="258">
        <f t="shared" si="4"/>
        <v>802528.09301750176</v>
      </c>
      <c r="L13" s="258">
        <f t="shared" si="4"/>
        <v>818578.65487785172</v>
      </c>
      <c r="M13" s="259">
        <f t="shared" si="4"/>
        <v>834950.2279754089</v>
      </c>
      <c r="N13" s="460"/>
      <c r="O13" s="460"/>
      <c r="P13" s="460"/>
      <c r="Q13" s="460"/>
      <c r="R13" s="460"/>
      <c r="S13" s="460"/>
      <c r="T13" s="460"/>
      <c r="U13" s="460"/>
      <c r="V13" s="460"/>
    </row>
    <row r="14" spans="1:22" s="388" customFormat="1" hidden="1" outlineLevel="1">
      <c r="A14" s="183" t="s">
        <v>157</v>
      </c>
      <c r="B14" s="66"/>
      <c r="C14" s="153">
        <f t="shared" ref="C14:M14" si="5">C10*(1-C11)*($D$154*(1+$B8)^C$4)</f>
        <v>0</v>
      </c>
      <c r="D14" s="249">
        <f t="shared" si="5"/>
        <v>0</v>
      </c>
      <c r="E14" s="249">
        <f t="shared" si="5"/>
        <v>244327.53599999999</v>
      </c>
      <c r="F14" s="249">
        <f t="shared" si="5"/>
        <v>249214.08671999999</v>
      </c>
      <c r="G14" s="260">
        <f t="shared" si="5"/>
        <v>254198.36845440001</v>
      </c>
      <c r="H14" s="249">
        <f t="shared" si="5"/>
        <v>259282.33582348801</v>
      </c>
      <c r="I14" s="261">
        <f t="shared" si="5"/>
        <v>264467.98253995774</v>
      </c>
      <c r="J14" s="249">
        <f t="shared" si="5"/>
        <v>269757.34219075687</v>
      </c>
      <c r="K14" s="249">
        <f t="shared" si="5"/>
        <v>275152.48903457203</v>
      </c>
      <c r="L14" s="249">
        <f t="shared" si="5"/>
        <v>280655.53881526348</v>
      </c>
      <c r="M14" s="261">
        <f t="shared" si="5"/>
        <v>286268.64959156874</v>
      </c>
      <c r="N14" s="460"/>
      <c r="O14" s="460"/>
      <c r="P14" s="460"/>
      <c r="Q14" s="460"/>
      <c r="R14" s="460"/>
      <c r="S14" s="460"/>
      <c r="T14" s="460"/>
      <c r="U14" s="460"/>
      <c r="V14" s="460"/>
    </row>
    <row r="15" spans="1:22" s="388" customFormat="1" ht="13" hidden="1" outlineLevel="1" thickBot="1">
      <c r="A15" s="144" t="s">
        <v>158</v>
      </c>
      <c r="B15" s="69"/>
      <c r="C15" s="461">
        <f t="shared" ref="C15:M15" si="6">C10*($D$154*(1+$B8)^C$4)</f>
        <v>0</v>
      </c>
      <c r="D15" s="456">
        <f t="shared" si="6"/>
        <v>239536.80000000002</v>
      </c>
      <c r="E15" s="456">
        <f t="shared" si="6"/>
        <v>244327.53599999999</v>
      </c>
      <c r="F15" s="456">
        <f t="shared" si="6"/>
        <v>249214.08671999999</v>
      </c>
      <c r="G15" s="455">
        <f t="shared" si="6"/>
        <v>254198.36845440001</v>
      </c>
      <c r="H15" s="456">
        <f t="shared" si="6"/>
        <v>259282.33582348801</v>
      </c>
      <c r="I15" s="457">
        <f t="shared" si="6"/>
        <v>264467.98253995774</v>
      </c>
      <c r="J15" s="456">
        <f t="shared" si="6"/>
        <v>269757.34219075687</v>
      </c>
      <c r="K15" s="456">
        <f t="shared" si="6"/>
        <v>275152.48903457203</v>
      </c>
      <c r="L15" s="456">
        <f t="shared" si="6"/>
        <v>280655.53881526348</v>
      </c>
      <c r="M15" s="457">
        <f t="shared" si="6"/>
        <v>286268.64959156874</v>
      </c>
      <c r="N15" s="460"/>
      <c r="O15" s="460"/>
      <c r="P15" s="460"/>
      <c r="Q15" s="460"/>
      <c r="R15" s="460"/>
      <c r="S15" s="460"/>
      <c r="T15" s="460"/>
      <c r="U15" s="460"/>
      <c r="V15" s="460"/>
    </row>
    <row r="16" spans="1:22" ht="14.15" customHeight="1" collapsed="1">
      <c r="A16" s="1047" t="s">
        <v>514</v>
      </c>
      <c r="B16" s="66"/>
      <c r="C16" s="141"/>
      <c r="D16" s="76"/>
      <c r="E16" s="76"/>
      <c r="F16" s="76"/>
      <c r="G16" s="65"/>
      <c r="H16" s="76"/>
      <c r="I16" s="121"/>
      <c r="J16" s="76"/>
      <c r="K16" s="76"/>
      <c r="L16" s="76"/>
      <c r="M16" s="121"/>
    </row>
    <row r="17" spans="1:22" ht="14.15" customHeight="1">
      <c r="A17" s="183" t="s">
        <v>9</v>
      </c>
      <c r="B17" s="132">
        <v>0.02</v>
      </c>
      <c r="C17" s="140"/>
      <c r="D17" s="115"/>
      <c r="E17" s="115"/>
      <c r="F17" s="115"/>
      <c r="G17" s="143"/>
      <c r="H17" s="115"/>
      <c r="I17" s="120"/>
      <c r="J17" s="115"/>
      <c r="K17" s="115"/>
      <c r="L17" s="115"/>
      <c r="M17" s="120"/>
    </row>
    <row r="18" spans="1:22" ht="14.15" customHeight="1">
      <c r="A18" s="183" t="s">
        <v>105</v>
      </c>
      <c r="B18" s="66"/>
      <c r="C18" s="402">
        <v>0</v>
      </c>
      <c r="D18" s="194">
        <f>C141</f>
        <v>23000</v>
      </c>
      <c r="E18" s="194">
        <f t="shared" ref="E18:M18" si="7">D18</f>
        <v>23000</v>
      </c>
      <c r="F18" s="194">
        <f t="shared" si="7"/>
        <v>23000</v>
      </c>
      <c r="G18" s="221">
        <f t="shared" si="7"/>
        <v>23000</v>
      </c>
      <c r="H18" s="194">
        <f t="shared" si="7"/>
        <v>23000</v>
      </c>
      <c r="I18" s="199">
        <f t="shared" si="7"/>
        <v>23000</v>
      </c>
      <c r="J18" s="194">
        <f t="shared" si="7"/>
        <v>23000</v>
      </c>
      <c r="K18" s="194">
        <f t="shared" si="7"/>
        <v>23000</v>
      </c>
      <c r="L18" s="194">
        <f t="shared" si="7"/>
        <v>23000</v>
      </c>
      <c r="M18" s="199">
        <f t="shared" si="7"/>
        <v>23000</v>
      </c>
    </row>
    <row r="19" spans="1:22" ht="14.15" customHeight="1">
      <c r="A19" s="183" t="s">
        <v>37</v>
      </c>
      <c r="B19" s="132">
        <v>0.9</v>
      </c>
      <c r="C19" s="403">
        <f>C18*$B$19</f>
        <v>0</v>
      </c>
      <c r="D19" s="194">
        <f t="shared" ref="D19:M19" si="8">D18*$B$19</f>
        <v>20700</v>
      </c>
      <c r="E19" s="194">
        <f t="shared" si="8"/>
        <v>20700</v>
      </c>
      <c r="F19" s="194">
        <f t="shared" si="8"/>
        <v>20700</v>
      </c>
      <c r="G19" s="221">
        <f t="shared" si="8"/>
        <v>20700</v>
      </c>
      <c r="H19" s="194">
        <f t="shared" si="8"/>
        <v>20700</v>
      </c>
      <c r="I19" s="199">
        <f t="shared" si="8"/>
        <v>20700</v>
      </c>
      <c r="J19" s="194">
        <f t="shared" si="8"/>
        <v>20700</v>
      </c>
      <c r="K19" s="194">
        <f t="shared" si="8"/>
        <v>20700</v>
      </c>
      <c r="L19" s="194">
        <f t="shared" si="8"/>
        <v>20700</v>
      </c>
      <c r="M19" s="199">
        <f t="shared" si="8"/>
        <v>20700</v>
      </c>
    </row>
    <row r="20" spans="1:22" ht="14.15" customHeight="1">
      <c r="A20" s="183" t="s">
        <v>42</v>
      </c>
      <c r="B20" s="114"/>
      <c r="C20" s="404">
        <v>1</v>
      </c>
      <c r="D20" s="117">
        <f>C20</f>
        <v>1</v>
      </c>
      <c r="E20" s="132">
        <v>0.5</v>
      </c>
      <c r="F20" s="132">
        <v>0.15</v>
      </c>
      <c r="G20" s="278">
        <f t="shared" ref="G20:M20" si="9">F20</f>
        <v>0.15</v>
      </c>
      <c r="H20" s="117">
        <f t="shared" si="9"/>
        <v>0.15</v>
      </c>
      <c r="I20" s="229">
        <f t="shared" si="9"/>
        <v>0.15</v>
      </c>
      <c r="J20" s="117">
        <f t="shared" si="9"/>
        <v>0.15</v>
      </c>
      <c r="K20" s="117">
        <f t="shared" si="9"/>
        <v>0.15</v>
      </c>
      <c r="L20" s="117">
        <f t="shared" si="9"/>
        <v>0.15</v>
      </c>
      <c r="M20" s="229">
        <f t="shared" si="9"/>
        <v>0.15</v>
      </c>
    </row>
    <row r="21" spans="1:22" ht="13" thickBot="1">
      <c r="A21" s="144" t="s">
        <v>106</v>
      </c>
      <c r="B21" s="69"/>
      <c r="C21" s="302">
        <v>55</v>
      </c>
      <c r="D21" s="299">
        <f t="shared" ref="D21:M21" si="10">$C$21*(1+$B$17)^D$4</f>
        <v>56.1</v>
      </c>
      <c r="E21" s="299">
        <f t="shared" si="10"/>
        <v>57.222000000000001</v>
      </c>
      <c r="F21" s="299">
        <f t="shared" si="10"/>
        <v>58.366439999999997</v>
      </c>
      <c r="G21" s="312">
        <f t="shared" si="10"/>
        <v>59.533768799999997</v>
      </c>
      <c r="H21" s="299">
        <f t="shared" si="10"/>
        <v>60.724444175999999</v>
      </c>
      <c r="I21" s="300">
        <f t="shared" si="10"/>
        <v>61.938933059520004</v>
      </c>
      <c r="J21" s="299">
        <f t="shared" si="10"/>
        <v>63.177711720710391</v>
      </c>
      <c r="K21" s="299">
        <f t="shared" si="10"/>
        <v>64.441265955124607</v>
      </c>
      <c r="L21" s="299">
        <f t="shared" si="10"/>
        <v>65.730091274227092</v>
      </c>
      <c r="M21" s="300">
        <f t="shared" si="10"/>
        <v>67.044693099711637</v>
      </c>
      <c r="N21" s="414"/>
      <c r="O21" s="414"/>
      <c r="P21" s="414"/>
      <c r="Q21" s="414"/>
      <c r="R21" s="414"/>
      <c r="S21" s="414"/>
      <c r="T21" s="414"/>
      <c r="U21" s="414"/>
      <c r="V21" s="414"/>
    </row>
    <row r="22" spans="1:22" s="388" customFormat="1" hidden="1" outlineLevel="1">
      <c r="A22" s="344" t="s">
        <v>15</v>
      </c>
      <c r="B22" s="213"/>
      <c r="C22" s="256">
        <f t="shared" ref="C22:M22" si="11">C19*(1-C20)*C21</f>
        <v>0</v>
      </c>
      <c r="D22" s="258">
        <f t="shared" si="11"/>
        <v>0</v>
      </c>
      <c r="E22" s="258">
        <f t="shared" si="11"/>
        <v>592247.70000000007</v>
      </c>
      <c r="F22" s="258">
        <f t="shared" si="11"/>
        <v>1026957.5118</v>
      </c>
      <c r="G22" s="257">
        <f t="shared" si="11"/>
        <v>1047496.6620359999</v>
      </c>
      <c r="H22" s="258">
        <f t="shared" si="11"/>
        <v>1068446.5952767199</v>
      </c>
      <c r="I22" s="259">
        <f t="shared" si="11"/>
        <v>1089815.5271822545</v>
      </c>
      <c r="J22" s="258">
        <f t="shared" si="11"/>
        <v>1111611.8377258994</v>
      </c>
      <c r="K22" s="258">
        <f t="shared" si="11"/>
        <v>1133844.0744804174</v>
      </c>
      <c r="L22" s="258">
        <f t="shared" si="11"/>
        <v>1156520.9559700256</v>
      </c>
      <c r="M22" s="259">
        <f t="shared" si="11"/>
        <v>1179651.3750894263</v>
      </c>
      <c r="N22" s="460"/>
      <c r="O22" s="460"/>
      <c r="P22" s="460"/>
      <c r="Q22" s="460"/>
      <c r="R22" s="460"/>
      <c r="S22" s="460"/>
      <c r="T22" s="460"/>
      <c r="U22" s="460"/>
      <c r="V22" s="460"/>
    </row>
    <row r="23" spans="1:22" s="388" customFormat="1" hidden="1" outlineLevel="1">
      <c r="A23" s="183" t="s">
        <v>157</v>
      </c>
      <c r="B23" s="66"/>
      <c r="C23" s="153">
        <f t="shared" ref="C23:M23" si="12">C19*(1-C20)*($D$154*(1+$B17)^C$4)</f>
        <v>0</v>
      </c>
      <c r="D23" s="249">
        <f t="shared" si="12"/>
        <v>0</v>
      </c>
      <c r="E23" s="249">
        <f t="shared" si="12"/>
        <v>129217.68</v>
      </c>
      <c r="F23" s="249">
        <f t="shared" si="12"/>
        <v>224063.45712000001</v>
      </c>
      <c r="G23" s="260">
        <f t="shared" si="12"/>
        <v>228544.72626240001</v>
      </c>
      <c r="H23" s="249">
        <f t="shared" si="12"/>
        <v>233115.62078764799</v>
      </c>
      <c r="I23" s="261">
        <f t="shared" si="12"/>
        <v>237777.93320340096</v>
      </c>
      <c r="J23" s="249">
        <f t="shared" si="12"/>
        <v>242533.49186746895</v>
      </c>
      <c r="K23" s="249">
        <f t="shared" si="12"/>
        <v>247384.16170481837</v>
      </c>
      <c r="L23" s="249">
        <f t="shared" si="12"/>
        <v>252331.8449389147</v>
      </c>
      <c r="M23" s="261">
        <f t="shared" si="12"/>
        <v>257378.48183769302</v>
      </c>
      <c r="N23" s="460"/>
      <c r="O23" s="460"/>
      <c r="P23" s="460"/>
      <c r="Q23" s="460"/>
      <c r="R23" s="460"/>
      <c r="S23" s="460"/>
      <c r="T23" s="460"/>
      <c r="U23" s="460"/>
      <c r="V23" s="460"/>
    </row>
    <row r="24" spans="1:22" s="388" customFormat="1" ht="13" hidden="1" outlineLevel="1" thickBot="1">
      <c r="A24" s="144" t="s">
        <v>158</v>
      </c>
      <c r="B24" s="69"/>
      <c r="C24" s="461">
        <f t="shared" ref="C24:M24" si="13">C19*($D$154*(1+$B17)^C$4)</f>
        <v>0</v>
      </c>
      <c r="D24" s="456">
        <f t="shared" si="13"/>
        <v>253368</v>
      </c>
      <c r="E24" s="456">
        <f t="shared" si="13"/>
        <v>258435.36</v>
      </c>
      <c r="F24" s="456">
        <f t="shared" si="13"/>
        <v>263604.06719999999</v>
      </c>
      <c r="G24" s="455">
        <f t="shared" si="13"/>
        <v>268876.148544</v>
      </c>
      <c r="H24" s="456">
        <f t="shared" si="13"/>
        <v>274253.67151488003</v>
      </c>
      <c r="I24" s="457">
        <f t="shared" si="13"/>
        <v>279738.74494517758</v>
      </c>
      <c r="J24" s="456">
        <f t="shared" si="13"/>
        <v>285333.51984408108</v>
      </c>
      <c r="K24" s="456">
        <f t="shared" si="13"/>
        <v>291040.19024096278</v>
      </c>
      <c r="L24" s="456">
        <f t="shared" si="13"/>
        <v>296860.99404578202</v>
      </c>
      <c r="M24" s="457">
        <f t="shared" si="13"/>
        <v>302798.21392669767</v>
      </c>
      <c r="N24" s="460"/>
      <c r="O24" s="460"/>
      <c r="P24" s="460"/>
      <c r="Q24" s="460"/>
      <c r="R24" s="460"/>
      <c r="S24" s="460"/>
      <c r="T24" s="460"/>
      <c r="U24" s="460"/>
      <c r="V24" s="460"/>
    </row>
    <row r="25" spans="1:22" ht="14.15" customHeight="1" collapsed="1">
      <c r="A25" s="1047" t="s">
        <v>515</v>
      </c>
      <c r="B25" s="66"/>
      <c r="C25" s="141"/>
      <c r="D25" s="76"/>
      <c r="E25" s="76"/>
      <c r="F25" s="76"/>
      <c r="G25" s="65"/>
      <c r="H25" s="76"/>
      <c r="I25" s="121"/>
      <c r="J25" s="76"/>
      <c r="K25" s="76"/>
      <c r="L25" s="76"/>
      <c r="M25" s="121"/>
    </row>
    <row r="26" spans="1:22" ht="14.15" customHeight="1">
      <c r="A26" s="183" t="s">
        <v>9</v>
      </c>
      <c r="B26" s="132">
        <v>0.02</v>
      </c>
      <c r="C26" s="140"/>
      <c r="D26" s="115"/>
      <c r="E26" s="115"/>
      <c r="F26" s="115"/>
      <c r="G26" s="143"/>
      <c r="H26" s="115"/>
      <c r="I26" s="120"/>
      <c r="J26" s="115"/>
      <c r="K26" s="115"/>
      <c r="L26" s="115"/>
      <c r="M26" s="120"/>
    </row>
    <row r="27" spans="1:22" ht="14.15" customHeight="1">
      <c r="A27" s="183" t="s">
        <v>105</v>
      </c>
      <c r="B27" s="66"/>
      <c r="C27" s="402">
        <v>0</v>
      </c>
      <c r="D27" s="194">
        <f>C142</f>
        <v>12875</v>
      </c>
      <c r="E27" s="194">
        <f t="shared" ref="E27:M27" si="14">D27</f>
        <v>12875</v>
      </c>
      <c r="F27" s="194">
        <f t="shared" si="14"/>
        <v>12875</v>
      </c>
      <c r="G27" s="221">
        <f t="shared" si="14"/>
        <v>12875</v>
      </c>
      <c r="H27" s="194">
        <f t="shared" si="14"/>
        <v>12875</v>
      </c>
      <c r="I27" s="199">
        <f t="shared" si="14"/>
        <v>12875</v>
      </c>
      <c r="J27" s="194">
        <f t="shared" si="14"/>
        <v>12875</v>
      </c>
      <c r="K27" s="194">
        <f t="shared" si="14"/>
        <v>12875</v>
      </c>
      <c r="L27" s="194">
        <f t="shared" si="14"/>
        <v>12875</v>
      </c>
      <c r="M27" s="199">
        <f t="shared" si="14"/>
        <v>12875</v>
      </c>
    </row>
    <row r="28" spans="1:22" ht="14.15" customHeight="1">
      <c r="A28" s="183" t="s">
        <v>37</v>
      </c>
      <c r="B28" s="132">
        <v>0.9</v>
      </c>
      <c r="C28" s="403">
        <f>C27*$B$28</f>
        <v>0</v>
      </c>
      <c r="D28" s="194">
        <f t="shared" ref="D28:M28" si="15">D27*$B$28</f>
        <v>11587.5</v>
      </c>
      <c r="E28" s="194">
        <f t="shared" si="15"/>
        <v>11587.5</v>
      </c>
      <c r="F28" s="194">
        <f t="shared" si="15"/>
        <v>11587.5</v>
      </c>
      <c r="G28" s="221">
        <f t="shared" si="15"/>
        <v>11587.5</v>
      </c>
      <c r="H28" s="194">
        <f t="shared" si="15"/>
        <v>11587.5</v>
      </c>
      <c r="I28" s="199">
        <f t="shared" si="15"/>
        <v>11587.5</v>
      </c>
      <c r="J28" s="194">
        <f t="shared" si="15"/>
        <v>11587.5</v>
      </c>
      <c r="K28" s="194">
        <f t="shared" si="15"/>
        <v>11587.5</v>
      </c>
      <c r="L28" s="194">
        <f t="shared" si="15"/>
        <v>11587.5</v>
      </c>
      <c r="M28" s="199">
        <f t="shared" si="15"/>
        <v>11587.5</v>
      </c>
    </row>
    <row r="29" spans="1:22" ht="14.15" customHeight="1">
      <c r="A29" s="183" t="s">
        <v>42</v>
      </c>
      <c r="B29" s="114"/>
      <c r="C29" s="404">
        <v>1</v>
      </c>
      <c r="D29" s="117">
        <f>C29</f>
        <v>1</v>
      </c>
      <c r="E29" s="132">
        <v>0.5</v>
      </c>
      <c r="F29" s="132">
        <v>0.15</v>
      </c>
      <c r="G29" s="278">
        <f t="shared" ref="G29:M29" si="16">F29</f>
        <v>0.15</v>
      </c>
      <c r="H29" s="117">
        <f t="shared" si="16"/>
        <v>0.15</v>
      </c>
      <c r="I29" s="229">
        <f t="shared" si="16"/>
        <v>0.15</v>
      </c>
      <c r="J29" s="117">
        <f t="shared" si="16"/>
        <v>0.15</v>
      </c>
      <c r="K29" s="117">
        <f t="shared" si="16"/>
        <v>0.15</v>
      </c>
      <c r="L29" s="117">
        <f t="shared" si="16"/>
        <v>0.15</v>
      </c>
      <c r="M29" s="229">
        <f t="shared" si="16"/>
        <v>0.15</v>
      </c>
    </row>
    <row r="30" spans="1:22" ht="13" thickBot="1">
      <c r="A30" s="144" t="s">
        <v>106</v>
      </c>
      <c r="B30" s="69"/>
      <c r="C30" s="302">
        <f>C21</f>
        <v>55</v>
      </c>
      <c r="D30" s="299">
        <f t="shared" ref="D30:M30" si="17">$C$30*(1+$B$26)^D$4</f>
        <v>56.1</v>
      </c>
      <c r="E30" s="299">
        <f t="shared" si="17"/>
        <v>57.222000000000001</v>
      </c>
      <c r="F30" s="299">
        <f t="shared" si="17"/>
        <v>58.366439999999997</v>
      </c>
      <c r="G30" s="312">
        <f t="shared" si="17"/>
        <v>59.533768799999997</v>
      </c>
      <c r="H30" s="299">
        <f t="shared" si="17"/>
        <v>60.724444175999999</v>
      </c>
      <c r="I30" s="300">
        <f t="shared" si="17"/>
        <v>61.938933059520004</v>
      </c>
      <c r="J30" s="299">
        <f t="shared" si="17"/>
        <v>63.177711720710391</v>
      </c>
      <c r="K30" s="299">
        <f t="shared" si="17"/>
        <v>64.441265955124607</v>
      </c>
      <c r="L30" s="299">
        <f t="shared" si="17"/>
        <v>65.730091274227092</v>
      </c>
      <c r="M30" s="300">
        <f t="shared" si="17"/>
        <v>67.044693099711637</v>
      </c>
      <c r="N30" s="414"/>
      <c r="O30" s="414"/>
      <c r="P30" s="414"/>
      <c r="Q30" s="414"/>
      <c r="R30" s="414"/>
      <c r="S30" s="414"/>
      <c r="T30" s="414"/>
      <c r="U30" s="414"/>
      <c r="V30" s="414"/>
    </row>
    <row r="31" spans="1:22" s="388" customFormat="1" hidden="1" outlineLevel="1">
      <c r="A31" s="344" t="s">
        <v>15</v>
      </c>
      <c r="B31" s="213"/>
      <c r="C31" s="256">
        <f>C28*(1-C29)*C30</f>
        <v>0</v>
      </c>
      <c r="D31" s="258">
        <f t="shared" ref="D31:M31" si="18">D28*(1-D29)*D30</f>
        <v>0</v>
      </c>
      <c r="E31" s="258">
        <f t="shared" si="18"/>
        <v>331529.96250000002</v>
      </c>
      <c r="F31" s="258">
        <f t="shared" si="18"/>
        <v>574872.954975</v>
      </c>
      <c r="G31" s="257">
        <f t="shared" si="18"/>
        <v>586370.41407449997</v>
      </c>
      <c r="H31" s="258">
        <f t="shared" si="18"/>
        <v>598097.82235598995</v>
      </c>
      <c r="I31" s="259">
        <f t="shared" si="18"/>
        <v>610059.77880310989</v>
      </c>
      <c r="J31" s="258">
        <f t="shared" si="18"/>
        <v>622260.97437917197</v>
      </c>
      <c r="K31" s="258">
        <f t="shared" si="18"/>
        <v>634706.19386675546</v>
      </c>
      <c r="L31" s="258">
        <f t="shared" si="18"/>
        <v>647400.31774409045</v>
      </c>
      <c r="M31" s="259">
        <f t="shared" si="18"/>
        <v>660348.32409897225</v>
      </c>
      <c r="N31" s="460"/>
      <c r="O31" s="460"/>
      <c r="P31" s="460"/>
      <c r="Q31" s="460"/>
      <c r="R31" s="460"/>
      <c r="S31" s="460"/>
      <c r="T31" s="460"/>
      <c r="U31" s="460"/>
      <c r="V31" s="460"/>
    </row>
    <row r="32" spans="1:22" s="388" customFormat="1" hidden="1" outlineLevel="1">
      <c r="A32" s="183" t="s">
        <v>157</v>
      </c>
      <c r="B32" s="66"/>
      <c r="C32" s="153">
        <f t="shared" ref="C32:M32" si="19">C28*(1-C29)*($D$154*(1+$B26)^C$4)</f>
        <v>0</v>
      </c>
      <c r="D32" s="249">
        <f t="shared" si="19"/>
        <v>0</v>
      </c>
      <c r="E32" s="249">
        <f t="shared" si="19"/>
        <v>72333.81</v>
      </c>
      <c r="F32" s="249">
        <f t="shared" si="19"/>
        <v>125426.82653999999</v>
      </c>
      <c r="G32" s="260">
        <f t="shared" si="19"/>
        <v>127935.36307080001</v>
      </c>
      <c r="H32" s="249">
        <f t="shared" si="19"/>
        <v>130494.070332216</v>
      </c>
      <c r="I32" s="261">
        <f t="shared" si="19"/>
        <v>133103.95173886031</v>
      </c>
      <c r="J32" s="249">
        <f t="shared" si="19"/>
        <v>135766.0307736375</v>
      </c>
      <c r="K32" s="249">
        <f t="shared" si="19"/>
        <v>138481.35138911026</v>
      </c>
      <c r="L32" s="249">
        <f t="shared" si="19"/>
        <v>141250.97841689247</v>
      </c>
      <c r="M32" s="261">
        <f t="shared" si="19"/>
        <v>144075.99798523032</v>
      </c>
      <c r="N32" s="460"/>
      <c r="O32" s="460"/>
      <c r="P32" s="460"/>
      <c r="Q32" s="460"/>
      <c r="R32" s="460"/>
      <c r="S32" s="460"/>
      <c r="T32" s="460"/>
      <c r="U32" s="460"/>
      <c r="V32" s="460"/>
    </row>
    <row r="33" spans="1:22" s="388" customFormat="1" ht="13" hidden="1" outlineLevel="1" thickBot="1">
      <c r="A33" s="144" t="s">
        <v>158</v>
      </c>
      <c r="B33" s="69"/>
      <c r="C33" s="461">
        <f t="shared" ref="C33:M33" si="20">C28*($D$154*(1+$B26)^C$4)</f>
        <v>0</v>
      </c>
      <c r="D33" s="456">
        <f t="shared" si="20"/>
        <v>141831</v>
      </c>
      <c r="E33" s="456">
        <f t="shared" si="20"/>
        <v>144667.62</v>
      </c>
      <c r="F33" s="456">
        <f t="shared" si="20"/>
        <v>147560.9724</v>
      </c>
      <c r="G33" s="455">
        <f t="shared" si="20"/>
        <v>150512.19184800002</v>
      </c>
      <c r="H33" s="456">
        <f t="shared" si="20"/>
        <v>153522.43568496002</v>
      </c>
      <c r="I33" s="457">
        <f t="shared" si="20"/>
        <v>156592.8843986592</v>
      </c>
      <c r="J33" s="456">
        <f t="shared" si="20"/>
        <v>159724.74208663235</v>
      </c>
      <c r="K33" s="456">
        <f t="shared" si="20"/>
        <v>162919.23692836502</v>
      </c>
      <c r="L33" s="456">
        <f t="shared" si="20"/>
        <v>166177.62166693233</v>
      </c>
      <c r="M33" s="457">
        <f t="shared" si="20"/>
        <v>169501.17410027099</v>
      </c>
      <c r="N33" s="460"/>
      <c r="O33" s="460"/>
      <c r="P33" s="460"/>
      <c r="Q33" s="460"/>
      <c r="R33" s="460"/>
      <c r="S33" s="460"/>
      <c r="T33" s="460"/>
      <c r="U33" s="460"/>
      <c r="V33" s="460"/>
    </row>
    <row r="34" spans="1:22" ht="14.15" customHeight="1" collapsed="1">
      <c r="A34" s="1047" t="s">
        <v>516</v>
      </c>
      <c r="B34" s="66"/>
      <c r="C34" s="141"/>
      <c r="D34" s="76"/>
      <c r="E34" s="76"/>
      <c r="F34" s="76"/>
      <c r="G34" s="65"/>
      <c r="H34" s="76"/>
      <c r="I34" s="121"/>
      <c r="J34" s="76"/>
      <c r="K34" s="76"/>
      <c r="L34" s="76"/>
      <c r="M34" s="121"/>
    </row>
    <row r="35" spans="1:22" ht="14.15" customHeight="1">
      <c r="A35" s="183" t="s">
        <v>9</v>
      </c>
      <c r="B35" s="132">
        <v>0.02</v>
      </c>
      <c r="C35" s="140"/>
      <c r="D35" s="115"/>
      <c r="E35" s="115"/>
      <c r="F35" s="115"/>
      <c r="G35" s="143"/>
      <c r="H35" s="115"/>
      <c r="I35" s="120"/>
      <c r="J35" s="115"/>
      <c r="K35" s="115"/>
      <c r="L35" s="115"/>
      <c r="M35" s="120"/>
    </row>
    <row r="36" spans="1:22" ht="14.15" customHeight="1">
      <c r="A36" s="183" t="s">
        <v>105</v>
      </c>
      <c r="B36" s="66"/>
      <c r="C36" s="402">
        <v>0</v>
      </c>
      <c r="D36" s="194">
        <f>C36</f>
        <v>0</v>
      </c>
      <c r="E36" s="194">
        <f>C143</f>
        <v>23400</v>
      </c>
      <c r="F36" s="194">
        <f t="shared" ref="F36:M36" si="21">E36</f>
        <v>23400</v>
      </c>
      <c r="G36" s="221">
        <f t="shared" si="21"/>
        <v>23400</v>
      </c>
      <c r="H36" s="194">
        <f t="shared" si="21"/>
        <v>23400</v>
      </c>
      <c r="I36" s="199">
        <f t="shared" si="21"/>
        <v>23400</v>
      </c>
      <c r="J36" s="194">
        <f t="shared" si="21"/>
        <v>23400</v>
      </c>
      <c r="K36" s="194">
        <f t="shared" si="21"/>
        <v>23400</v>
      </c>
      <c r="L36" s="194">
        <f t="shared" si="21"/>
        <v>23400</v>
      </c>
      <c r="M36" s="199">
        <f t="shared" si="21"/>
        <v>23400</v>
      </c>
    </row>
    <row r="37" spans="1:22" ht="14.15" customHeight="1">
      <c r="A37" s="183" t="s">
        <v>37</v>
      </c>
      <c r="B37" s="132">
        <v>0.9</v>
      </c>
      <c r="C37" s="403">
        <f>C36*$B$37</f>
        <v>0</v>
      </c>
      <c r="D37" s="194">
        <f t="shared" ref="D37:M37" si="22">D36*$B$37</f>
        <v>0</v>
      </c>
      <c r="E37" s="194">
        <f t="shared" si="22"/>
        <v>21060</v>
      </c>
      <c r="F37" s="194">
        <f t="shared" si="22"/>
        <v>21060</v>
      </c>
      <c r="G37" s="221">
        <f t="shared" si="22"/>
        <v>21060</v>
      </c>
      <c r="H37" s="194">
        <f t="shared" si="22"/>
        <v>21060</v>
      </c>
      <c r="I37" s="199">
        <f t="shared" si="22"/>
        <v>21060</v>
      </c>
      <c r="J37" s="194">
        <f t="shared" si="22"/>
        <v>21060</v>
      </c>
      <c r="K37" s="194">
        <f t="shared" si="22"/>
        <v>21060</v>
      </c>
      <c r="L37" s="194">
        <f t="shared" si="22"/>
        <v>21060</v>
      </c>
      <c r="M37" s="199">
        <f t="shared" si="22"/>
        <v>21060</v>
      </c>
    </row>
    <row r="38" spans="1:22" ht="14.15" customHeight="1">
      <c r="A38" s="183" t="s">
        <v>42</v>
      </c>
      <c r="B38" s="114"/>
      <c r="C38" s="404">
        <v>1</v>
      </c>
      <c r="D38" s="117">
        <f>C38</f>
        <v>1</v>
      </c>
      <c r="E38" s="132">
        <v>1</v>
      </c>
      <c r="F38" s="132">
        <v>0.5</v>
      </c>
      <c r="G38" s="278">
        <v>0.15</v>
      </c>
      <c r="H38" s="117">
        <f t="shared" ref="H38:M38" si="23">G38</f>
        <v>0.15</v>
      </c>
      <c r="I38" s="229">
        <f t="shared" si="23"/>
        <v>0.15</v>
      </c>
      <c r="J38" s="117">
        <f t="shared" si="23"/>
        <v>0.15</v>
      </c>
      <c r="K38" s="117">
        <f t="shared" si="23"/>
        <v>0.15</v>
      </c>
      <c r="L38" s="117">
        <f t="shared" si="23"/>
        <v>0.15</v>
      </c>
      <c r="M38" s="229">
        <f t="shared" si="23"/>
        <v>0.15</v>
      </c>
    </row>
    <row r="39" spans="1:22" ht="18" customHeight="1" thickBot="1">
      <c r="A39" s="144" t="s">
        <v>106</v>
      </c>
      <c r="B39" s="69"/>
      <c r="C39" s="302">
        <f>C30</f>
        <v>55</v>
      </c>
      <c r="D39" s="299">
        <f t="shared" ref="D39:M39" si="24">$C$39*(1+$B$35)^D$4</f>
        <v>56.1</v>
      </c>
      <c r="E39" s="299">
        <f t="shared" si="24"/>
        <v>57.222000000000001</v>
      </c>
      <c r="F39" s="299">
        <f t="shared" si="24"/>
        <v>58.366439999999997</v>
      </c>
      <c r="G39" s="312">
        <f t="shared" si="24"/>
        <v>59.533768799999997</v>
      </c>
      <c r="H39" s="299">
        <f t="shared" si="24"/>
        <v>60.724444175999999</v>
      </c>
      <c r="I39" s="300">
        <f t="shared" si="24"/>
        <v>61.938933059520004</v>
      </c>
      <c r="J39" s="299">
        <f t="shared" si="24"/>
        <v>63.177711720710391</v>
      </c>
      <c r="K39" s="299">
        <f t="shared" si="24"/>
        <v>64.441265955124607</v>
      </c>
      <c r="L39" s="299">
        <f t="shared" si="24"/>
        <v>65.730091274227092</v>
      </c>
      <c r="M39" s="300">
        <f t="shared" si="24"/>
        <v>67.044693099711637</v>
      </c>
      <c r="N39" s="414"/>
      <c r="O39" s="414"/>
      <c r="P39" s="414"/>
      <c r="Q39" s="414"/>
      <c r="R39" s="414"/>
      <c r="S39" s="414"/>
      <c r="T39" s="414"/>
      <c r="U39" s="414"/>
      <c r="V39" s="414"/>
    </row>
    <row r="40" spans="1:22" s="388" customFormat="1" hidden="1" outlineLevel="1">
      <c r="A40" s="344" t="s">
        <v>15</v>
      </c>
      <c r="B40" s="213"/>
      <c r="C40" s="256">
        <f>C37*(1-C38)*C39</f>
        <v>0</v>
      </c>
      <c r="D40" s="258">
        <f t="shared" ref="D40:M40" si="25">D37*(1-D38)*D39</f>
        <v>0</v>
      </c>
      <c r="E40" s="258">
        <f t="shared" si="25"/>
        <v>0</v>
      </c>
      <c r="F40" s="258">
        <f t="shared" si="25"/>
        <v>614598.61320000002</v>
      </c>
      <c r="G40" s="257">
        <f t="shared" si="25"/>
        <v>1065713.9952888</v>
      </c>
      <c r="H40" s="258">
        <f t="shared" si="25"/>
        <v>1087028.275194576</v>
      </c>
      <c r="I40" s="259">
        <f t="shared" si="25"/>
        <v>1108768.8406984676</v>
      </c>
      <c r="J40" s="258">
        <f t="shared" si="25"/>
        <v>1130944.2175124367</v>
      </c>
      <c r="K40" s="258">
        <f t="shared" si="25"/>
        <v>1153563.1018626855</v>
      </c>
      <c r="L40" s="258">
        <f t="shared" si="25"/>
        <v>1176634.3638999392</v>
      </c>
      <c r="M40" s="259">
        <f t="shared" si="25"/>
        <v>1200167.051177938</v>
      </c>
      <c r="N40" s="460"/>
      <c r="O40" s="460"/>
      <c r="P40" s="460"/>
      <c r="Q40" s="460"/>
      <c r="R40" s="460"/>
      <c r="S40" s="460"/>
      <c r="T40" s="460"/>
      <c r="U40" s="460"/>
      <c r="V40" s="460"/>
    </row>
    <row r="41" spans="1:22" s="388" customFormat="1" hidden="1" outlineLevel="1">
      <c r="A41" s="183" t="s">
        <v>157</v>
      </c>
      <c r="B41" s="66"/>
      <c r="C41" s="153">
        <f t="shared" ref="C41:M41" si="26">C37*(1-C38)*($D$154*(1+$B35)^C$4)</f>
        <v>0</v>
      </c>
      <c r="D41" s="249">
        <f t="shared" si="26"/>
        <v>0</v>
      </c>
      <c r="E41" s="249">
        <f t="shared" si="26"/>
        <v>0</v>
      </c>
      <c r="F41" s="249">
        <f t="shared" si="26"/>
        <v>134094.24288000001</v>
      </c>
      <c r="G41" s="260">
        <f t="shared" si="26"/>
        <v>232519.41715392002</v>
      </c>
      <c r="H41" s="249">
        <f t="shared" si="26"/>
        <v>237169.80549699839</v>
      </c>
      <c r="I41" s="261">
        <f t="shared" si="26"/>
        <v>241913.20160693835</v>
      </c>
      <c r="J41" s="249">
        <f t="shared" si="26"/>
        <v>246751.4656390771</v>
      </c>
      <c r="K41" s="249">
        <f t="shared" si="26"/>
        <v>251686.49495185868</v>
      </c>
      <c r="L41" s="249">
        <f t="shared" si="26"/>
        <v>256720.22485089584</v>
      </c>
      <c r="M41" s="261">
        <f t="shared" si="26"/>
        <v>261854.62934791375</v>
      </c>
      <c r="N41" s="460"/>
      <c r="O41" s="460"/>
      <c r="P41" s="460"/>
      <c r="Q41" s="460"/>
      <c r="R41" s="460"/>
      <c r="S41" s="460"/>
      <c r="T41" s="460"/>
      <c r="U41" s="460"/>
      <c r="V41" s="460"/>
    </row>
    <row r="42" spans="1:22" s="388" customFormat="1" ht="13" hidden="1" outlineLevel="1" thickBot="1">
      <c r="A42" s="144" t="s">
        <v>158</v>
      </c>
      <c r="B42" s="69"/>
      <c r="C42" s="461">
        <f t="shared" ref="C42:M42" si="27">C37*($D$154*(1+$B35)^C$4)</f>
        <v>0</v>
      </c>
      <c r="D42" s="456">
        <f t="shared" si="27"/>
        <v>0</v>
      </c>
      <c r="E42" s="456">
        <f t="shared" si="27"/>
        <v>262929.88799999998</v>
      </c>
      <c r="F42" s="456">
        <f t="shared" si="27"/>
        <v>268188.48576000001</v>
      </c>
      <c r="G42" s="455">
        <f t="shared" si="27"/>
        <v>273552.25547520001</v>
      </c>
      <c r="H42" s="456">
        <f t="shared" si="27"/>
        <v>279023.30058470403</v>
      </c>
      <c r="I42" s="457">
        <f t="shared" si="27"/>
        <v>284603.76659639808</v>
      </c>
      <c r="J42" s="456">
        <f t="shared" si="27"/>
        <v>290295.841928326</v>
      </c>
      <c r="K42" s="456">
        <f t="shared" si="27"/>
        <v>296101.75876689254</v>
      </c>
      <c r="L42" s="456">
        <f t="shared" si="27"/>
        <v>302023.7939422304</v>
      </c>
      <c r="M42" s="457">
        <f t="shared" si="27"/>
        <v>308064.26982107502</v>
      </c>
      <c r="N42" s="460"/>
      <c r="O42" s="460"/>
      <c r="P42" s="460"/>
      <c r="Q42" s="460"/>
      <c r="R42" s="460"/>
      <c r="S42" s="460"/>
      <c r="T42" s="460"/>
      <c r="U42" s="460"/>
      <c r="V42" s="460"/>
    </row>
    <row r="43" spans="1:22" ht="14.15" customHeight="1" collapsed="1">
      <c r="A43" s="1047" t="s">
        <v>517</v>
      </c>
      <c r="B43" s="66"/>
      <c r="C43" s="141"/>
      <c r="D43" s="76"/>
      <c r="E43" s="76"/>
      <c r="F43" s="76"/>
      <c r="G43" s="65"/>
      <c r="H43" s="76"/>
      <c r="I43" s="121"/>
      <c r="J43" s="76"/>
      <c r="K43" s="76"/>
      <c r="L43" s="76"/>
      <c r="M43" s="121"/>
    </row>
    <row r="44" spans="1:22" ht="14.15" customHeight="1">
      <c r="A44" s="183" t="s">
        <v>9</v>
      </c>
      <c r="B44" s="132">
        <v>0.02</v>
      </c>
      <c r="C44" s="140"/>
      <c r="D44" s="115"/>
      <c r="E44" s="115"/>
      <c r="F44" s="115"/>
      <c r="G44" s="143"/>
      <c r="H44" s="115"/>
      <c r="I44" s="120"/>
      <c r="J44" s="115"/>
      <c r="K44" s="115"/>
      <c r="L44" s="115"/>
      <c r="M44" s="120"/>
    </row>
    <row r="45" spans="1:22" ht="14.15" customHeight="1">
      <c r="A45" s="183" t="s">
        <v>105</v>
      </c>
      <c r="B45" s="66"/>
      <c r="C45" s="402">
        <v>0</v>
      </c>
      <c r="D45" s="194">
        <f>C45</f>
        <v>0</v>
      </c>
      <c r="E45" s="194">
        <f>D45</f>
        <v>0</v>
      </c>
      <c r="F45" s="194">
        <f>C144</f>
        <v>7000</v>
      </c>
      <c r="G45" s="221">
        <f t="shared" ref="G45:M45" si="28">F45</f>
        <v>7000</v>
      </c>
      <c r="H45" s="194">
        <f t="shared" si="28"/>
        <v>7000</v>
      </c>
      <c r="I45" s="199">
        <f t="shared" si="28"/>
        <v>7000</v>
      </c>
      <c r="J45" s="194">
        <f t="shared" si="28"/>
        <v>7000</v>
      </c>
      <c r="K45" s="194">
        <f t="shared" si="28"/>
        <v>7000</v>
      </c>
      <c r="L45" s="194">
        <f t="shared" si="28"/>
        <v>7000</v>
      </c>
      <c r="M45" s="199">
        <f t="shared" si="28"/>
        <v>7000</v>
      </c>
    </row>
    <row r="46" spans="1:22" ht="14.15" customHeight="1">
      <c r="A46" s="183" t="s">
        <v>37</v>
      </c>
      <c r="B46" s="132">
        <v>0.9</v>
      </c>
      <c r="C46" s="403">
        <f>C45*$B$46</f>
        <v>0</v>
      </c>
      <c r="D46" s="194">
        <f t="shared" ref="D46:M46" si="29">D45*$B$46</f>
        <v>0</v>
      </c>
      <c r="E46" s="194">
        <f t="shared" si="29"/>
        <v>0</v>
      </c>
      <c r="F46" s="194">
        <f t="shared" si="29"/>
        <v>6300</v>
      </c>
      <c r="G46" s="221">
        <f t="shared" si="29"/>
        <v>6300</v>
      </c>
      <c r="H46" s="194">
        <f t="shared" si="29"/>
        <v>6300</v>
      </c>
      <c r="I46" s="199">
        <f t="shared" si="29"/>
        <v>6300</v>
      </c>
      <c r="J46" s="194">
        <f t="shared" si="29"/>
        <v>6300</v>
      </c>
      <c r="K46" s="194">
        <f t="shared" si="29"/>
        <v>6300</v>
      </c>
      <c r="L46" s="194">
        <f t="shared" si="29"/>
        <v>6300</v>
      </c>
      <c r="M46" s="199">
        <f t="shared" si="29"/>
        <v>6300</v>
      </c>
    </row>
    <row r="47" spans="1:22" ht="14.15" customHeight="1">
      <c r="A47" s="183" t="s">
        <v>42</v>
      </c>
      <c r="B47" s="114"/>
      <c r="C47" s="404">
        <v>1</v>
      </c>
      <c r="D47" s="117">
        <f>C47</f>
        <v>1</v>
      </c>
      <c r="E47" s="117">
        <f>D47</f>
        <v>1</v>
      </c>
      <c r="F47" s="132">
        <v>1</v>
      </c>
      <c r="G47" s="228">
        <v>0</v>
      </c>
      <c r="H47" s="117">
        <f t="shared" ref="H47:M47" si="30">G47</f>
        <v>0</v>
      </c>
      <c r="I47" s="229">
        <f t="shared" si="30"/>
        <v>0</v>
      </c>
      <c r="J47" s="117">
        <f t="shared" si="30"/>
        <v>0</v>
      </c>
      <c r="K47" s="117">
        <f t="shared" si="30"/>
        <v>0</v>
      </c>
      <c r="L47" s="117">
        <f t="shared" si="30"/>
        <v>0</v>
      </c>
      <c r="M47" s="229">
        <f t="shared" si="30"/>
        <v>0</v>
      </c>
    </row>
    <row r="48" spans="1:22" ht="13" thickBot="1">
      <c r="A48" s="144" t="s">
        <v>106</v>
      </c>
      <c r="B48" s="69"/>
      <c r="C48" s="302">
        <f>C39</f>
        <v>55</v>
      </c>
      <c r="D48" s="299">
        <f t="shared" ref="D48:M48" si="31">$C$48*(1+$B$44)^D$4</f>
        <v>56.1</v>
      </c>
      <c r="E48" s="299">
        <f t="shared" si="31"/>
        <v>57.222000000000001</v>
      </c>
      <c r="F48" s="299">
        <f t="shared" si="31"/>
        <v>58.366439999999997</v>
      </c>
      <c r="G48" s="312">
        <f t="shared" si="31"/>
        <v>59.533768799999997</v>
      </c>
      <c r="H48" s="299">
        <f t="shared" si="31"/>
        <v>60.724444175999999</v>
      </c>
      <c r="I48" s="300">
        <f t="shared" si="31"/>
        <v>61.938933059520004</v>
      </c>
      <c r="J48" s="299">
        <f t="shared" si="31"/>
        <v>63.177711720710391</v>
      </c>
      <c r="K48" s="299">
        <f t="shared" si="31"/>
        <v>64.441265955124607</v>
      </c>
      <c r="L48" s="299">
        <f t="shared" si="31"/>
        <v>65.730091274227092</v>
      </c>
      <c r="M48" s="300">
        <f t="shared" si="31"/>
        <v>67.044693099711637</v>
      </c>
      <c r="N48" s="414"/>
      <c r="O48" s="414"/>
      <c r="P48" s="414"/>
      <c r="Q48" s="414"/>
      <c r="R48" s="414"/>
      <c r="S48" s="414"/>
      <c r="T48" s="414"/>
      <c r="U48" s="414"/>
      <c r="V48" s="414"/>
    </row>
    <row r="49" spans="1:22" s="388" customFormat="1" hidden="1" outlineLevel="1">
      <c r="A49" s="344" t="s">
        <v>15</v>
      </c>
      <c r="B49" s="213"/>
      <c r="C49" s="256">
        <f t="shared" ref="C49:M49" si="32">C46*(1-C47)*C48</f>
        <v>0</v>
      </c>
      <c r="D49" s="258">
        <f t="shared" si="32"/>
        <v>0</v>
      </c>
      <c r="E49" s="258">
        <f t="shared" si="32"/>
        <v>0</v>
      </c>
      <c r="F49" s="258">
        <f t="shared" si="32"/>
        <v>0</v>
      </c>
      <c r="G49" s="257">
        <f t="shared" si="32"/>
        <v>375062.74343999999</v>
      </c>
      <c r="H49" s="258">
        <f t="shared" si="32"/>
        <v>382563.99830879999</v>
      </c>
      <c r="I49" s="259">
        <f t="shared" si="32"/>
        <v>390215.27827497601</v>
      </c>
      <c r="J49" s="258">
        <f t="shared" si="32"/>
        <v>398019.58384047548</v>
      </c>
      <c r="K49" s="258">
        <f t="shared" si="32"/>
        <v>405979.975517285</v>
      </c>
      <c r="L49" s="258">
        <f t="shared" si="32"/>
        <v>414099.57502763066</v>
      </c>
      <c r="M49" s="259">
        <f t="shared" si="32"/>
        <v>422381.56652818329</v>
      </c>
      <c r="N49" s="460"/>
      <c r="O49" s="460"/>
      <c r="P49" s="460"/>
      <c r="Q49" s="460"/>
      <c r="R49" s="460"/>
      <c r="S49" s="460"/>
      <c r="T49" s="460"/>
      <c r="U49" s="460"/>
      <c r="V49" s="460"/>
    </row>
    <row r="50" spans="1:22" s="388" customFormat="1" hidden="1" outlineLevel="1">
      <c r="A50" s="183" t="s">
        <v>157</v>
      </c>
      <c r="B50" s="66"/>
      <c r="C50" s="153">
        <f t="shared" ref="C50:M50" si="33">C46*(1-C47)*($D$154*(1+$B44)^C$4)</f>
        <v>0</v>
      </c>
      <c r="D50" s="249">
        <f t="shared" si="33"/>
        <v>0</v>
      </c>
      <c r="E50" s="249">
        <f t="shared" si="33"/>
        <v>0</v>
      </c>
      <c r="F50" s="249">
        <f t="shared" si="33"/>
        <v>0</v>
      </c>
      <c r="G50" s="260">
        <f t="shared" si="33"/>
        <v>81831.871295999998</v>
      </c>
      <c r="H50" s="249">
        <f t="shared" si="33"/>
        <v>83468.508721920007</v>
      </c>
      <c r="I50" s="261">
        <f t="shared" si="33"/>
        <v>85137.878896358394</v>
      </c>
      <c r="J50" s="249">
        <f t="shared" si="33"/>
        <v>86840.636474285551</v>
      </c>
      <c r="K50" s="249">
        <f t="shared" si="33"/>
        <v>88577.449203771277</v>
      </c>
      <c r="L50" s="249">
        <f t="shared" si="33"/>
        <v>90348.998187846693</v>
      </c>
      <c r="M50" s="261">
        <f t="shared" si="33"/>
        <v>92155.978151603631</v>
      </c>
      <c r="N50" s="460"/>
      <c r="O50" s="460"/>
      <c r="P50" s="460"/>
      <c r="Q50" s="460"/>
      <c r="R50" s="460"/>
      <c r="S50" s="460"/>
      <c r="T50" s="460"/>
      <c r="U50" s="460"/>
      <c r="V50" s="460"/>
    </row>
    <row r="51" spans="1:22" s="388" customFormat="1" ht="13" hidden="1" outlineLevel="1" thickBot="1">
      <c r="A51" s="144" t="s">
        <v>158</v>
      </c>
      <c r="B51" s="69"/>
      <c r="C51" s="461">
        <f t="shared" ref="C51:M51" si="34">C46*($D$154*(1+$B44)^C$4)</f>
        <v>0</v>
      </c>
      <c r="D51" s="456">
        <f t="shared" si="34"/>
        <v>0</v>
      </c>
      <c r="E51" s="456">
        <f t="shared" si="34"/>
        <v>0</v>
      </c>
      <c r="F51" s="456">
        <f t="shared" si="34"/>
        <v>80227.324800000002</v>
      </c>
      <c r="G51" s="455">
        <f t="shared" si="34"/>
        <v>81831.871295999998</v>
      </c>
      <c r="H51" s="456">
        <f t="shared" si="34"/>
        <v>83468.508721920007</v>
      </c>
      <c r="I51" s="457">
        <f t="shared" si="34"/>
        <v>85137.878896358394</v>
      </c>
      <c r="J51" s="456">
        <f t="shared" si="34"/>
        <v>86840.636474285551</v>
      </c>
      <c r="K51" s="456">
        <f t="shared" si="34"/>
        <v>88577.449203771277</v>
      </c>
      <c r="L51" s="456">
        <f t="shared" si="34"/>
        <v>90348.998187846693</v>
      </c>
      <c r="M51" s="457">
        <f t="shared" si="34"/>
        <v>92155.978151603631</v>
      </c>
      <c r="N51" s="460"/>
      <c r="O51" s="460"/>
      <c r="P51" s="460"/>
      <c r="Q51" s="460"/>
      <c r="R51" s="460"/>
      <c r="S51" s="460"/>
      <c r="T51" s="460"/>
      <c r="U51" s="460"/>
      <c r="V51" s="460"/>
    </row>
    <row r="52" spans="1:22" ht="14.15" customHeight="1" collapsed="1">
      <c r="A52" s="1047" t="s">
        <v>518</v>
      </c>
      <c r="B52" s="66"/>
      <c r="C52" s="141"/>
      <c r="D52" s="76"/>
      <c r="E52" s="76"/>
      <c r="F52" s="76"/>
      <c r="G52" s="65"/>
      <c r="H52" s="76"/>
      <c r="I52" s="121"/>
      <c r="J52" s="76"/>
      <c r="K52" s="76"/>
      <c r="L52" s="76"/>
      <c r="M52" s="121"/>
    </row>
    <row r="53" spans="1:22" ht="14.15" customHeight="1">
      <c r="A53" s="183" t="s">
        <v>9</v>
      </c>
      <c r="B53" s="132">
        <v>0.02</v>
      </c>
      <c r="C53" s="140"/>
      <c r="D53" s="115"/>
      <c r="E53" s="115"/>
      <c r="F53" s="115"/>
      <c r="G53" s="143"/>
      <c r="H53" s="115"/>
      <c r="I53" s="120"/>
      <c r="J53" s="115"/>
      <c r="K53" s="115"/>
      <c r="L53" s="115"/>
      <c r="M53" s="120"/>
    </row>
    <row r="54" spans="1:22" ht="14.15" customHeight="1">
      <c r="A54" s="183" t="s">
        <v>105</v>
      </c>
      <c r="B54" s="66"/>
      <c r="C54" s="402">
        <v>0</v>
      </c>
      <c r="D54" s="194">
        <f>C54</f>
        <v>0</v>
      </c>
      <c r="E54" s="194">
        <f>D54</f>
        <v>0</v>
      </c>
      <c r="F54" s="194">
        <f>E54</f>
        <v>0</v>
      </c>
      <c r="G54" s="221">
        <f>C145</f>
        <v>17800</v>
      </c>
      <c r="H54" s="194">
        <f t="shared" ref="H54:M54" si="35">G54</f>
        <v>17800</v>
      </c>
      <c r="I54" s="199">
        <f t="shared" si="35"/>
        <v>17800</v>
      </c>
      <c r="J54" s="194">
        <f t="shared" si="35"/>
        <v>17800</v>
      </c>
      <c r="K54" s="194">
        <f t="shared" si="35"/>
        <v>17800</v>
      </c>
      <c r="L54" s="194">
        <f t="shared" si="35"/>
        <v>17800</v>
      </c>
      <c r="M54" s="199">
        <f t="shared" si="35"/>
        <v>17800</v>
      </c>
    </row>
    <row r="55" spans="1:22" ht="14.15" customHeight="1">
      <c r="A55" s="183" t="s">
        <v>37</v>
      </c>
      <c r="B55" s="132">
        <v>0.9</v>
      </c>
      <c r="C55" s="403">
        <f>C54*$B$55</f>
        <v>0</v>
      </c>
      <c r="D55" s="194">
        <f t="shared" ref="D55:M55" si="36">D54*$B$55</f>
        <v>0</v>
      </c>
      <c r="E55" s="194">
        <f t="shared" si="36"/>
        <v>0</v>
      </c>
      <c r="F55" s="194">
        <f t="shared" ref="F55" si="37">F54*$B$55</f>
        <v>0</v>
      </c>
      <c r="G55" s="221">
        <f t="shared" si="36"/>
        <v>16020</v>
      </c>
      <c r="H55" s="194">
        <f t="shared" si="36"/>
        <v>16020</v>
      </c>
      <c r="I55" s="199">
        <f t="shared" si="36"/>
        <v>16020</v>
      </c>
      <c r="J55" s="194">
        <f t="shared" si="36"/>
        <v>16020</v>
      </c>
      <c r="K55" s="194">
        <f t="shared" si="36"/>
        <v>16020</v>
      </c>
      <c r="L55" s="194">
        <f t="shared" si="36"/>
        <v>16020</v>
      </c>
      <c r="M55" s="199">
        <f t="shared" si="36"/>
        <v>16020</v>
      </c>
    </row>
    <row r="56" spans="1:22" ht="14.15" customHeight="1">
      <c r="A56" s="183" t="s">
        <v>42</v>
      </c>
      <c r="B56" s="114"/>
      <c r="C56" s="404">
        <v>1</v>
      </c>
      <c r="D56" s="117">
        <f>C56</f>
        <v>1</v>
      </c>
      <c r="E56" s="117">
        <f>D56</f>
        <v>1</v>
      </c>
      <c r="F56" s="132">
        <v>1</v>
      </c>
      <c r="G56" s="228">
        <v>1</v>
      </c>
      <c r="H56" s="117">
        <v>0.5</v>
      </c>
      <c r="I56" s="229">
        <v>0.15</v>
      </c>
      <c r="J56" s="117">
        <f t="shared" ref="J56:M56" si="38">I56</f>
        <v>0.15</v>
      </c>
      <c r="K56" s="117">
        <f t="shared" si="38"/>
        <v>0.15</v>
      </c>
      <c r="L56" s="117">
        <f t="shared" si="38"/>
        <v>0.15</v>
      </c>
      <c r="M56" s="229">
        <f t="shared" si="38"/>
        <v>0.15</v>
      </c>
    </row>
    <row r="57" spans="1:22" ht="18" customHeight="1" thickBot="1">
      <c r="A57" s="144" t="s">
        <v>106</v>
      </c>
      <c r="B57" s="69"/>
      <c r="C57" s="302">
        <f>C48</f>
        <v>55</v>
      </c>
      <c r="D57" s="299">
        <f t="shared" ref="D57:M57" si="39">$C$57*(1+$B$53)^D$4</f>
        <v>56.1</v>
      </c>
      <c r="E57" s="299">
        <f t="shared" si="39"/>
        <v>57.222000000000001</v>
      </c>
      <c r="F57" s="299">
        <f t="shared" si="39"/>
        <v>58.366439999999997</v>
      </c>
      <c r="G57" s="312">
        <f t="shared" si="39"/>
        <v>59.533768799999997</v>
      </c>
      <c r="H57" s="299">
        <f t="shared" si="39"/>
        <v>60.724444175999999</v>
      </c>
      <c r="I57" s="300">
        <f t="shared" si="39"/>
        <v>61.938933059520004</v>
      </c>
      <c r="J57" s="299">
        <f t="shared" si="39"/>
        <v>63.177711720710391</v>
      </c>
      <c r="K57" s="299">
        <f t="shared" si="39"/>
        <v>64.441265955124607</v>
      </c>
      <c r="L57" s="299">
        <f t="shared" si="39"/>
        <v>65.730091274227092</v>
      </c>
      <c r="M57" s="300">
        <f t="shared" si="39"/>
        <v>67.044693099711637</v>
      </c>
      <c r="N57" s="414"/>
      <c r="O57" s="414"/>
      <c r="P57" s="414"/>
      <c r="Q57" s="414"/>
      <c r="R57" s="414"/>
      <c r="S57" s="414"/>
      <c r="T57" s="414"/>
      <c r="U57" s="414"/>
      <c r="V57" s="414"/>
    </row>
    <row r="58" spans="1:22" s="388" customFormat="1" hidden="1" outlineLevel="1">
      <c r="A58" s="344" t="s">
        <v>15</v>
      </c>
      <c r="B58" s="213"/>
      <c r="C58" s="256">
        <f t="shared" ref="C58:M58" si="40">C55*(1-C56)*C57</f>
        <v>0</v>
      </c>
      <c r="D58" s="258">
        <f t="shared" si="40"/>
        <v>0</v>
      </c>
      <c r="E58" s="258">
        <f t="shared" si="40"/>
        <v>0</v>
      </c>
      <c r="F58" s="258">
        <f t="shared" si="40"/>
        <v>0</v>
      </c>
      <c r="G58" s="257">
        <f t="shared" si="40"/>
        <v>0</v>
      </c>
      <c r="H58" s="258">
        <f t="shared" si="40"/>
        <v>486402.79784975998</v>
      </c>
      <c r="I58" s="259">
        <f t="shared" si="40"/>
        <v>843422.45147148392</v>
      </c>
      <c r="J58" s="258">
        <f t="shared" si="40"/>
        <v>860290.90050091338</v>
      </c>
      <c r="K58" s="258">
        <f t="shared" si="40"/>
        <v>877496.71851093182</v>
      </c>
      <c r="L58" s="258">
        <f t="shared" si="40"/>
        <v>895046.65288115037</v>
      </c>
      <c r="M58" s="259">
        <f t="shared" si="40"/>
        <v>912947.58593877335</v>
      </c>
      <c r="N58" s="460"/>
      <c r="O58" s="460"/>
      <c r="P58" s="460"/>
      <c r="Q58" s="460"/>
      <c r="R58" s="460"/>
      <c r="S58" s="460"/>
      <c r="T58" s="460"/>
      <c r="U58" s="460"/>
      <c r="V58" s="460"/>
    </row>
    <row r="59" spans="1:22" s="388" customFormat="1" hidden="1" outlineLevel="1">
      <c r="A59" s="183" t="s">
        <v>157</v>
      </c>
      <c r="B59" s="66"/>
      <c r="C59" s="153">
        <f t="shared" ref="C59:M59" si="41">C55*(1-C56)*($D$154*(1+$B53)^C$4)</f>
        <v>0</v>
      </c>
      <c r="D59" s="249">
        <f t="shared" si="41"/>
        <v>0</v>
      </c>
      <c r="E59" s="249">
        <f t="shared" si="41"/>
        <v>0</v>
      </c>
      <c r="F59" s="249">
        <f t="shared" si="41"/>
        <v>0</v>
      </c>
      <c r="G59" s="260">
        <f t="shared" si="41"/>
        <v>0</v>
      </c>
      <c r="H59" s="249">
        <f t="shared" si="41"/>
        <v>106124.246803584</v>
      </c>
      <c r="I59" s="261">
        <f t="shared" si="41"/>
        <v>184019.44395741465</v>
      </c>
      <c r="J59" s="249">
        <f t="shared" si="41"/>
        <v>187699.83283656291</v>
      </c>
      <c r="K59" s="249">
        <f t="shared" si="41"/>
        <v>191453.82949329421</v>
      </c>
      <c r="L59" s="249">
        <f t="shared" si="41"/>
        <v>195282.90608316008</v>
      </c>
      <c r="M59" s="261">
        <f t="shared" si="41"/>
        <v>199188.56420482328</v>
      </c>
      <c r="N59" s="460"/>
      <c r="O59" s="460"/>
      <c r="P59" s="460"/>
      <c r="Q59" s="460"/>
      <c r="R59" s="460"/>
      <c r="S59" s="460"/>
      <c r="T59" s="460"/>
      <c r="U59" s="460"/>
      <c r="V59" s="460"/>
    </row>
    <row r="60" spans="1:22" s="388" customFormat="1" ht="13" hidden="1" outlineLevel="1" thickBot="1">
      <c r="A60" s="144" t="s">
        <v>158</v>
      </c>
      <c r="B60" s="69"/>
      <c r="C60" s="461">
        <f t="shared" ref="C60:M60" si="42">C55*($D$154*(1+$B53)^C$4)</f>
        <v>0</v>
      </c>
      <c r="D60" s="456">
        <f t="shared" si="42"/>
        <v>0</v>
      </c>
      <c r="E60" s="456">
        <f t="shared" si="42"/>
        <v>0</v>
      </c>
      <c r="F60" s="456">
        <f t="shared" si="42"/>
        <v>0</v>
      </c>
      <c r="G60" s="455">
        <f t="shared" si="42"/>
        <v>208086.75843840002</v>
      </c>
      <c r="H60" s="456">
        <f t="shared" si="42"/>
        <v>212248.493607168</v>
      </c>
      <c r="I60" s="457">
        <f t="shared" si="42"/>
        <v>216493.46347931135</v>
      </c>
      <c r="J60" s="456">
        <f t="shared" si="42"/>
        <v>220823.33274889755</v>
      </c>
      <c r="K60" s="456">
        <f t="shared" si="42"/>
        <v>225239.79940387554</v>
      </c>
      <c r="L60" s="456">
        <f t="shared" si="42"/>
        <v>229744.59539195304</v>
      </c>
      <c r="M60" s="457">
        <f t="shared" si="42"/>
        <v>234339.48729979212</v>
      </c>
      <c r="N60" s="460"/>
      <c r="O60" s="460"/>
      <c r="P60" s="460"/>
      <c r="Q60" s="460"/>
      <c r="R60" s="460"/>
      <c r="S60" s="460"/>
      <c r="T60" s="460"/>
      <c r="U60" s="460"/>
      <c r="V60" s="460"/>
    </row>
    <row r="61" spans="1:22" ht="14.15" customHeight="1" collapsed="1">
      <c r="A61" s="1047" t="s">
        <v>519</v>
      </c>
      <c r="B61" s="66"/>
      <c r="C61" s="141"/>
      <c r="D61" s="76"/>
      <c r="E61" s="76"/>
      <c r="F61" s="76"/>
      <c r="G61" s="65"/>
      <c r="H61" s="76"/>
      <c r="I61" s="121"/>
      <c r="J61" s="76"/>
      <c r="K61" s="76"/>
      <c r="L61" s="76"/>
      <c r="M61" s="121"/>
    </row>
    <row r="62" spans="1:22" ht="14.15" customHeight="1">
      <c r="A62" s="183" t="s">
        <v>9</v>
      </c>
      <c r="B62" s="132">
        <v>0.02</v>
      </c>
      <c r="C62" s="140"/>
      <c r="D62" s="115"/>
      <c r="E62" s="115"/>
      <c r="F62" s="115"/>
      <c r="G62" s="143"/>
      <c r="H62" s="115"/>
      <c r="I62" s="120"/>
      <c r="J62" s="115"/>
      <c r="K62" s="115"/>
      <c r="L62" s="115"/>
      <c r="M62" s="120"/>
    </row>
    <row r="63" spans="1:22" ht="14.15" customHeight="1">
      <c r="A63" s="183" t="s">
        <v>105</v>
      </c>
      <c r="B63" s="66"/>
      <c r="C63" s="402">
        <v>0</v>
      </c>
      <c r="D63" s="194">
        <f>C63</f>
        <v>0</v>
      </c>
      <c r="E63" s="194">
        <f t="shared" ref="E63:F63" si="43">D63</f>
        <v>0</v>
      </c>
      <c r="F63" s="194">
        <f t="shared" si="43"/>
        <v>0</v>
      </c>
      <c r="G63" s="221">
        <f>C146</f>
        <v>10000</v>
      </c>
      <c r="H63" s="194">
        <f t="shared" ref="H63:M63" si="44">G63</f>
        <v>10000</v>
      </c>
      <c r="I63" s="199">
        <f t="shared" si="44"/>
        <v>10000</v>
      </c>
      <c r="J63" s="194">
        <f t="shared" si="44"/>
        <v>10000</v>
      </c>
      <c r="K63" s="194">
        <f t="shared" si="44"/>
        <v>10000</v>
      </c>
      <c r="L63" s="194">
        <f t="shared" si="44"/>
        <v>10000</v>
      </c>
      <c r="M63" s="199">
        <f t="shared" si="44"/>
        <v>10000</v>
      </c>
    </row>
    <row r="64" spans="1:22" ht="14.15" customHeight="1">
      <c r="A64" s="183" t="s">
        <v>37</v>
      </c>
      <c r="B64" s="132">
        <v>0.9</v>
      </c>
      <c r="C64" s="403">
        <f>C63*$B$64</f>
        <v>0</v>
      </c>
      <c r="D64" s="194">
        <f t="shared" ref="D64:M64" si="45">D63*$B$64</f>
        <v>0</v>
      </c>
      <c r="E64" s="194">
        <f t="shared" ref="E64:F64" si="46">E63*$B$64</f>
        <v>0</v>
      </c>
      <c r="F64" s="194">
        <f t="shared" si="46"/>
        <v>0</v>
      </c>
      <c r="G64" s="221">
        <f t="shared" si="45"/>
        <v>9000</v>
      </c>
      <c r="H64" s="194">
        <f t="shared" si="45"/>
        <v>9000</v>
      </c>
      <c r="I64" s="199">
        <f t="shared" si="45"/>
        <v>9000</v>
      </c>
      <c r="J64" s="194">
        <f t="shared" si="45"/>
        <v>9000</v>
      </c>
      <c r="K64" s="194">
        <f t="shared" si="45"/>
        <v>9000</v>
      </c>
      <c r="L64" s="194">
        <f t="shared" si="45"/>
        <v>9000</v>
      </c>
      <c r="M64" s="199">
        <f t="shared" si="45"/>
        <v>9000</v>
      </c>
    </row>
    <row r="65" spans="1:22" ht="14.15" customHeight="1">
      <c r="A65" s="183" t="s">
        <v>42</v>
      </c>
      <c r="B65" s="114"/>
      <c r="C65" s="404">
        <v>1</v>
      </c>
      <c r="D65" s="117">
        <f>C65</f>
        <v>1</v>
      </c>
      <c r="E65" s="117">
        <f>D65</f>
        <v>1</v>
      </c>
      <c r="F65" s="132">
        <v>1</v>
      </c>
      <c r="G65" s="228">
        <v>1</v>
      </c>
      <c r="H65" s="117">
        <v>0.5</v>
      </c>
      <c r="I65" s="229">
        <v>0.15</v>
      </c>
      <c r="J65" s="117">
        <f t="shared" ref="J65:M65" si="47">I65</f>
        <v>0.15</v>
      </c>
      <c r="K65" s="117">
        <f t="shared" si="47"/>
        <v>0.15</v>
      </c>
      <c r="L65" s="117">
        <f t="shared" si="47"/>
        <v>0.15</v>
      </c>
      <c r="M65" s="229">
        <f t="shared" si="47"/>
        <v>0.15</v>
      </c>
    </row>
    <row r="66" spans="1:22" ht="13" thickBot="1">
      <c r="A66" s="144" t="s">
        <v>106</v>
      </c>
      <c r="B66" s="69"/>
      <c r="C66" s="302">
        <f>C57</f>
        <v>55</v>
      </c>
      <c r="D66" s="299">
        <f t="shared" ref="D66:M66" si="48">$C$66*(1+$B$62)^D$4</f>
        <v>56.1</v>
      </c>
      <c r="E66" s="299">
        <f t="shared" si="48"/>
        <v>57.222000000000001</v>
      </c>
      <c r="F66" s="299">
        <f t="shared" si="48"/>
        <v>58.366439999999997</v>
      </c>
      <c r="G66" s="312">
        <f t="shared" si="48"/>
        <v>59.533768799999997</v>
      </c>
      <c r="H66" s="299">
        <f t="shared" si="48"/>
        <v>60.724444175999999</v>
      </c>
      <c r="I66" s="300">
        <f t="shared" si="48"/>
        <v>61.938933059520004</v>
      </c>
      <c r="J66" s="299">
        <f t="shared" si="48"/>
        <v>63.177711720710391</v>
      </c>
      <c r="K66" s="299">
        <f t="shared" si="48"/>
        <v>64.441265955124607</v>
      </c>
      <c r="L66" s="299">
        <f t="shared" si="48"/>
        <v>65.730091274227092</v>
      </c>
      <c r="M66" s="300">
        <f t="shared" si="48"/>
        <v>67.044693099711637</v>
      </c>
      <c r="N66" s="414"/>
      <c r="O66" s="414"/>
      <c r="P66" s="414"/>
      <c r="Q66" s="414"/>
      <c r="R66" s="414"/>
      <c r="S66" s="414"/>
      <c r="T66" s="414"/>
      <c r="U66" s="414"/>
      <c r="V66" s="414"/>
    </row>
    <row r="67" spans="1:22" s="388" customFormat="1" hidden="1" outlineLevel="1">
      <c r="A67" s="344" t="s">
        <v>15</v>
      </c>
      <c r="B67" s="213"/>
      <c r="C67" s="256">
        <f t="shared" ref="C67:M67" si="49">C64*(1-C65)*C66</f>
        <v>0</v>
      </c>
      <c r="D67" s="258">
        <f t="shared" si="49"/>
        <v>0</v>
      </c>
      <c r="E67" s="258">
        <f t="shared" si="49"/>
        <v>0</v>
      </c>
      <c r="F67" s="258">
        <f t="shared" si="49"/>
        <v>0</v>
      </c>
      <c r="G67" s="257">
        <f t="shared" si="49"/>
        <v>0</v>
      </c>
      <c r="H67" s="258">
        <f t="shared" si="49"/>
        <v>273259.998792</v>
      </c>
      <c r="I67" s="259">
        <f t="shared" si="49"/>
        <v>473832.83790532802</v>
      </c>
      <c r="J67" s="258">
        <f t="shared" si="49"/>
        <v>483309.49466343451</v>
      </c>
      <c r="K67" s="258">
        <f t="shared" si="49"/>
        <v>492975.68455670326</v>
      </c>
      <c r="L67" s="258">
        <f t="shared" si="49"/>
        <v>502835.19824783725</v>
      </c>
      <c r="M67" s="259">
        <f t="shared" si="49"/>
        <v>512891.902212794</v>
      </c>
      <c r="N67" s="460"/>
      <c r="O67" s="460"/>
      <c r="P67" s="460"/>
      <c r="Q67" s="460"/>
      <c r="R67" s="460"/>
      <c r="S67" s="460"/>
      <c r="T67" s="460"/>
      <c r="U67" s="460"/>
      <c r="V67" s="460"/>
    </row>
    <row r="68" spans="1:22" s="388" customFormat="1" hidden="1" outlineLevel="1">
      <c r="A68" s="183" t="s">
        <v>157</v>
      </c>
      <c r="B68" s="66"/>
      <c r="C68" s="153">
        <f t="shared" ref="C68:M68" si="50">C64*(1-C65)*($D$154*(1+$B62)^C$4)</f>
        <v>0</v>
      </c>
      <c r="D68" s="249">
        <f t="shared" si="50"/>
        <v>0</v>
      </c>
      <c r="E68" s="249">
        <f t="shared" si="50"/>
        <v>0</v>
      </c>
      <c r="F68" s="249">
        <f t="shared" si="50"/>
        <v>0</v>
      </c>
      <c r="G68" s="260">
        <f t="shared" si="50"/>
        <v>0</v>
      </c>
      <c r="H68" s="249">
        <f t="shared" si="50"/>
        <v>59620.363372799999</v>
      </c>
      <c r="I68" s="261">
        <f t="shared" si="50"/>
        <v>103381.7100884352</v>
      </c>
      <c r="J68" s="249">
        <f t="shared" si="50"/>
        <v>105449.34429020388</v>
      </c>
      <c r="K68" s="249">
        <f t="shared" si="50"/>
        <v>107558.33117600798</v>
      </c>
      <c r="L68" s="249">
        <f t="shared" si="50"/>
        <v>109709.49779952814</v>
      </c>
      <c r="M68" s="261">
        <f t="shared" si="50"/>
        <v>111903.68775551871</v>
      </c>
      <c r="N68" s="460"/>
      <c r="O68" s="460"/>
      <c r="P68" s="460"/>
      <c r="Q68" s="460"/>
      <c r="R68" s="460"/>
      <c r="S68" s="460"/>
      <c r="T68" s="460"/>
      <c r="U68" s="460"/>
      <c r="V68" s="460"/>
    </row>
    <row r="69" spans="1:22" s="388" customFormat="1" ht="13" hidden="1" outlineLevel="1" thickBot="1">
      <c r="A69" s="144" t="s">
        <v>158</v>
      </c>
      <c r="B69" s="69"/>
      <c r="C69" s="461">
        <f t="shared" ref="C69:M69" si="51">C64*($D$154*(1+$B62)^C$4)</f>
        <v>0</v>
      </c>
      <c r="D69" s="456">
        <f t="shared" si="51"/>
        <v>0</v>
      </c>
      <c r="E69" s="456">
        <f t="shared" si="51"/>
        <v>0</v>
      </c>
      <c r="F69" s="456">
        <f t="shared" si="51"/>
        <v>0</v>
      </c>
      <c r="G69" s="455">
        <f t="shared" si="51"/>
        <v>116902.67328</v>
      </c>
      <c r="H69" s="456">
        <f t="shared" si="51"/>
        <v>119240.7267456</v>
      </c>
      <c r="I69" s="457">
        <f t="shared" si="51"/>
        <v>121625.541280512</v>
      </c>
      <c r="J69" s="456">
        <f t="shared" si="51"/>
        <v>124058.05210612222</v>
      </c>
      <c r="K69" s="456">
        <f t="shared" si="51"/>
        <v>126539.21314824469</v>
      </c>
      <c r="L69" s="456">
        <f t="shared" si="51"/>
        <v>129069.99741120957</v>
      </c>
      <c r="M69" s="457">
        <f t="shared" si="51"/>
        <v>131651.39735943376</v>
      </c>
      <c r="N69" s="460"/>
      <c r="O69" s="460"/>
      <c r="P69" s="460"/>
      <c r="Q69" s="460"/>
      <c r="R69" s="460"/>
      <c r="S69" s="460"/>
      <c r="T69" s="460"/>
      <c r="U69" s="460"/>
      <c r="V69" s="460"/>
    </row>
    <row r="70" spans="1:22" ht="13.5" customHeight="1" collapsed="1">
      <c r="A70" s="1047" t="s">
        <v>521</v>
      </c>
      <c r="B70" s="66"/>
      <c r="C70" s="141"/>
      <c r="D70" s="76"/>
      <c r="E70" s="76"/>
      <c r="F70" s="76"/>
      <c r="G70" s="65"/>
      <c r="H70" s="76"/>
      <c r="I70" s="121"/>
      <c r="J70" s="76"/>
      <c r="K70" s="76"/>
      <c r="L70" s="76"/>
      <c r="M70" s="121"/>
    </row>
    <row r="71" spans="1:22" ht="13.5" customHeight="1">
      <c r="A71" s="183" t="s">
        <v>9</v>
      </c>
      <c r="B71" s="132">
        <v>0.02</v>
      </c>
      <c r="C71" s="140"/>
      <c r="D71" s="115"/>
      <c r="E71" s="115"/>
      <c r="F71" s="115"/>
      <c r="G71" s="143"/>
      <c r="H71" s="115"/>
      <c r="I71" s="120"/>
      <c r="J71" s="115"/>
      <c r="K71" s="115"/>
      <c r="L71" s="115"/>
      <c r="M71" s="120"/>
    </row>
    <row r="72" spans="1:22" ht="14.15" customHeight="1">
      <c r="A72" s="183" t="s">
        <v>105</v>
      </c>
      <c r="B72" s="66"/>
      <c r="C72" s="402">
        <v>0</v>
      </c>
      <c r="D72" s="194">
        <f>C72</f>
        <v>0</v>
      </c>
      <c r="E72" s="194">
        <f>D72</f>
        <v>0</v>
      </c>
      <c r="F72" s="194">
        <f>E72</f>
        <v>0</v>
      </c>
      <c r="G72" s="221">
        <f>C152</f>
        <v>0</v>
      </c>
      <c r="H72" s="194">
        <f>C147</f>
        <v>18200</v>
      </c>
      <c r="I72" s="199">
        <f>H72</f>
        <v>18200</v>
      </c>
      <c r="J72" s="194">
        <f>I72</f>
        <v>18200</v>
      </c>
      <c r="K72" s="194">
        <f>J72</f>
        <v>18200</v>
      </c>
      <c r="L72" s="194">
        <f>K72</f>
        <v>18200</v>
      </c>
      <c r="M72" s="199">
        <f>L72</f>
        <v>18200</v>
      </c>
    </row>
    <row r="73" spans="1:22" ht="14.15" customHeight="1">
      <c r="A73" s="183" t="s">
        <v>37</v>
      </c>
      <c r="B73" s="132">
        <v>1</v>
      </c>
      <c r="C73" s="403">
        <f>C72*$B$73</f>
        <v>0</v>
      </c>
      <c r="D73" s="194">
        <f t="shared" ref="D73:M73" si="52">D72*$B$73</f>
        <v>0</v>
      </c>
      <c r="E73" s="194">
        <f t="shared" si="52"/>
        <v>0</v>
      </c>
      <c r="F73" s="194">
        <f t="shared" si="52"/>
        <v>0</v>
      </c>
      <c r="G73" s="221">
        <f t="shared" si="52"/>
        <v>0</v>
      </c>
      <c r="H73" s="194">
        <f t="shared" si="52"/>
        <v>18200</v>
      </c>
      <c r="I73" s="199">
        <f t="shared" si="52"/>
        <v>18200</v>
      </c>
      <c r="J73" s="194">
        <f t="shared" si="52"/>
        <v>18200</v>
      </c>
      <c r="K73" s="194">
        <f t="shared" si="52"/>
        <v>18200</v>
      </c>
      <c r="L73" s="194">
        <f t="shared" si="52"/>
        <v>18200</v>
      </c>
      <c r="M73" s="199">
        <f t="shared" si="52"/>
        <v>18200</v>
      </c>
    </row>
    <row r="74" spans="1:22" ht="14.15" customHeight="1">
      <c r="A74" s="183" t="s">
        <v>42</v>
      </c>
      <c r="B74" s="114"/>
      <c r="C74" s="404">
        <v>1</v>
      </c>
      <c r="D74" s="117">
        <f>C74</f>
        <v>1</v>
      </c>
      <c r="E74" s="117">
        <f>D74</f>
        <v>1</v>
      </c>
      <c r="F74" s="117">
        <f>E74</f>
        <v>1</v>
      </c>
      <c r="G74" s="278">
        <f>F74</f>
        <v>1</v>
      </c>
      <c r="H74" s="132">
        <v>0.5</v>
      </c>
      <c r="I74" s="226">
        <v>0.13300000000000001</v>
      </c>
      <c r="J74" s="117">
        <f>I74</f>
        <v>0.13300000000000001</v>
      </c>
      <c r="K74" s="117">
        <f>J74</f>
        <v>0.13300000000000001</v>
      </c>
      <c r="L74" s="117">
        <f>K74</f>
        <v>0.13300000000000001</v>
      </c>
      <c r="M74" s="229">
        <f>L74</f>
        <v>0.13300000000000001</v>
      </c>
    </row>
    <row r="75" spans="1:22" ht="13" thickBot="1">
      <c r="A75" s="144" t="s">
        <v>106</v>
      </c>
      <c r="B75" s="69"/>
      <c r="C75" s="302">
        <f>C66</f>
        <v>55</v>
      </c>
      <c r="D75" s="299">
        <f t="shared" ref="D75:M75" si="53">$C$75*(1+$B$71)^D$4</f>
        <v>56.1</v>
      </c>
      <c r="E75" s="299">
        <f t="shared" si="53"/>
        <v>57.222000000000001</v>
      </c>
      <c r="F75" s="299">
        <f t="shared" si="53"/>
        <v>58.366439999999997</v>
      </c>
      <c r="G75" s="312">
        <f t="shared" si="53"/>
        <v>59.533768799999997</v>
      </c>
      <c r="H75" s="299">
        <f t="shared" si="53"/>
        <v>60.724444175999999</v>
      </c>
      <c r="I75" s="300">
        <f t="shared" si="53"/>
        <v>61.938933059520004</v>
      </c>
      <c r="J75" s="299">
        <f t="shared" si="53"/>
        <v>63.177711720710391</v>
      </c>
      <c r="K75" s="299">
        <f t="shared" si="53"/>
        <v>64.441265955124607</v>
      </c>
      <c r="L75" s="299">
        <f t="shared" si="53"/>
        <v>65.730091274227092</v>
      </c>
      <c r="M75" s="300">
        <f t="shared" si="53"/>
        <v>67.044693099711637</v>
      </c>
      <c r="N75" s="414"/>
      <c r="O75" s="414"/>
      <c r="P75" s="414"/>
      <c r="Q75" s="414"/>
      <c r="R75" s="414"/>
      <c r="S75" s="414"/>
      <c r="T75" s="414"/>
      <c r="U75" s="414"/>
      <c r="V75" s="414"/>
    </row>
    <row r="76" spans="1:22" s="388" customFormat="1" hidden="1" outlineLevel="1">
      <c r="A76" s="344" t="s">
        <v>15</v>
      </c>
      <c r="B76" s="213"/>
      <c r="C76" s="256">
        <f t="shared" ref="C76:M76" si="54">C73*(1-C74)*C75</f>
        <v>0</v>
      </c>
      <c r="D76" s="258">
        <f t="shared" si="54"/>
        <v>0</v>
      </c>
      <c r="E76" s="258">
        <f t="shared" si="54"/>
        <v>0</v>
      </c>
      <c r="F76" s="258">
        <f t="shared" si="54"/>
        <v>0</v>
      </c>
      <c r="G76" s="257">
        <f t="shared" si="54"/>
        <v>0</v>
      </c>
      <c r="H76" s="258">
        <f t="shared" si="54"/>
        <v>552592.44200159993</v>
      </c>
      <c r="I76" s="259">
        <f t="shared" si="54"/>
        <v>977359.20031938993</v>
      </c>
      <c r="J76" s="258">
        <f t="shared" si="54"/>
        <v>996906.38432577753</v>
      </c>
      <c r="K76" s="258">
        <f t="shared" si="54"/>
        <v>1016844.5120122932</v>
      </c>
      <c r="L76" s="258">
        <f t="shared" si="54"/>
        <v>1037181.4022525389</v>
      </c>
      <c r="M76" s="259">
        <f t="shared" si="54"/>
        <v>1057925.0302975897</v>
      </c>
      <c r="N76" s="460"/>
      <c r="O76" s="460"/>
      <c r="P76" s="460"/>
      <c r="Q76" s="460"/>
      <c r="R76" s="460"/>
      <c r="S76" s="460"/>
      <c r="T76" s="460"/>
      <c r="U76" s="460"/>
      <c r="V76" s="460"/>
    </row>
    <row r="77" spans="1:22" s="388" customFormat="1" hidden="1" outlineLevel="1">
      <c r="A77" s="183" t="s">
        <v>157</v>
      </c>
      <c r="B77" s="66"/>
      <c r="C77" s="153">
        <f t="shared" ref="C77:M77" si="55">C73*(1-C74)*($D$154*(1+$B71)^C$4)</f>
        <v>0</v>
      </c>
      <c r="D77" s="249">
        <f t="shared" si="55"/>
        <v>0</v>
      </c>
      <c r="E77" s="249">
        <f t="shared" si="55"/>
        <v>0</v>
      </c>
      <c r="F77" s="249">
        <f t="shared" si="55"/>
        <v>0</v>
      </c>
      <c r="G77" s="260">
        <f t="shared" si="55"/>
        <v>0</v>
      </c>
      <c r="H77" s="249">
        <f t="shared" si="55"/>
        <v>120565.62370944</v>
      </c>
      <c r="I77" s="261">
        <f t="shared" si="55"/>
        <v>213242.00734241234</v>
      </c>
      <c r="J77" s="249">
        <f t="shared" si="55"/>
        <v>217506.84748926054</v>
      </c>
      <c r="K77" s="249">
        <f t="shared" si="55"/>
        <v>221856.9844390458</v>
      </c>
      <c r="L77" s="249">
        <f t="shared" si="55"/>
        <v>226294.12412782668</v>
      </c>
      <c r="M77" s="261">
        <f t="shared" si="55"/>
        <v>230820.00661038325</v>
      </c>
      <c r="N77" s="460"/>
      <c r="O77" s="460"/>
      <c r="P77" s="460"/>
      <c r="Q77" s="460"/>
      <c r="R77" s="460"/>
      <c r="S77" s="460"/>
      <c r="T77" s="460"/>
      <c r="U77" s="460"/>
      <c r="V77" s="460"/>
    </row>
    <row r="78" spans="1:22" s="388" customFormat="1" ht="13" hidden="1" outlineLevel="1" thickBot="1">
      <c r="A78" s="144" t="s">
        <v>158</v>
      </c>
      <c r="B78" s="69"/>
      <c r="C78" s="461">
        <f t="shared" ref="C78:M78" si="56">C73*($D$154*(1+$B71)^C$4)</f>
        <v>0</v>
      </c>
      <c r="D78" s="456">
        <f t="shared" si="56"/>
        <v>0</v>
      </c>
      <c r="E78" s="456">
        <f t="shared" si="56"/>
        <v>0</v>
      </c>
      <c r="F78" s="456">
        <f t="shared" si="56"/>
        <v>0</v>
      </c>
      <c r="G78" s="455">
        <f t="shared" si="56"/>
        <v>0</v>
      </c>
      <c r="H78" s="456">
        <f t="shared" si="56"/>
        <v>241131.24741888</v>
      </c>
      <c r="I78" s="457">
        <f t="shared" si="56"/>
        <v>245953.8723672576</v>
      </c>
      <c r="J78" s="456">
        <f t="shared" si="56"/>
        <v>250872.9498146027</v>
      </c>
      <c r="K78" s="456">
        <f t="shared" si="56"/>
        <v>255890.40881089482</v>
      </c>
      <c r="L78" s="456">
        <f t="shared" si="56"/>
        <v>261008.21698711268</v>
      </c>
      <c r="M78" s="457">
        <f t="shared" si="56"/>
        <v>266228.38132685493</v>
      </c>
      <c r="N78" s="460"/>
      <c r="O78" s="460"/>
      <c r="P78" s="460"/>
      <c r="Q78" s="460"/>
      <c r="R78" s="460"/>
      <c r="S78" s="460"/>
      <c r="T78" s="460"/>
      <c r="U78" s="460"/>
      <c r="V78" s="460"/>
    </row>
    <row r="79" spans="1:22" ht="13.5" customHeight="1" collapsed="1">
      <c r="A79" s="1047" t="s">
        <v>520</v>
      </c>
      <c r="B79" s="66"/>
      <c r="C79" s="141"/>
      <c r="D79" s="76"/>
      <c r="E79" s="76"/>
      <c r="F79" s="76"/>
      <c r="G79" s="65"/>
      <c r="H79" s="76"/>
      <c r="I79" s="121"/>
      <c r="J79" s="76"/>
      <c r="K79" s="76"/>
      <c r="L79" s="76"/>
      <c r="M79" s="121"/>
    </row>
    <row r="80" spans="1:22" ht="13.5" customHeight="1">
      <c r="A80" s="183" t="s">
        <v>9</v>
      </c>
      <c r="B80" s="132">
        <v>0.02</v>
      </c>
      <c r="C80" s="140"/>
      <c r="D80" s="115"/>
      <c r="E80" s="115"/>
      <c r="F80" s="115"/>
      <c r="G80" s="143"/>
      <c r="H80" s="115"/>
      <c r="I80" s="120"/>
      <c r="J80" s="115"/>
      <c r="K80" s="115"/>
      <c r="L80" s="115"/>
      <c r="M80" s="120"/>
    </row>
    <row r="81" spans="1:22" ht="14.15" customHeight="1">
      <c r="A81" s="183" t="s">
        <v>105</v>
      </c>
      <c r="B81" s="66"/>
      <c r="C81" s="402">
        <v>0</v>
      </c>
      <c r="D81" s="194">
        <f>C81</f>
        <v>0</v>
      </c>
      <c r="E81" s="194">
        <f>D81</f>
        <v>0</v>
      </c>
      <c r="F81" s="194">
        <f>E81</f>
        <v>0</v>
      </c>
      <c r="G81" s="221">
        <f>C159</f>
        <v>0</v>
      </c>
      <c r="H81" s="194">
        <f>C148</f>
        <v>9150</v>
      </c>
      <c r="I81" s="199">
        <f>H81</f>
        <v>9150</v>
      </c>
      <c r="J81" s="194">
        <f>I81</f>
        <v>9150</v>
      </c>
      <c r="K81" s="194">
        <f>J81</f>
        <v>9150</v>
      </c>
      <c r="L81" s="194">
        <f>K81</f>
        <v>9150</v>
      </c>
      <c r="M81" s="199">
        <f>L81</f>
        <v>9150</v>
      </c>
    </row>
    <row r="82" spans="1:22" ht="14.15" customHeight="1">
      <c r="A82" s="183" t="s">
        <v>37</v>
      </c>
      <c r="B82" s="132">
        <v>0.9</v>
      </c>
      <c r="C82" s="403">
        <f>C81*$B$82</f>
        <v>0</v>
      </c>
      <c r="D82" s="194">
        <f t="shared" ref="D82:M82" si="57">D81*$B$82</f>
        <v>0</v>
      </c>
      <c r="E82" s="194">
        <f t="shared" si="57"/>
        <v>0</v>
      </c>
      <c r="F82" s="194">
        <f t="shared" si="57"/>
        <v>0</v>
      </c>
      <c r="G82" s="221">
        <f t="shared" si="57"/>
        <v>0</v>
      </c>
      <c r="H82" s="194">
        <f t="shared" si="57"/>
        <v>8235</v>
      </c>
      <c r="I82" s="199">
        <f t="shared" si="57"/>
        <v>8235</v>
      </c>
      <c r="J82" s="194">
        <f t="shared" si="57"/>
        <v>8235</v>
      </c>
      <c r="K82" s="194">
        <f t="shared" si="57"/>
        <v>8235</v>
      </c>
      <c r="L82" s="194">
        <f t="shared" si="57"/>
        <v>8235</v>
      </c>
      <c r="M82" s="199">
        <f t="shared" si="57"/>
        <v>8235</v>
      </c>
    </row>
    <row r="83" spans="1:22" ht="14.15" customHeight="1">
      <c r="A83" s="183" t="s">
        <v>42</v>
      </c>
      <c r="B83" s="114"/>
      <c r="C83" s="404">
        <v>1</v>
      </c>
      <c r="D83" s="117">
        <f>C83</f>
        <v>1</v>
      </c>
      <c r="E83" s="117">
        <f>D83</f>
        <v>1</v>
      </c>
      <c r="F83" s="117">
        <f>E83</f>
        <v>1</v>
      </c>
      <c r="G83" s="278">
        <f>F83</f>
        <v>1</v>
      </c>
      <c r="H83" s="132">
        <v>0.5</v>
      </c>
      <c r="I83" s="226">
        <v>0.13300000000000001</v>
      </c>
      <c r="J83" s="117">
        <f>I83</f>
        <v>0.13300000000000001</v>
      </c>
      <c r="K83" s="117">
        <f>J83</f>
        <v>0.13300000000000001</v>
      </c>
      <c r="L83" s="117">
        <f>K83</f>
        <v>0.13300000000000001</v>
      </c>
      <c r="M83" s="229">
        <f>L83</f>
        <v>0.13300000000000001</v>
      </c>
    </row>
    <row r="84" spans="1:22" ht="13" thickBot="1">
      <c r="A84" s="144" t="s">
        <v>106</v>
      </c>
      <c r="B84" s="69"/>
      <c r="C84" s="302">
        <f>C75</f>
        <v>55</v>
      </c>
      <c r="D84" s="299">
        <f t="shared" ref="D84:M84" si="58">$C$84*(1+$B80)^D$4</f>
        <v>56.1</v>
      </c>
      <c r="E84" s="299">
        <f t="shared" si="58"/>
        <v>57.222000000000001</v>
      </c>
      <c r="F84" s="299">
        <f t="shared" si="58"/>
        <v>58.366439999999997</v>
      </c>
      <c r="G84" s="312">
        <f t="shared" si="58"/>
        <v>59.533768799999997</v>
      </c>
      <c r="H84" s="299">
        <f t="shared" si="58"/>
        <v>60.724444175999999</v>
      </c>
      <c r="I84" s="300">
        <f t="shared" si="58"/>
        <v>61.938933059520004</v>
      </c>
      <c r="J84" s="299">
        <f t="shared" si="58"/>
        <v>63.177711720710391</v>
      </c>
      <c r="K84" s="299">
        <f t="shared" si="58"/>
        <v>64.441265955124607</v>
      </c>
      <c r="L84" s="299">
        <f t="shared" si="58"/>
        <v>65.730091274227092</v>
      </c>
      <c r="M84" s="300">
        <f t="shared" si="58"/>
        <v>67.044693099711637</v>
      </c>
      <c r="N84" s="414"/>
      <c r="O84" s="414"/>
      <c r="P84" s="414"/>
      <c r="Q84" s="414"/>
      <c r="R84" s="414"/>
      <c r="S84" s="414"/>
      <c r="T84" s="414"/>
      <c r="U84" s="414"/>
      <c r="V84" s="414"/>
    </row>
    <row r="85" spans="1:22" s="388" customFormat="1" hidden="1" outlineLevel="1">
      <c r="A85" s="344" t="s">
        <v>15</v>
      </c>
      <c r="B85" s="213"/>
      <c r="C85" s="256">
        <f t="shared" ref="C85:M85" si="59">C82*(1-C83)*C84</f>
        <v>0</v>
      </c>
      <c r="D85" s="258">
        <f t="shared" si="59"/>
        <v>0</v>
      </c>
      <c r="E85" s="258">
        <f t="shared" si="59"/>
        <v>0</v>
      </c>
      <c r="F85" s="258">
        <f t="shared" si="59"/>
        <v>0</v>
      </c>
      <c r="G85" s="257">
        <f t="shared" si="59"/>
        <v>0</v>
      </c>
      <c r="H85" s="258">
        <f t="shared" si="59"/>
        <v>250032.89889467999</v>
      </c>
      <c r="I85" s="259">
        <f t="shared" si="59"/>
        <v>442228.18761704263</v>
      </c>
      <c r="J85" s="258">
        <f t="shared" si="59"/>
        <v>451072.75136938342</v>
      </c>
      <c r="K85" s="258">
        <f t="shared" si="59"/>
        <v>460094.20639677113</v>
      </c>
      <c r="L85" s="258">
        <f t="shared" si="59"/>
        <v>469296.09052470652</v>
      </c>
      <c r="M85" s="259">
        <f t="shared" si="59"/>
        <v>478682.01233520068</v>
      </c>
      <c r="N85" s="460"/>
      <c r="O85" s="460"/>
      <c r="P85" s="460"/>
      <c r="Q85" s="460"/>
      <c r="R85" s="460"/>
      <c r="S85" s="460"/>
      <c r="T85" s="460"/>
      <c r="U85" s="460"/>
      <c r="V85" s="460"/>
    </row>
    <row r="86" spans="1:22" s="388" customFormat="1" hidden="1" outlineLevel="1">
      <c r="A86" s="183" t="s">
        <v>157</v>
      </c>
      <c r="B86" s="66"/>
      <c r="C86" s="153">
        <f t="shared" ref="C86:M86" si="60">C82*(1-C83)*($D$154*(1+$B80)^C$4)</f>
        <v>0</v>
      </c>
      <c r="D86" s="249">
        <f t="shared" si="60"/>
        <v>0</v>
      </c>
      <c r="E86" s="249">
        <f t="shared" si="60"/>
        <v>0</v>
      </c>
      <c r="F86" s="249">
        <f t="shared" si="60"/>
        <v>0</v>
      </c>
      <c r="G86" s="260">
        <f t="shared" si="60"/>
        <v>0</v>
      </c>
      <c r="H86" s="249">
        <f t="shared" si="60"/>
        <v>54552.632486112001</v>
      </c>
      <c r="I86" s="261">
        <f t="shared" si="60"/>
        <v>96486.150025536568</v>
      </c>
      <c r="J86" s="249">
        <f t="shared" si="60"/>
        <v>98415.87302604728</v>
      </c>
      <c r="K86" s="249">
        <f t="shared" si="60"/>
        <v>100384.19048656824</v>
      </c>
      <c r="L86" s="249">
        <f t="shared" si="60"/>
        <v>102391.8742962996</v>
      </c>
      <c r="M86" s="261">
        <f t="shared" si="60"/>
        <v>104439.7117822256</v>
      </c>
      <c r="N86" s="460"/>
      <c r="O86" s="460"/>
      <c r="P86" s="460"/>
      <c r="Q86" s="460"/>
      <c r="R86" s="460"/>
      <c r="S86" s="460"/>
      <c r="T86" s="460"/>
      <c r="U86" s="460"/>
      <c r="V86" s="460"/>
    </row>
    <row r="87" spans="1:22" s="388" customFormat="1" ht="13" hidden="1" outlineLevel="1" thickBot="1">
      <c r="A87" s="144" t="s">
        <v>158</v>
      </c>
      <c r="B87" s="69"/>
      <c r="C87" s="461">
        <f t="shared" ref="C87:M87" si="61">C82*($D$154*(1+$B80)^C$4)</f>
        <v>0</v>
      </c>
      <c r="D87" s="456">
        <f t="shared" si="61"/>
        <v>0</v>
      </c>
      <c r="E87" s="456">
        <f t="shared" si="61"/>
        <v>0</v>
      </c>
      <c r="F87" s="456">
        <f t="shared" si="61"/>
        <v>0</v>
      </c>
      <c r="G87" s="455">
        <f t="shared" si="61"/>
        <v>0</v>
      </c>
      <c r="H87" s="456">
        <f t="shared" si="61"/>
        <v>109105.264972224</v>
      </c>
      <c r="I87" s="457">
        <f t="shared" si="61"/>
        <v>111287.37027166848</v>
      </c>
      <c r="J87" s="456">
        <f t="shared" si="61"/>
        <v>113513.11767710184</v>
      </c>
      <c r="K87" s="456">
        <f t="shared" si="61"/>
        <v>115783.38003064388</v>
      </c>
      <c r="L87" s="456">
        <f t="shared" si="61"/>
        <v>118099.04763125676</v>
      </c>
      <c r="M87" s="457">
        <f t="shared" si="61"/>
        <v>120461.0285838819</v>
      </c>
      <c r="N87" s="460"/>
      <c r="O87" s="460"/>
      <c r="P87" s="460"/>
      <c r="Q87" s="460"/>
      <c r="R87" s="460"/>
      <c r="S87" s="460"/>
      <c r="T87" s="460"/>
      <c r="U87" s="460"/>
      <c r="V87" s="460"/>
    </row>
    <row r="88" spans="1:22" ht="13.5" customHeight="1" collapsed="1">
      <c r="A88" s="1047" t="s">
        <v>522</v>
      </c>
      <c r="B88" s="66"/>
      <c r="C88" s="141"/>
      <c r="D88" s="76"/>
      <c r="E88" s="76"/>
      <c r="F88" s="76"/>
      <c r="G88" s="65"/>
      <c r="H88" s="76"/>
      <c r="I88" s="121"/>
      <c r="J88" s="76"/>
      <c r="K88" s="76"/>
      <c r="L88" s="76"/>
      <c r="M88" s="121"/>
    </row>
    <row r="89" spans="1:22" ht="13.5" customHeight="1">
      <c r="A89" s="183" t="s">
        <v>9</v>
      </c>
      <c r="B89" s="132">
        <v>0.02</v>
      </c>
      <c r="C89" s="140"/>
      <c r="D89" s="115"/>
      <c r="E89" s="115"/>
      <c r="F89" s="115"/>
      <c r="G89" s="143"/>
      <c r="H89" s="115"/>
      <c r="I89" s="120"/>
      <c r="J89" s="115"/>
      <c r="K89" s="115"/>
      <c r="L89" s="115"/>
      <c r="M89" s="120"/>
    </row>
    <row r="90" spans="1:22" ht="14.15" customHeight="1">
      <c r="A90" s="183" t="s">
        <v>105</v>
      </c>
      <c r="B90" s="66"/>
      <c r="C90" s="402">
        <v>0</v>
      </c>
      <c r="D90" s="194">
        <f>C90</f>
        <v>0</v>
      </c>
      <c r="E90" s="194">
        <f>D90</f>
        <v>0</v>
      </c>
      <c r="F90" s="194">
        <f>E90</f>
        <v>0</v>
      </c>
      <c r="G90" s="221">
        <f>C173</f>
        <v>0</v>
      </c>
      <c r="H90" s="194">
        <f>C167</f>
        <v>0</v>
      </c>
      <c r="I90" s="199">
        <f>C149</f>
        <v>24000</v>
      </c>
      <c r="J90" s="194">
        <f>I90</f>
        <v>24000</v>
      </c>
      <c r="K90" s="194">
        <f>J90</f>
        <v>24000</v>
      </c>
      <c r="L90" s="194">
        <f>K90</f>
        <v>24000</v>
      </c>
      <c r="M90" s="199">
        <f>L90</f>
        <v>24000</v>
      </c>
    </row>
    <row r="91" spans="1:22" ht="14.15" customHeight="1">
      <c r="A91" s="183" t="s">
        <v>37</v>
      </c>
      <c r="B91" s="132">
        <v>0.9</v>
      </c>
      <c r="C91" s="403">
        <f>C90*$B$91</f>
        <v>0</v>
      </c>
      <c r="D91" s="194">
        <f t="shared" ref="D91:M91" si="62">D90*$B$91</f>
        <v>0</v>
      </c>
      <c r="E91" s="194">
        <f t="shared" si="62"/>
        <v>0</v>
      </c>
      <c r="F91" s="194">
        <f t="shared" si="62"/>
        <v>0</v>
      </c>
      <c r="G91" s="221">
        <f t="shared" si="62"/>
        <v>0</v>
      </c>
      <c r="H91" s="194">
        <f t="shared" si="62"/>
        <v>0</v>
      </c>
      <c r="I91" s="199">
        <f t="shared" si="62"/>
        <v>21600</v>
      </c>
      <c r="J91" s="194">
        <f t="shared" si="62"/>
        <v>21600</v>
      </c>
      <c r="K91" s="194">
        <f t="shared" si="62"/>
        <v>21600</v>
      </c>
      <c r="L91" s="194">
        <f t="shared" si="62"/>
        <v>21600</v>
      </c>
      <c r="M91" s="199">
        <f t="shared" si="62"/>
        <v>21600</v>
      </c>
    </row>
    <row r="92" spans="1:22" ht="14.15" customHeight="1">
      <c r="A92" s="183" t="s">
        <v>42</v>
      </c>
      <c r="B92" s="114"/>
      <c r="C92" s="404">
        <v>1</v>
      </c>
      <c r="D92" s="117">
        <f>C92</f>
        <v>1</v>
      </c>
      <c r="E92" s="117">
        <f>D92</f>
        <v>1</v>
      </c>
      <c r="F92" s="117">
        <f>E92</f>
        <v>1</v>
      </c>
      <c r="G92" s="278">
        <f>F92</f>
        <v>1</v>
      </c>
      <c r="H92" s="117">
        <f>G92</f>
        <v>1</v>
      </c>
      <c r="I92" s="226">
        <v>1</v>
      </c>
      <c r="J92" s="132">
        <v>0.5</v>
      </c>
      <c r="K92" s="117">
        <v>0.15</v>
      </c>
      <c r="L92" s="117">
        <f>K92</f>
        <v>0.15</v>
      </c>
      <c r="M92" s="229">
        <f>L92</f>
        <v>0.15</v>
      </c>
    </row>
    <row r="93" spans="1:22" ht="13" thickBot="1">
      <c r="A93" s="144" t="s">
        <v>106</v>
      </c>
      <c r="B93" s="69"/>
      <c r="C93" s="302">
        <f>C84</f>
        <v>55</v>
      </c>
      <c r="D93" s="299">
        <f t="shared" ref="D93:M93" si="63">$C$93*(1+$B$89)^D$4</f>
        <v>56.1</v>
      </c>
      <c r="E93" s="299">
        <f t="shared" si="63"/>
        <v>57.222000000000001</v>
      </c>
      <c r="F93" s="299">
        <f t="shared" si="63"/>
        <v>58.366439999999997</v>
      </c>
      <c r="G93" s="312">
        <f t="shared" si="63"/>
        <v>59.533768799999997</v>
      </c>
      <c r="H93" s="299">
        <f t="shared" si="63"/>
        <v>60.724444175999999</v>
      </c>
      <c r="I93" s="300">
        <f t="shared" si="63"/>
        <v>61.938933059520004</v>
      </c>
      <c r="J93" s="299">
        <f t="shared" si="63"/>
        <v>63.177711720710391</v>
      </c>
      <c r="K93" s="299">
        <f t="shared" si="63"/>
        <v>64.441265955124607</v>
      </c>
      <c r="L93" s="299">
        <f t="shared" si="63"/>
        <v>65.730091274227092</v>
      </c>
      <c r="M93" s="300">
        <f t="shared" si="63"/>
        <v>67.044693099711637</v>
      </c>
      <c r="N93" s="414"/>
      <c r="O93" s="414"/>
      <c r="P93" s="414"/>
      <c r="Q93" s="414"/>
      <c r="R93" s="414"/>
      <c r="S93" s="414"/>
      <c r="T93" s="414"/>
      <c r="U93" s="414"/>
      <c r="V93" s="414"/>
    </row>
    <row r="94" spans="1:22" s="388" customFormat="1" hidden="1" outlineLevel="1">
      <c r="A94" s="344" t="s">
        <v>15</v>
      </c>
      <c r="B94" s="213"/>
      <c r="C94" s="256">
        <f t="shared" ref="C94:M94" si="64">C91*(1-C92)*C93</f>
        <v>0</v>
      </c>
      <c r="D94" s="258">
        <f t="shared" si="64"/>
        <v>0</v>
      </c>
      <c r="E94" s="258">
        <f t="shared" si="64"/>
        <v>0</v>
      </c>
      <c r="F94" s="258">
        <f t="shared" si="64"/>
        <v>0</v>
      </c>
      <c r="G94" s="257">
        <f t="shared" si="64"/>
        <v>0</v>
      </c>
      <c r="H94" s="258">
        <f t="shared" si="64"/>
        <v>0</v>
      </c>
      <c r="I94" s="259">
        <f t="shared" si="64"/>
        <v>0</v>
      </c>
      <c r="J94" s="258">
        <f t="shared" si="64"/>
        <v>682319.28658367228</v>
      </c>
      <c r="K94" s="258">
        <f t="shared" si="64"/>
        <v>1183141.6429360877</v>
      </c>
      <c r="L94" s="258">
        <f t="shared" si="64"/>
        <v>1206804.4757948094</v>
      </c>
      <c r="M94" s="259">
        <f t="shared" si="64"/>
        <v>1230940.5653107057</v>
      </c>
      <c r="N94" s="460"/>
      <c r="O94" s="460"/>
      <c r="P94" s="460"/>
      <c r="Q94" s="460"/>
      <c r="R94" s="460"/>
      <c r="S94" s="460"/>
      <c r="T94" s="460"/>
      <c r="U94" s="460"/>
      <c r="V94" s="460"/>
    </row>
    <row r="95" spans="1:22" s="388" customFormat="1" hidden="1" outlineLevel="1">
      <c r="A95" s="183" t="s">
        <v>157</v>
      </c>
      <c r="B95" s="66"/>
      <c r="C95" s="153">
        <f t="shared" ref="C95:M95" si="65">C91*(1-C92)*($D$154*(1+$B89)^C$4)</f>
        <v>0</v>
      </c>
      <c r="D95" s="249">
        <f t="shared" si="65"/>
        <v>0</v>
      </c>
      <c r="E95" s="249">
        <f t="shared" si="65"/>
        <v>0</v>
      </c>
      <c r="F95" s="249">
        <f t="shared" si="65"/>
        <v>0</v>
      </c>
      <c r="G95" s="260">
        <f t="shared" si="65"/>
        <v>0</v>
      </c>
      <c r="H95" s="249">
        <f t="shared" si="65"/>
        <v>0</v>
      </c>
      <c r="I95" s="261">
        <f t="shared" si="65"/>
        <v>0</v>
      </c>
      <c r="J95" s="249">
        <f t="shared" si="65"/>
        <v>148869.66252734666</v>
      </c>
      <c r="K95" s="249">
        <f t="shared" si="65"/>
        <v>258139.99482241916</v>
      </c>
      <c r="L95" s="249">
        <f t="shared" si="65"/>
        <v>263302.79471886752</v>
      </c>
      <c r="M95" s="261">
        <f t="shared" si="65"/>
        <v>268568.85061324487</v>
      </c>
      <c r="N95" s="460"/>
      <c r="O95" s="460"/>
      <c r="P95" s="460"/>
      <c r="Q95" s="460"/>
      <c r="R95" s="460"/>
      <c r="S95" s="460"/>
      <c r="T95" s="460"/>
      <c r="U95" s="460"/>
      <c r="V95" s="460"/>
    </row>
    <row r="96" spans="1:22" s="388" customFormat="1" ht="13" hidden="1" outlineLevel="1" thickBot="1">
      <c r="A96" s="144" t="s">
        <v>158</v>
      </c>
      <c r="B96" s="69"/>
      <c r="C96" s="461">
        <f t="shared" ref="C96:M96" si="66">C91*($D$154*(1+$B89)^C$4)</f>
        <v>0</v>
      </c>
      <c r="D96" s="456">
        <f t="shared" si="66"/>
        <v>0</v>
      </c>
      <c r="E96" s="456">
        <f t="shared" si="66"/>
        <v>0</v>
      </c>
      <c r="F96" s="456">
        <f t="shared" si="66"/>
        <v>0</v>
      </c>
      <c r="G96" s="455">
        <f t="shared" si="66"/>
        <v>0</v>
      </c>
      <c r="H96" s="456">
        <f t="shared" si="66"/>
        <v>0</v>
      </c>
      <c r="I96" s="457">
        <f t="shared" si="66"/>
        <v>291901.29907322879</v>
      </c>
      <c r="J96" s="456">
        <f t="shared" si="66"/>
        <v>297739.32505469333</v>
      </c>
      <c r="K96" s="456">
        <f t="shared" si="66"/>
        <v>303694.11155578727</v>
      </c>
      <c r="L96" s="456">
        <f t="shared" si="66"/>
        <v>309767.99378690298</v>
      </c>
      <c r="M96" s="457">
        <f t="shared" si="66"/>
        <v>315963.35366264102</v>
      </c>
      <c r="N96" s="460"/>
      <c r="O96" s="460"/>
      <c r="P96" s="460"/>
      <c r="Q96" s="460"/>
      <c r="R96" s="460"/>
      <c r="S96" s="460"/>
      <c r="T96" s="460"/>
      <c r="U96" s="460"/>
      <c r="V96" s="460"/>
    </row>
    <row r="97" spans="1:22" ht="13.5" customHeight="1" collapsed="1">
      <c r="A97" s="64" t="s">
        <v>523</v>
      </c>
      <c r="B97" s="66"/>
      <c r="C97" s="141"/>
      <c r="D97" s="76"/>
      <c r="E97" s="76"/>
      <c r="F97" s="76"/>
      <c r="G97" s="65"/>
      <c r="H97" s="76"/>
      <c r="I97" s="121"/>
      <c r="J97" s="76"/>
      <c r="K97" s="76"/>
      <c r="L97" s="76"/>
      <c r="M97" s="121"/>
    </row>
    <row r="98" spans="1:22" ht="13.5" customHeight="1">
      <c r="A98" s="183" t="s">
        <v>9</v>
      </c>
      <c r="B98" s="132">
        <v>0.02</v>
      </c>
      <c r="C98" s="140"/>
      <c r="D98" s="115"/>
      <c r="E98" s="115"/>
      <c r="F98" s="115"/>
      <c r="G98" s="143"/>
      <c r="H98" s="115"/>
      <c r="I98" s="120"/>
      <c r="J98" s="115"/>
      <c r="K98" s="115"/>
      <c r="L98" s="115"/>
      <c r="M98" s="120"/>
    </row>
    <row r="99" spans="1:22" ht="14.15" customHeight="1">
      <c r="A99" s="183" t="s">
        <v>105</v>
      </c>
      <c r="B99" s="66"/>
      <c r="C99" s="402">
        <v>0</v>
      </c>
      <c r="D99" s="194">
        <f>C99</f>
        <v>0</v>
      </c>
      <c r="E99" s="194">
        <f>D99</f>
        <v>0</v>
      </c>
      <c r="F99" s="194">
        <f>E99</f>
        <v>0</v>
      </c>
      <c r="G99" s="221">
        <f>C180</f>
        <v>0</v>
      </c>
      <c r="H99" s="194">
        <f>C168</f>
        <v>0</v>
      </c>
      <c r="I99" s="199">
        <f>H99</f>
        <v>0</v>
      </c>
      <c r="J99" s="194">
        <f>I99</f>
        <v>0</v>
      </c>
      <c r="K99" s="194">
        <f>C150</f>
        <v>16500</v>
      </c>
      <c r="L99" s="194">
        <f>K99</f>
        <v>16500</v>
      </c>
      <c r="M99" s="199">
        <f>L99</f>
        <v>16500</v>
      </c>
    </row>
    <row r="100" spans="1:22" ht="14.15" customHeight="1">
      <c r="A100" s="183" t="s">
        <v>37</v>
      </c>
      <c r="B100" s="132">
        <v>0.9</v>
      </c>
      <c r="C100" s="403">
        <f>C99*$B$100</f>
        <v>0</v>
      </c>
      <c r="D100" s="194">
        <f t="shared" ref="D100:M100" si="67">D99*$B$100</f>
        <v>0</v>
      </c>
      <c r="E100" s="194">
        <f t="shared" si="67"/>
        <v>0</v>
      </c>
      <c r="F100" s="194">
        <f t="shared" si="67"/>
        <v>0</v>
      </c>
      <c r="G100" s="221">
        <f t="shared" si="67"/>
        <v>0</v>
      </c>
      <c r="H100" s="194">
        <f t="shared" si="67"/>
        <v>0</v>
      </c>
      <c r="I100" s="199">
        <f t="shared" si="67"/>
        <v>0</v>
      </c>
      <c r="J100" s="194">
        <f t="shared" si="67"/>
        <v>0</v>
      </c>
      <c r="K100" s="194">
        <f t="shared" si="67"/>
        <v>14850</v>
      </c>
      <c r="L100" s="194">
        <f t="shared" si="67"/>
        <v>14850</v>
      </c>
      <c r="M100" s="199">
        <f t="shared" si="67"/>
        <v>14850</v>
      </c>
    </row>
    <row r="101" spans="1:22" ht="14.15" customHeight="1">
      <c r="A101" s="183" t="s">
        <v>42</v>
      </c>
      <c r="B101" s="114"/>
      <c r="C101" s="404">
        <v>1</v>
      </c>
      <c r="D101" s="117">
        <f t="shared" ref="D101:J101" si="68">C101</f>
        <v>1</v>
      </c>
      <c r="E101" s="117">
        <f t="shared" si="68"/>
        <v>1</v>
      </c>
      <c r="F101" s="117">
        <f t="shared" si="68"/>
        <v>1</v>
      </c>
      <c r="G101" s="278">
        <f t="shared" si="68"/>
        <v>1</v>
      </c>
      <c r="H101" s="117">
        <f t="shared" si="68"/>
        <v>1</v>
      </c>
      <c r="I101" s="229">
        <f t="shared" si="68"/>
        <v>1</v>
      </c>
      <c r="J101" s="117">
        <f t="shared" si="68"/>
        <v>1</v>
      </c>
      <c r="K101" s="132">
        <v>1</v>
      </c>
      <c r="L101" s="132">
        <v>0.5</v>
      </c>
      <c r="M101" s="229">
        <v>0.15</v>
      </c>
    </row>
    <row r="102" spans="1:22" ht="13" thickBot="1">
      <c r="A102" s="144" t="s">
        <v>106</v>
      </c>
      <c r="B102" s="69"/>
      <c r="C102" s="302">
        <f>C93</f>
        <v>55</v>
      </c>
      <c r="D102" s="299">
        <f t="shared" ref="D102:M102" si="69">$C$102*(1+$B98)^D$4</f>
        <v>56.1</v>
      </c>
      <c r="E102" s="299">
        <f t="shared" si="69"/>
        <v>57.222000000000001</v>
      </c>
      <c r="F102" s="299">
        <f t="shared" si="69"/>
        <v>58.366439999999997</v>
      </c>
      <c r="G102" s="312">
        <f t="shared" si="69"/>
        <v>59.533768799999997</v>
      </c>
      <c r="H102" s="299">
        <f t="shared" si="69"/>
        <v>60.724444175999999</v>
      </c>
      <c r="I102" s="300">
        <f t="shared" si="69"/>
        <v>61.938933059520004</v>
      </c>
      <c r="J102" s="299">
        <f t="shared" si="69"/>
        <v>63.177711720710391</v>
      </c>
      <c r="K102" s="299">
        <f t="shared" si="69"/>
        <v>64.441265955124607</v>
      </c>
      <c r="L102" s="299">
        <f t="shared" si="69"/>
        <v>65.730091274227092</v>
      </c>
      <c r="M102" s="300">
        <f t="shared" si="69"/>
        <v>67.044693099711637</v>
      </c>
      <c r="N102" s="414"/>
      <c r="O102" s="414"/>
      <c r="P102" s="414"/>
      <c r="Q102" s="414"/>
      <c r="R102" s="414"/>
      <c r="S102" s="414"/>
      <c r="T102" s="414"/>
      <c r="U102" s="414"/>
      <c r="V102" s="414"/>
    </row>
    <row r="103" spans="1:22" s="388" customFormat="1" hidden="1" outlineLevel="1">
      <c r="A103" s="344" t="s">
        <v>15</v>
      </c>
      <c r="B103" s="213"/>
      <c r="C103" s="256">
        <f t="shared" ref="C103:M103" si="70">C100*(1-C101)*C102</f>
        <v>0</v>
      </c>
      <c r="D103" s="258">
        <f t="shared" si="70"/>
        <v>0</v>
      </c>
      <c r="E103" s="258">
        <f t="shared" si="70"/>
        <v>0</v>
      </c>
      <c r="F103" s="258">
        <f t="shared" si="70"/>
        <v>0</v>
      </c>
      <c r="G103" s="257">
        <f t="shared" si="70"/>
        <v>0</v>
      </c>
      <c r="H103" s="258">
        <f t="shared" si="70"/>
        <v>0</v>
      </c>
      <c r="I103" s="259">
        <f t="shared" si="70"/>
        <v>0</v>
      </c>
      <c r="J103" s="258">
        <f t="shared" si="70"/>
        <v>0</v>
      </c>
      <c r="K103" s="258">
        <f t="shared" si="70"/>
        <v>0</v>
      </c>
      <c r="L103" s="258">
        <f t="shared" si="70"/>
        <v>488045.92771113617</v>
      </c>
      <c r="M103" s="259">
        <f t="shared" si="70"/>
        <v>846271.63865111012</v>
      </c>
      <c r="N103" s="460"/>
      <c r="O103" s="460"/>
      <c r="P103" s="460"/>
      <c r="Q103" s="460"/>
      <c r="R103" s="460"/>
      <c r="S103" s="460"/>
      <c r="T103" s="460"/>
      <c r="U103" s="460"/>
      <c r="V103" s="460"/>
    </row>
    <row r="104" spans="1:22" s="388" customFormat="1" hidden="1" outlineLevel="1">
      <c r="A104" s="183" t="s">
        <v>157</v>
      </c>
      <c r="B104" s="66"/>
      <c r="C104" s="153">
        <f t="shared" ref="C104:M104" si="71">C100*(1-C101)*($D$154*(1+$B98)^C$4)</f>
        <v>0</v>
      </c>
      <c r="D104" s="249">
        <f t="shared" si="71"/>
        <v>0</v>
      </c>
      <c r="E104" s="249">
        <f t="shared" si="71"/>
        <v>0</v>
      </c>
      <c r="F104" s="249">
        <f t="shared" si="71"/>
        <v>0</v>
      </c>
      <c r="G104" s="260">
        <f t="shared" si="71"/>
        <v>0</v>
      </c>
      <c r="H104" s="249">
        <f t="shared" si="71"/>
        <v>0</v>
      </c>
      <c r="I104" s="261">
        <f t="shared" si="71"/>
        <v>0</v>
      </c>
      <c r="J104" s="249">
        <f t="shared" si="71"/>
        <v>0</v>
      </c>
      <c r="K104" s="249">
        <f t="shared" si="71"/>
        <v>0</v>
      </c>
      <c r="L104" s="249">
        <f t="shared" si="71"/>
        <v>106482.7478642479</v>
      </c>
      <c r="M104" s="261">
        <f t="shared" si="71"/>
        <v>184641.08479660586</v>
      </c>
      <c r="N104" s="460"/>
      <c r="O104" s="460"/>
      <c r="P104" s="460"/>
      <c r="Q104" s="460"/>
      <c r="R104" s="460"/>
      <c r="S104" s="460"/>
      <c r="T104" s="460"/>
      <c r="U104" s="460"/>
      <c r="V104" s="460"/>
    </row>
    <row r="105" spans="1:22" s="388" customFormat="1" ht="13" hidden="1" outlineLevel="1" thickBot="1">
      <c r="A105" s="144" t="s">
        <v>158</v>
      </c>
      <c r="B105" s="69"/>
      <c r="C105" s="461">
        <f t="shared" ref="C105:M105" si="72">C100*($D$154*(1+$B98)^C$4)</f>
        <v>0</v>
      </c>
      <c r="D105" s="456">
        <f t="shared" si="72"/>
        <v>0</v>
      </c>
      <c r="E105" s="456">
        <f t="shared" si="72"/>
        <v>0</v>
      </c>
      <c r="F105" s="456">
        <f t="shared" si="72"/>
        <v>0</v>
      </c>
      <c r="G105" s="455">
        <f t="shared" si="72"/>
        <v>0</v>
      </c>
      <c r="H105" s="456">
        <f t="shared" si="72"/>
        <v>0</v>
      </c>
      <c r="I105" s="457">
        <f t="shared" si="72"/>
        <v>0</v>
      </c>
      <c r="J105" s="456">
        <f t="shared" si="72"/>
        <v>0</v>
      </c>
      <c r="K105" s="456">
        <f t="shared" si="72"/>
        <v>208789.70169460372</v>
      </c>
      <c r="L105" s="456">
        <f t="shared" si="72"/>
        <v>212965.49572849579</v>
      </c>
      <c r="M105" s="457">
        <f t="shared" si="72"/>
        <v>217224.80564306572</v>
      </c>
      <c r="N105" s="460"/>
      <c r="O105" s="460"/>
      <c r="P105" s="460"/>
      <c r="Q105" s="460"/>
      <c r="R105" s="460"/>
      <c r="S105" s="460"/>
      <c r="T105" s="460"/>
      <c r="U105" s="460"/>
      <c r="V105" s="460"/>
    </row>
    <row r="106" spans="1:22" ht="13.5" customHeight="1" collapsed="1">
      <c r="A106" s="64" t="s">
        <v>112</v>
      </c>
      <c r="B106" s="66"/>
      <c r="C106" s="141"/>
      <c r="D106" s="76"/>
      <c r="E106" s="76"/>
      <c r="F106" s="76"/>
      <c r="G106" s="65"/>
      <c r="H106" s="76"/>
      <c r="I106" s="121"/>
      <c r="J106" s="76"/>
      <c r="K106" s="76"/>
      <c r="L106" s="76"/>
      <c r="M106" s="121"/>
    </row>
    <row r="107" spans="1:22" ht="13.5" customHeight="1">
      <c r="A107" s="183" t="s">
        <v>9</v>
      </c>
      <c r="B107" s="132">
        <v>0.02</v>
      </c>
      <c r="C107" s="140"/>
      <c r="D107" s="115"/>
      <c r="E107" s="115"/>
      <c r="F107" s="115"/>
      <c r="G107" s="143"/>
      <c r="H107" s="115"/>
      <c r="I107" s="120"/>
      <c r="J107" s="115"/>
      <c r="K107" s="115"/>
      <c r="L107" s="115"/>
      <c r="M107" s="120"/>
    </row>
    <row r="108" spans="1:22" ht="14.15" customHeight="1">
      <c r="A108" s="183" t="s">
        <v>105</v>
      </c>
      <c r="B108" s="66"/>
      <c r="C108" s="402">
        <v>0</v>
      </c>
      <c r="D108" s="194">
        <f>C108</f>
        <v>0</v>
      </c>
      <c r="E108" s="194">
        <f>D108</f>
        <v>0</v>
      </c>
      <c r="F108" s="194">
        <f>E108</f>
        <v>0</v>
      </c>
      <c r="G108" s="221">
        <f>C187</f>
        <v>0</v>
      </c>
      <c r="H108" s="194">
        <f>C181</f>
        <v>0</v>
      </c>
      <c r="I108" s="199">
        <f>C169</f>
        <v>0</v>
      </c>
      <c r="J108" s="194">
        <f>I108</f>
        <v>0</v>
      </c>
      <c r="K108" s="194">
        <v>0</v>
      </c>
      <c r="L108" s="194">
        <f>C151</f>
        <v>16000</v>
      </c>
      <c r="M108" s="199">
        <f>L108</f>
        <v>16000</v>
      </c>
    </row>
    <row r="109" spans="1:22" ht="14.15" customHeight="1">
      <c r="A109" s="183" t="s">
        <v>37</v>
      </c>
      <c r="B109" s="132">
        <v>0.9</v>
      </c>
      <c r="C109" s="403">
        <f>C108*$B$109</f>
        <v>0</v>
      </c>
      <c r="D109" s="194">
        <f t="shared" ref="D109:M109" si="73">D108*$B$109</f>
        <v>0</v>
      </c>
      <c r="E109" s="194">
        <f t="shared" si="73"/>
        <v>0</v>
      </c>
      <c r="F109" s="194">
        <f t="shared" si="73"/>
        <v>0</v>
      </c>
      <c r="G109" s="221">
        <f t="shared" si="73"/>
        <v>0</v>
      </c>
      <c r="H109" s="194">
        <f t="shared" si="73"/>
        <v>0</v>
      </c>
      <c r="I109" s="199">
        <f t="shared" si="73"/>
        <v>0</v>
      </c>
      <c r="J109" s="194">
        <f t="shared" si="73"/>
        <v>0</v>
      </c>
      <c r="K109" s="194">
        <f t="shared" si="73"/>
        <v>0</v>
      </c>
      <c r="L109" s="194">
        <f t="shared" si="73"/>
        <v>14400</v>
      </c>
      <c r="M109" s="199">
        <f t="shared" si="73"/>
        <v>14400</v>
      </c>
    </row>
    <row r="110" spans="1:22" ht="14.15" customHeight="1">
      <c r="A110" s="183" t="s">
        <v>42</v>
      </c>
      <c r="B110" s="114"/>
      <c r="C110" s="404">
        <v>1</v>
      </c>
      <c r="D110" s="117">
        <f t="shared" ref="D110:J110" si="74">C110</f>
        <v>1</v>
      </c>
      <c r="E110" s="117">
        <f t="shared" si="74"/>
        <v>1</v>
      </c>
      <c r="F110" s="117">
        <f t="shared" si="74"/>
        <v>1</v>
      </c>
      <c r="G110" s="278">
        <f t="shared" si="74"/>
        <v>1</v>
      </c>
      <c r="H110" s="117">
        <f t="shared" si="74"/>
        <v>1</v>
      </c>
      <c r="I110" s="229">
        <f t="shared" si="74"/>
        <v>1</v>
      </c>
      <c r="J110" s="117">
        <f t="shared" si="74"/>
        <v>1</v>
      </c>
      <c r="K110" s="132">
        <v>1</v>
      </c>
      <c r="L110" s="132">
        <v>1</v>
      </c>
      <c r="M110" s="229">
        <v>0.5</v>
      </c>
    </row>
    <row r="111" spans="1:22" ht="13" thickBot="1">
      <c r="A111" s="144" t="s">
        <v>106</v>
      </c>
      <c r="B111" s="69"/>
      <c r="C111" s="302">
        <f>C102</f>
        <v>55</v>
      </c>
      <c r="D111" s="299">
        <f t="shared" ref="D111:M111" si="75">$C$111*(1+$B$107)^D$4</f>
        <v>56.1</v>
      </c>
      <c r="E111" s="299">
        <f t="shared" si="75"/>
        <v>57.222000000000001</v>
      </c>
      <c r="F111" s="299">
        <f t="shared" si="75"/>
        <v>58.366439999999997</v>
      </c>
      <c r="G111" s="312">
        <f t="shared" si="75"/>
        <v>59.533768799999997</v>
      </c>
      <c r="H111" s="299">
        <f t="shared" si="75"/>
        <v>60.724444175999999</v>
      </c>
      <c r="I111" s="300">
        <f t="shared" si="75"/>
        <v>61.938933059520004</v>
      </c>
      <c r="J111" s="299">
        <f t="shared" si="75"/>
        <v>63.177711720710391</v>
      </c>
      <c r="K111" s="299">
        <f t="shared" si="75"/>
        <v>64.441265955124607</v>
      </c>
      <c r="L111" s="299">
        <f t="shared" si="75"/>
        <v>65.730091274227092</v>
      </c>
      <c r="M111" s="300">
        <f t="shared" si="75"/>
        <v>67.044693099711637</v>
      </c>
      <c r="N111" s="414"/>
      <c r="O111" s="414"/>
      <c r="P111" s="414"/>
      <c r="Q111" s="414"/>
      <c r="R111" s="414"/>
      <c r="S111" s="414"/>
      <c r="T111" s="414"/>
      <c r="U111" s="414"/>
      <c r="V111" s="414"/>
    </row>
    <row r="112" spans="1:22" s="388" customFormat="1" outlineLevel="1">
      <c r="A112" s="344" t="s">
        <v>15</v>
      </c>
      <c r="B112" s="213"/>
      <c r="C112" s="256">
        <f t="shared" ref="C112:M112" si="76">C109*(1-C110)*C111</f>
        <v>0</v>
      </c>
      <c r="D112" s="258">
        <f t="shared" si="76"/>
        <v>0</v>
      </c>
      <c r="E112" s="258">
        <f t="shared" si="76"/>
        <v>0</v>
      </c>
      <c r="F112" s="258">
        <f t="shared" si="76"/>
        <v>0</v>
      </c>
      <c r="G112" s="257">
        <f t="shared" si="76"/>
        <v>0</v>
      </c>
      <c r="H112" s="258">
        <f t="shared" si="76"/>
        <v>0</v>
      </c>
      <c r="I112" s="259">
        <f t="shared" si="76"/>
        <v>0</v>
      </c>
      <c r="J112" s="258">
        <f t="shared" si="76"/>
        <v>0</v>
      </c>
      <c r="K112" s="258">
        <f t="shared" si="76"/>
        <v>0</v>
      </c>
      <c r="L112" s="258">
        <f t="shared" si="76"/>
        <v>0</v>
      </c>
      <c r="M112" s="259">
        <f t="shared" si="76"/>
        <v>482721.79031792376</v>
      </c>
      <c r="N112" s="460"/>
      <c r="O112" s="460"/>
      <c r="P112" s="460"/>
      <c r="Q112" s="460"/>
      <c r="R112" s="460"/>
      <c r="S112" s="460"/>
      <c r="T112" s="460"/>
      <c r="U112" s="460"/>
      <c r="V112" s="460"/>
    </row>
    <row r="113" spans="1:22" s="388" customFormat="1" outlineLevel="1">
      <c r="A113" s="183" t="s">
        <v>157</v>
      </c>
      <c r="B113" s="66"/>
      <c r="C113" s="153">
        <f t="shared" ref="C113:M113" si="77">C109*(1-C110)*($D$154*(1+$B107)^C$4)</f>
        <v>0</v>
      </c>
      <c r="D113" s="249">
        <f t="shared" si="77"/>
        <v>0</v>
      </c>
      <c r="E113" s="249">
        <f t="shared" si="77"/>
        <v>0</v>
      </c>
      <c r="F113" s="249">
        <f t="shared" si="77"/>
        <v>0</v>
      </c>
      <c r="G113" s="260">
        <f t="shared" si="77"/>
        <v>0</v>
      </c>
      <c r="H113" s="249">
        <f t="shared" si="77"/>
        <v>0</v>
      </c>
      <c r="I113" s="261">
        <f t="shared" si="77"/>
        <v>0</v>
      </c>
      <c r="J113" s="249">
        <f t="shared" si="77"/>
        <v>0</v>
      </c>
      <c r="K113" s="249">
        <f t="shared" si="77"/>
        <v>0</v>
      </c>
      <c r="L113" s="249">
        <f t="shared" si="77"/>
        <v>0</v>
      </c>
      <c r="M113" s="261">
        <f t="shared" si="77"/>
        <v>105321.11788754701</v>
      </c>
      <c r="N113" s="460"/>
      <c r="O113" s="460"/>
      <c r="P113" s="460"/>
      <c r="Q113" s="460"/>
      <c r="R113" s="460"/>
      <c r="S113" s="460"/>
      <c r="T113" s="460"/>
      <c r="U113" s="460"/>
      <c r="V113" s="460"/>
    </row>
    <row r="114" spans="1:22" s="388" customFormat="1" ht="13" outlineLevel="1" thickBot="1">
      <c r="A114" s="144" t="s">
        <v>158</v>
      </c>
      <c r="B114" s="69"/>
      <c r="C114" s="461">
        <f t="shared" ref="C114:M114" si="78">C109*($D$154*(1+$B107)^C$4)</f>
        <v>0</v>
      </c>
      <c r="D114" s="456">
        <f t="shared" si="78"/>
        <v>0</v>
      </c>
      <c r="E114" s="456">
        <f t="shared" si="78"/>
        <v>0</v>
      </c>
      <c r="F114" s="456">
        <f t="shared" si="78"/>
        <v>0</v>
      </c>
      <c r="G114" s="455">
        <f t="shared" si="78"/>
        <v>0</v>
      </c>
      <c r="H114" s="456">
        <f t="shared" si="78"/>
        <v>0</v>
      </c>
      <c r="I114" s="457">
        <f t="shared" si="78"/>
        <v>0</v>
      </c>
      <c r="J114" s="456">
        <f t="shared" si="78"/>
        <v>0</v>
      </c>
      <c r="K114" s="456">
        <f t="shared" si="78"/>
        <v>0</v>
      </c>
      <c r="L114" s="456">
        <f t="shared" si="78"/>
        <v>206511.99585793531</v>
      </c>
      <c r="M114" s="457">
        <f t="shared" si="78"/>
        <v>210642.23577509401</v>
      </c>
      <c r="N114" s="460"/>
      <c r="O114" s="460"/>
      <c r="P114" s="460"/>
      <c r="Q114" s="460"/>
      <c r="R114" s="460"/>
      <c r="S114" s="460"/>
      <c r="T114" s="460"/>
      <c r="U114" s="460"/>
      <c r="V114" s="460"/>
    </row>
    <row r="115" spans="1:22" ht="13.5" thickBot="1">
      <c r="A115" s="208" t="s">
        <v>0</v>
      </c>
      <c r="B115" s="205"/>
      <c r="C115" s="214"/>
      <c r="D115" s="255"/>
      <c r="E115" s="211"/>
      <c r="F115" s="212"/>
      <c r="G115" s="255"/>
      <c r="H115" s="211"/>
      <c r="I115" s="212"/>
      <c r="J115" s="255"/>
      <c r="K115" s="211"/>
      <c r="L115" s="211"/>
      <c r="M115" s="212"/>
    </row>
    <row r="116" spans="1:22">
      <c r="A116" s="183" t="s">
        <v>15</v>
      </c>
      <c r="B116" s="66"/>
      <c r="C116" s="148">
        <f>SUM(C13,C22,C31,C40,C49,C58,C67,C76,C85,C94,C103,C112)</f>
        <v>0</v>
      </c>
      <c r="D116" s="270">
        <f t="shared" ref="D116:M116" si="79">SUM(D13,D22,D31,D40,D49,D58,D67,D76,D85,D94,D103,D112)</f>
        <v>0</v>
      </c>
      <c r="E116" s="239">
        <f t="shared" si="79"/>
        <v>1636399.6425000001</v>
      </c>
      <c r="F116" s="253">
        <f t="shared" si="79"/>
        <v>2943303.4995750003</v>
      </c>
      <c r="G116" s="270">
        <f t="shared" si="79"/>
        <v>3816055.7228313</v>
      </c>
      <c r="H116" s="239">
        <f t="shared" si="79"/>
        <v>5454664.9748259662</v>
      </c>
      <c r="I116" s="253">
        <f t="shared" si="79"/>
        <v>6707067.0513469297</v>
      </c>
      <c r="J116" s="270">
        <f t="shared" si="79"/>
        <v>7523527.6789575377</v>
      </c>
      <c r="K116" s="239">
        <f t="shared" si="79"/>
        <v>8161174.2031574324</v>
      </c>
      <c r="L116" s="239">
        <f t="shared" si="79"/>
        <v>8812443.6149317157</v>
      </c>
      <c r="M116" s="253">
        <f t="shared" si="79"/>
        <v>9819879.0699340254</v>
      </c>
    </row>
    <row r="117" spans="1:22">
      <c r="A117" s="183" t="s">
        <v>109</v>
      </c>
      <c r="B117" s="66"/>
      <c r="C117" s="153">
        <f>SUM(C14,C23,C32,C41,C50,C59,C68,C77,C86,C95,C104,C113)</f>
        <v>0</v>
      </c>
      <c r="D117" s="260">
        <f t="shared" ref="D117:M117" si="80">SUM(D14,D23,D32,D41,D50,D59,D68,D77,D86,D95,D104,D113)</f>
        <v>0</v>
      </c>
      <c r="E117" s="249">
        <f t="shared" si="80"/>
        <v>445879.02600000001</v>
      </c>
      <c r="F117" s="261">
        <f t="shared" si="80"/>
        <v>732798.61326000001</v>
      </c>
      <c r="G117" s="260">
        <f t="shared" si="80"/>
        <v>925029.74623752001</v>
      </c>
      <c r="H117" s="249">
        <f t="shared" si="80"/>
        <v>1284393.2075342061</v>
      </c>
      <c r="I117" s="261">
        <f t="shared" si="80"/>
        <v>1559530.2593993144</v>
      </c>
      <c r="J117" s="260">
        <f t="shared" si="80"/>
        <v>1739590.5271146474</v>
      </c>
      <c r="K117" s="249">
        <f t="shared" si="80"/>
        <v>1880675.2767014662</v>
      </c>
      <c r="L117" s="249">
        <f t="shared" si="80"/>
        <v>2024771.5300997433</v>
      </c>
      <c r="M117" s="261">
        <f t="shared" si="80"/>
        <v>2246616.760564358</v>
      </c>
    </row>
    <row r="118" spans="1:22" s="387" customFormat="1">
      <c r="A118" s="245" t="s">
        <v>110</v>
      </c>
      <c r="B118" s="392"/>
      <c r="C118" s="158">
        <f>-SUM(C15,C24,C33,C42,C51,C60,C69,C78,C87,C96,C105,C114)</f>
        <v>0</v>
      </c>
      <c r="D118" s="326">
        <f t="shared" ref="D118:M118" si="81">-SUM(D15,D24,D33,D42,D51,D60,D69,D78,D87,D96,D105,D114)</f>
        <v>-634735.80000000005</v>
      </c>
      <c r="E118" s="327">
        <f t="shared" si="81"/>
        <v>-910360.40399999986</v>
      </c>
      <c r="F118" s="328">
        <f t="shared" si="81"/>
        <v>-1008794.9368799999</v>
      </c>
      <c r="G118" s="326">
        <f t="shared" si="81"/>
        <v>-1353960.267336</v>
      </c>
      <c r="H118" s="327">
        <f t="shared" si="81"/>
        <v>-1731275.9850738239</v>
      </c>
      <c r="I118" s="328">
        <f t="shared" si="81"/>
        <v>-2057802.8038485292</v>
      </c>
      <c r="J118" s="326">
        <f t="shared" si="81"/>
        <v>-2098958.8599254997</v>
      </c>
      <c r="K118" s="327">
        <f t="shared" si="81"/>
        <v>-2349727.7388186133</v>
      </c>
      <c r="L118" s="327">
        <f t="shared" si="81"/>
        <v>-2603234.2894529216</v>
      </c>
      <c r="M118" s="328">
        <f t="shared" si="81"/>
        <v>-2655298.97524198</v>
      </c>
      <c r="N118" s="407"/>
    </row>
    <row r="119" spans="1:22" ht="14.15" customHeight="1" thickBot="1">
      <c r="A119" s="405" t="s">
        <v>5</v>
      </c>
      <c r="B119" s="69"/>
      <c r="C119" s="272">
        <f>SUM(C116:C118)</f>
        <v>0</v>
      </c>
      <c r="D119" s="273">
        <f t="shared" ref="D119:M119" si="82">SUM(D116:D118)</f>
        <v>-634735.80000000005</v>
      </c>
      <c r="E119" s="247">
        <f t="shared" si="82"/>
        <v>1171918.2645000003</v>
      </c>
      <c r="F119" s="248">
        <f t="shared" si="82"/>
        <v>2667307.1759550003</v>
      </c>
      <c r="G119" s="273">
        <f t="shared" si="82"/>
        <v>3387125.2017328199</v>
      </c>
      <c r="H119" s="247">
        <f t="shared" si="82"/>
        <v>5007782.1972863488</v>
      </c>
      <c r="I119" s="248">
        <f t="shared" si="82"/>
        <v>6208794.5068977149</v>
      </c>
      <c r="J119" s="273">
        <f t="shared" si="82"/>
        <v>7164159.346146686</v>
      </c>
      <c r="K119" s="247">
        <f t="shared" si="82"/>
        <v>7692121.7410402838</v>
      </c>
      <c r="L119" s="247">
        <f t="shared" si="82"/>
        <v>8233980.855578538</v>
      </c>
      <c r="M119" s="248">
        <f t="shared" si="82"/>
        <v>9411196.8552564029</v>
      </c>
    </row>
    <row r="120" spans="1:22" ht="13.5" thickBot="1">
      <c r="A120" s="208" t="s">
        <v>2</v>
      </c>
      <c r="B120" s="205"/>
      <c r="C120" s="214"/>
      <c r="D120" s="255"/>
      <c r="E120" s="211"/>
      <c r="F120" s="212"/>
      <c r="G120" s="255"/>
      <c r="H120" s="211"/>
      <c r="I120" s="212"/>
      <c r="J120" s="255"/>
      <c r="K120" s="211"/>
      <c r="L120" s="211"/>
      <c r="M120" s="212"/>
    </row>
    <row r="121" spans="1:22" ht="14.15" customHeight="1">
      <c r="A121" s="183" t="s">
        <v>113</v>
      </c>
      <c r="B121" s="66"/>
      <c r="C121" s="230">
        <f>'Development Schedule'!C104</f>
        <v>123.07</v>
      </c>
      <c r="D121" s="222">
        <f>$C121*(1+$B$8)^D$4</f>
        <v>125.53139999999999</v>
      </c>
      <c r="E121" s="209">
        <f t="shared" ref="E121:M124" si="83">$C121*(1+$B$8)^E$4</f>
        <v>128.04202799999999</v>
      </c>
      <c r="F121" s="210">
        <f t="shared" si="83"/>
        <v>130.60286855999999</v>
      </c>
      <c r="G121" s="222">
        <f t="shared" si="83"/>
        <v>133.21492593119999</v>
      </c>
      <c r="H121" s="209">
        <f t="shared" si="83"/>
        <v>135.87922444982399</v>
      </c>
      <c r="I121" s="210">
        <f t="shared" si="83"/>
        <v>138.59680893882049</v>
      </c>
      <c r="J121" s="222">
        <f t="shared" si="83"/>
        <v>141.36874511759686</v>
      </c>
      <c r="K121" s="209">
        <f t="shared" si="83"/>
        <v>144.19612001994881</v>
      </c>
      <c r="L121" s="209">
        <f t="shared" si="83"/>
        <v>147.08004242034778</v>
      </c>
      <c r="M121" s="210">
        <f t="shared" si="83"/>
        <v>150.02164326875476</v>
      </c>
    </row>
    <row r="122" spans="1:22" ht="14.15" customHeight="1">
      <c r="A122" s="183" t="s">
        <v>114</v>
      </c>
      <c r="B122" s="66"/>
      <c r="C122" s="408">
        <f>'Development Schedule'!C101</f>
        <v>196.19280000000001</v>
      </c>
      <c r="D122" s="409">
        <f>$C122*(1+$B$8)^D$4</f>
        <v>200.11665600000001</v>
      </c>
      <c r="E122" s="410">
        <f t="shared" si="83"/>
        <v>204.11898912000001</v>
      </c>
      <c r="F122" s="411">
        <f t="shared" si="83"/>
        <v>208.20136890239999</v>
      </c>
      <c r="G122" s="409">
        <f t="shared" si="83"/>
        <v>212.36539628044801</v>
      </c>
      <c r="H122" s="410">
        <f t="shared" si="83"/>
        <v>216.61270420605697</v>
      </c>
      <c r="I122" s="411">
        <f t="shared" si="83"/>
        <v>220.94495829017811</v>
      </c>
      <c r="J122" s="409">
        <f t="shared" si="83"/>
        <v>225.36385745598164</v>
      </c>
      <c r="K122" s="410">
        <f t="shared" si="83"/>
        <v>229.87113460510128</v>
      </c>
      <c r="L122" s="410">
        <f t="shared" si="83"/>
        <v>234.46855729720332</v>
      </c>
      <c r="M122" s="411">
        <f t="shared" si="83"/>
        <v>239.1579284431474</v>
      </c>
    </row>
    <row r="123" spans="1:22" ht="14.15" customHeight="1">
      <c r="A123" s="183" t="s">
        <v>115</v>
      </c>
      <c r="B123" s="66"/>
      <c r="C123" s="408">
        <f>'Development Schedule'!C102</f>
        <v>104.1228</v>
      </c>
      <c r="D123" s="409">
        <f>$C123*(1+$B$8)^D$4</f>
        <v>106.20525600000001</v>
      </c>
      <c r="E123" s="410">
        <f t="shared" si="83"/>
        <v>108.32936112</v>
      </c>
      <c r="F123" s="411">
        <f t="shared" si="83"/>
        <v>110.49594834239998</v>
      </c>
      <c r="G123" s="409">
        <f t="shared" si="83"/>
        <v>112.70586730924799</v>
      </c>
      <c r="H123" s="410">
        <f t="shared" si="83"/>
        <v>114.95998465543296</v>
      </c>
      <c r="I123" s="411">
        <f t="shared" si="83"/>
        <v>117.25918434854162</v>
      </c>
      <c r="J123" s="409">
        <f t="shared" si="83"/>
        <v>119.60436803551244</v>
      </c>
      <c r="K123" s="410">
        <f t="shared" si="83"/>
        <v>121.99645539622269</v>
      </c>
      <c r="L123" s="410">
        <f t="shared" si="83"/>
        <v>124.43638450414714</v>
      </c>
      <c r="M123" s="411">
        <f t="shared" si="83"/>
        <v>126.9251121942301</v>
      </c>
    </row>
    <row r="124" spans="1:22" ht="14.15" customHeight="1">
      <c r="A124" s="183" t="s">
        <v>525</v>
      </c>
      <c r="B124" s="66"/>
      <c r="C124" s="408">
        <f>'Development Schedule'!C103</f>
        <v>168.85079999999999</v>
      </c>
      <c r="D124" s="409">
        <f>$C124*(1+$B$8)^D$4</f>
        <v>172.22781599999999</v>
      </c>
      <c r="E124" s="410">
        <f t="shared" si="83"/>
        <v>175.67237231999999</v>
      </c>
      <c r="F124" s="411">
        <f t="shared" si="83"/>
        <v>179.18581976639999</v>
      </c>
      <c r="G124" s="409">
        <f t="shared" si="83"/>
        <v>182.76953616172798</v>
      </c>
      <c r="H124" s="410">
        <f t="shared" si="83"/>
        <v>186.42492688496256</v>
      </c>
      <c r="I124" s="411">
        <f t="shared" si="83"/>
        <v>190.15342542266183</v>
      </c>
      <c r="J124" s="409">
        <f t="shared" si="83"/>
        <v>193.95649393111501</v>
      </c>
      <c r="K124" s="410">
        <f t="shared" si="83"/>
        <v>197.83562380973731</v>
      </c>
      <c r="L124" s="410">
        <f t="shared" si="83"/>
        <v>201.79233628593207</v>
      </c>
      <c r="M124" s="411">
        <f t="shared" si="83"/>
        <v>205.82818301165074</v>
      </c>
    </row>
    <row r="125" spans="1:22" ht="14.15" customHeight="1">
      <c r="A125" s="183" t="s">
        <v>11</v>
      </c>
      <c r="B125" s="66"/>
      <c r="C125" s="268"/>
      <c r="D125" s="269"/>
      <c r="E125" s="196"/>
      <c r="F125" s="252"/>
      <c r="G125" s="269"/>
      <c r="H125" s="196"/>
      <c r="I125" s="252"/>
      <c r="J125" s="269"/>
      <c r="K125" s="196"/>
      <c r="L125" s="196"/>
      <c r="M125" s="252"/>
    </row>
    <row r="126" spans="1:22" ht="14.15" customHeight="1">
      <c r="A126" s="183" t="s">
        <v>2</v>
      </c>
      <c r="B126" s="66"/>
      <c r="C126" s="412">
        <v>0</v>
      </c>
      <c r="D126" s="275">
        <f>D121*D27+D122*D18+D123*D9</f>
        <v>8406728.1365999989</v>
      </c>
      <c r="E126" s="240">
        <f>E122*E36</f>
        <v>4776384.3454080001</v>
      </c>
      <c r="F126" s="244">
        <f>F121*F45</f>
        <v>914220.07991999993</v>
      </c>
      <c r="G126" s="275">
        <f>G121*G63+G122*G54</f>
        <v>5112253.3131039748</v>
      </c>
      <c r="H126" s="240">
        <f>H124*H72+H81*H121</f>
        <v>4636228.5730222082</v>
      </c>
      <c r="I126" s="244">
        <f>I90*I122</f>
        <v>5302678.9989642743</v>
      </c>
      <c r="J126" s="275">
        <v>0</v>
      </c>
      <c r="K126" s="240">
        <f>K99*K121</f>
        <v>2379235.9803291555</v>
      </c>
      <c r="L126" s="240">
        <f>L121*L108</f>
        <v>2353280.6787255644</v>
      </c>
      <c r="M126" s="244">
        <v>0</v>
      </c>
    </row>
    <row r="127" spans="1:22" ht="14.15" customHeight="1">
      <c r="A127" s="245" t="s">
        <v>12</v>
      </c>
      <c r="B127" s="250"/>
      <c r="C127" s="177"/>
      <c r="D127" s="271"/>
      <c r="E127" s="251"/>
      <c r="F127" s="254"/>
      <c r="G127" s="271"/>
      <c r="H127" s="251"/>
      <c r="I127" s="254"/>
      <c r="J127" s="271"/>
      <c r="K127" s="251"/>
      <c r="L127" s="251"/>
      <c r="M127" s="254"/>
    </row>
    <row r="128" spans="1:22" ht="13.5" thickBot="1">
      <c r="A128" s="405" t="s">
        <v>3</v>
      </c>
      <c r="B128" s="69"/>
      <c r="C128" s="272">
        <f>SUM(C126:C127)</f>
        <v>0</v>
      </c>
      <c r="D128" s="273">
        <f t="shared" ref="D128:M128" si="84">SUM(D126:D127)</f>
        <v>8406728.1365999989</v>
      </c>
      <c r="E128" s="247">
        <f t="shared" si="84"/>
        <v>4776384.3454080001</v>
      </c>
      <c r="F128" s="248">
        <f t="shared" si="84"/>
        <v>914220.07991999993</v>
      </c>
      <c r="G128" s="273">
        <f t="shared" si="84"/>
        <v>5112253.3131039748</v>
      </c>
      <c r="H128" s="247">
        <f t="shared" si="84"/>
        <v>4636228.5730222082</v>
      </c>
      <c r="I128" s="248">
        <f t="shared" si="84"/>
        <v>5302678.9989642743</v>
      </c>
      <c r="J128" s="273">
        <f t="shared" si="84"/>
        <v>0</v>
      </c>
      <c r="K128" s="247">
        <f t="shared" si="84"/>
        <v>2379235.9803291555</v>
      </c>
      <c r="L128" s="247">
        <f t="shared" si="84"/>
        <v>2353280.6787255644</v>
      </c>
      <c r="M128" s="248">
        <f t="shared" si="84"/>
        <v>0</v>
      </c>
    </row>
    <row r="129" spans="1:13" ht="14.15" customHeight="1" thickBot="1">
      <c r="A129" s="208" t="s">
        <v>4</v>
      </c>
      <c r="B129" s="205"/>
      <c r="C129" s="214"/>
      <c r="D129" s="255"/>
      <c r="E129" s="211"/>
      <c r="F129" s="212"/>
      <c r="G129" s="255"/>
      <c r="H129" s="211"/>
      <c r="I129" s="212"/>
      <c r="J129" s="255"/>
      <c r="K129" s="211"/>
      <c r="L129" s="211"/>
      <c r="M129" s="212"/>
    </row>
    <row r="130" spans="1:13" ht="14.15" customHeight="1">
      <c r="A130" s="183" t="s">
        <v>5</v>
      </c>
      <c r="B130" s="66"/>
      <c r="C130" s="148">
        <f t="shared" ref="C130:M130" si="85">C119</f>
        <v>0</v>
      </c>
      <c r="D130" s="270">
        <f t="shared" si="85"/>
        <v>-634735.80000000005</v>
      </c>
      <c r="E130" s="239">
        <f t="shared" si="85"/>
        <v>1171918.2645000003</v>
      </c>
      <c r="F130" s="253">
        <f t="shared" si="85"/>
        <v>2667307.1759550003</v>
      </c>
      <c r="G130" s="270">
        <f t="shared" si="85"/>
        <v>3387125.2017328199</v>
      </c>
      <c r="H130" s="239">
        <f t="shared" si="85"/>
        <v>5007782.1972863488</v>
      </c>
      <c r="I130" s="253">
        <f t="shared" si="85"/>
        <v>6208794.5068977149</v>
      </c>
      <c r="J130" s="270">
        <f t="shared" si="85"/>
        <v>7164159.346146686</v>
      </c>
      <c r="K130" s="239">
        <f t="shared" si="85"/>
        <v>7692121.7410402838</v>
      </c>
      <c r="L130" s="239">
        <f t="shared" si="85"/>
        <v>8233980.855578538</v>
      </c>
      <c r="M130" s="253">
        <f t="shared" si="85"/>
        <v>9411196.8552564029</v>
      </c>
    </row>
    <row r="131" spans="1:13" ht="14.15" customHeight="1">
      <c r="A131" s="183" t="s">
        <v>55</v>
      </c>
      <c r="B131" s="117">
        <f>D155</f>
        <v>7.0000000000000007E-2</v>
      </c>
      <c r="C131" s="153">
        <v>0</v>
      </c>
      <c r="D131" s="260">
        <f>C131</f>
        <v>0</v>
      </c>
      <c r="E131" s="249">
        <f t="shared" ref="E131:L132" si="86">D131</f>
        <v>0</v>
      </c>
      <c r="F131" s="261">
        <f t="shared" si="86"/>
        <v>0</v>
      </c>
      <c r="G131" s="260">
        <f t="shared" si="86"/>
        <v>0</v>
      </c>
      <c r="H131" s="249">
        <f t="shared" si="86"/>
        <v>0</v>
      </c>
      <c r="I131" s="261">
        <f t="shared" si="86"/>
        <v>0</v>
      </c>
      <c r="J131" s="260">
        <f t="shared" si="86"/>
        <v>0</v>
      </c>
      <c r="K131" s="249">
        <f t="shared" si="86"/>
        <v>0</v>
      </c>
      <c r="L131" s="249">
        <f t="shared" si="86"/>
        <v>0</v>
      </c>
      <c r="M131" s="261">
        <f>M130/B131</f>
        <v>134445669.36080575</v>
      </c>
    </row>
    <row r="132" spans="1:13" ht="14.15" customHeight="1">
      <c r="A132" s="183" t="s">
        <v>56</v>
      </c>
      <c r="B132" s="117">
        <f>D156</f>
        <v>0.03</v>
      </c>
      <c r="C132" s="153">
        <v>0</v>
      </c>
      <c r="D132" s="260">
        <f>C132</f>
        <v>0</v>
      </c>
      <c r="E132" s="249">
        <f t="shared" si="86"/>
        <v>0</v>
      </c>
      <c r="F132" s="261">
        <f t="shared" si="86"/>
        <v>0</v>
      </c>
      <c r="G132" s="260">
        <f t="shared" si="86"/>
        <v>0</v>
      </c>
      <c r="H132" s="249">
        <f t="shared" si="86"/>
        <v>0</v>
      </c>
      <c r="I132" s="261">
        <f t="shared" si="86"/>
        <v>0</v>
      </c>
      <c r="J132" s="260">
        <f t="shared" si="86"/>
        <v>0</v>
      </c>
      <c r="K132" s="249">
        <f t="shared" si="86"/>
        <v>0</v>
      </c>
      <c r="L132" s="249">
        <f t="shared" si="86"/>
        <v>0</v>
      </c>
      <c r="M132" s="261">
        <f>M131*-B132</f>
        <v>-4033370.0808241721</v>
      </c>
    </row>
    <row r="133" spans="1:13">
      <c r="A133" s="245" t="s">
        <v>96</v>
      </c>
      <c r="B133" s="319"/>
      <c r="C133" s="276">
        <f>-C128</f>
        <v>0</v>
      </c>
      <c r="D133" s="277">
        <f t="shared" ref="D133:M133" si="87">-D128</f>
        <v>-8406728.1365999989</v>
      </c>
      <c r="E133" s="243">
        <f t="shared" si="87"/>
        <v>-4776384.3454080001</v>
      </c>
      <c r="F133" s="246">
        <f t="shared" si="87"/>
        <v>-914220.07991999993</v>
      </c>
      <c r="G133" s="277">
        <f t="shared" si="87"/>
        <v>-5112253.3131039748</v>
      </c>
      <c r="H133" s="243">
        <f t="shared" si="87"/>
        <v>-4636228.5730222082</v>
      </c>
      <c r="I133" s="246">
        <f t="shared" si="87"/>
        <v>-5302678.9989642743</v>
      </c>
      <c r="J133" s="277">
        <f t="shared" si="87"/>
        <v>0</v>
      </c>
      <c r="K133" s="243">
        <f t="shared" si="87"/>
        <v>-2379235.9803291555</v>
      </c>
      <c r="L133" s="243">
        <f t="shared" si="87"/>
        <v>-2353280.6787255644</v>
      </c>
      <c r="M133" s="246">
        <f t="shared" si="87"/>
        <v>0</v>
      </c>
    </row>
    <row r="134" spans="1:13" ht="13.5" thickBot="1">
      <c r="A134" s="405" t="s">
        <v>6</v>
      </c>
      <c r="B134" s="127"/>
      <c r="C134" s="272">
        <f>SUM(C130:C133)</f>
        <v>0</v>
      </c>
      <c r="D134" s="273">
        <f t="shared" ref="D134:M134" si="88">SUM(D130:D133)</f>
        <v>-9041463.9365999997</v>
      </c>
      <c r="E134" s="247">
        <f t="shared" si="88"/>
        <v>-3604466.0809079995</v>
      </c>
      <c r="F134" s="248">
        <f t="shared" si="88"/>
        <v>1753087.0960350004</v>
      </c>
      <c r="G134" s="273">
        <f t="shared" si="88"/>
        <v>-1725128.1113711549</v>
      </c>
      <c r="H134" s="247">
        <f t="shared" si="88"/>
        <v>371553.62426414061</v>
      </c>
      <c r="I134" s="248">
        <f t="shared" si="88"/>
        <v>906115.50793344062</v>
      </c>
      <c r="J134" s="273">
        <f t="shared" si="88"/>
        <v>7164159.346146686</v>
      </c>
      <c r="K134" s="247">
        <f t="shared" si="88"/>
        <v>5312885.7607111279</v>
      </c>
      <c r="L134" s="247">
        <f t="shared" si="88"/>
        <v>5880700.1768529732</v>
      </c>
      <c r="M134" s="248">
        <f t="shared" si="88"/>
        <v>139823496.13523799</v>
      </c>
    </row>
    <row r="135" spans="1:13" ht="13.5" thickBot="1">
      <c r="A135" s="124" t="s">
        <v>25</v>
      </c>
      <c r="B135" s="114"/>
      <c r="C135" s="400">
        <f>C134+NPV(D157,D134:M134)</f>
        <v>57940616.311457522</v>
      </c>
      <c r="D135" s="397"/>
      <c r="E135" s="398"/>
      <c r="F135" s="399"/>
      <c r="G135" s="397"/>
      <c r="H135" s="398"/>
      <c r="I135" s="399"/>
      <c r="J135" s="116"/>
      <c r="K135" s="116"/>
      <c r="L135" s="116"/>
      <c r="M135" s="198"/>
    </row>
    <row r="136" spans="1:13" ht="13.5" thickBot="1">
      <c r="A136" s="89" t="s">
        <v>57</v>
      </c>
      <c r="B136" s="162"/>
      <c r="C136" s="283">
        <f>IRR(C134:M134,0)</f>
        <v>0.3586932261632827</v>
      </c>
      <c r="D136" s="264"/>
      <c r="E136" s="162"/>
      <c r="F136" s="182"/>
      <c r="G136" s="264"/>
      <c r="H136" s="162"/>
      <c r="I136" s="182"/>
      <c r="J136" s="162"/>
      <c r="K136" s="162"/>
      <c r="L136" s="162"/>
      <c r="M136" s="182"/>
    </row>
    <row r="137" spans="1:13" ht="13.5" thickBot="1">
      <c r="A137" s="401"/>
      <c r="B137" s="66"/>
      <c r="C137" s="415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1:13" ht="13.5" thickBot="1">
      <c r="A138" s="193" t="s">
        <v>89</v>
      </c>
      <c r="B138" s="168"/>
      <c r="C138" s="168"/>
      <c r="D138" s="192"/>
      <c r="E138" s="37"/>
      <c r="F138" s="37"/>
      <c r="G138" s="371"/>
      <c r="H138" s="37"/>
      <c r="I138" s="37"/>
      <c r="J138" s="37"/>
      <c r="K138" s="37"/>
      <c r="L138" s="37"/>
      <c r="M138" s="37"/>
    </row>
    <row r="139" spans="1:13" ht="13.5" thickBot="1">
      <c r="A139" s="87"/>
      <c r="B139" s="162"/>
      <c r="C139" s="92" t="s">
        <v>107</v>
      </c>
      <c r="D139" s="93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>
      <c r="A140" s="65" t="s">
        <v>513</v>
      </c>
      <c r="B140" s="66"/>
      <c r="C140" s="1040">
        <f>'Development Schedule'!G102</f>
        <v>20600</v>
      </c>
      <c r="D140" s="199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>
      <c r="A141" s="65" t="s">
        <v>514</v>
      </c>
      <c r="B141" s="66"/>
      <c r="C141" s="1040">
        <f>'Development Schedule'!G101</f>
        <v>23000</v>
      </c>
      <c r="D141" s="199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>
      <c r="A142" s="65" t="s">
        <v>515</v>
      </c>
      <c r="B142" s="66"/>
      <c r="C142" s="1040">
        <f>'Development Schedule'!G104</f>
        <v>12875</v>
      </c>
      <c r="D142" s="199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>
      <c r="A143" s="65" t="s">
        <v>516</v>
      </c>
      <c r="B143" s="66"/>
      <c r="C143" s="1040">
        <f>'Development Schedule'!H101</f>
        <v>23400</v>
      </c>
      <c r="D143" s="199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>
      <c r="A144" s="65" t="s">
        <v>517</v>
      </c>
      <c r="B144" s="66"/>
      <c r="C144" s="1040">
        <f>'Development Schedule'!I104</f>
        <v>7000</v>
      </c>
      <c r="D144" s="199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>
      <c r="A145" s="65" t="s">
        <v>518</v>
      </c>
      <c r="B145" s="66"/>
      <c r="C145" s="1040">
        <f>'Development Schedule'!J101</f>
        <v>17800</v>
      </c>
      <c r="D145" s="199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>
      <c r="A146" s="65" t="s">
        <v>519</v>
      </c>
      <c r="B146" s="66"/>
      <c r="C146" s="1040">
        <f>'Development Schedule'!J104</f>
        <v>10000</v>
      </c>
      <c r="D146" s="199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>
      <c r="A147" s="65" t="s">
        <v>521</v>
      </c>
      <c r="B147" s="66"/>
      <c r="C147" s="1040">
        <f>'Development Schedule'!K103</f>
        <v>18200</v>
      </c>
      <c r="D147" s="199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>
      <c r="A148" s="65" t="s">
        <v>520</v>
      </c>
      <c r="B148" s="66"/>
      <c r="C148" s="1040">
        <f>'Development Schedule'!K104</f>
        <v>9150</v>
      </c>
      <c r="D148" s="199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>
      <c r="A149" s="65" t="s">
        <v>522</v>
      </c>
      <c r="B149" s="66"/>
      <c r="C149" s="1040">
        <f>'Development Schedule'!L101</f>
        <v>24000</v>
      </c>
      <c r="D149" s="199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>
      <c r="A150" s="65" t="s">
        <v>523</v>
      </c>
      <c r="B150" s="66"/>
      <c r="C150" s="1040">
        <f>'Development Schedule'!N104</f>
        <v>16500</v>
      </c>
      <c r="D150" s="199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3" thickBot="1">
      <c r="A151" s="68" t="s">
        <v>524</v>
      </c>
      <c r="B151" s="69"/>
      <c r="C151" s="1044">
        <f>'Development Schedule'!O104</f>
        <v>16000</v>
      </c>
      <c r="D151" s="285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3" thickBot="1">
      <c r="A152" s="37"/>
      <c r="B152" s="59"/>
      <c r="C152" s="59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3.5" thickBot="1">
      <c r="A153" s="193" t="s">
        <v>97</v>
      </c>
      <c r="B153" s="266"/>
      <c r="C153" s="266"/>
      <c r="D153" s="26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>
      <c r="A154" s="65" t="s">
        <v>108</v>
      </c>
      <c r="B154" s="66"/>
      <c r="C154" s="66"/>
      <c r="D154" s="167">
        <f>40*0.3</f>
        <v>12</v>
      </c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>
      <c r="A155" s="65" t="s">
        <v>98</v>
      </c>
      <c r="B155" s="66"/>
      <c r="C155" s="66"/>
      <c r="D155" s="391">
        <f>'Summary Board'!K103</f>
        <v>7.0000000000000007E-2</v>
      </c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>
      <c r="A156" s="65" t="s">
        <v>99</v>
      </c>
      <c r="B156" s="66"/>
      <c r="C156" s="66"/>
      <c r="D156" s="391">
        <v>0.03</v>
      </c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3" thickBot="1">
      <c r="A157" s="68" t="s">
        <v>85</v>
      </c>
      <c r="B157" s="69"/>
      <c r="C157" s="69"/>
      <c r="D157" s="135">
        <v>0.09</v>
      </c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>
      <c r="A158" s="37"/>
      <c r="B158" s="59"/>
      <c r="C158" s="59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</sheetData>
  <phoneticPr fontId="3" type="noConversion"/>
  <printOptions horizontalCentered="1"/>
  <pageMargins left="0.5" right="0.5" top="1" bottom="0.5" header="0.5" footer="0.5"/>
  <pageSetup scale="51" fitToHeight="2" orientation="landscape" r:id="rId1"/>
  <headerFooter alignWithMargins="0">
    <oddHeader>&amp;L&amp;"Arial,Bold"6. Income Statement: Retail</oddHeader>
  </headerFooter>
  <rowBreaks count="1" manualBreakCount="1">
    <brk id="84" max="12" man="1"/>
  </rowBreaks>
  <ignoredErrors>
    <ignoredError sqref="F10 G10:M10 F45 G19:M19 G28:M28 D37:M37 D46:M46 D55:E55 D64 D73:M73 D82:M82 D91:M91 D100:M100 D109:M109 G55:M55 G64:M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24</vt:i4>
      </vt:variant>
    </vt:vector>
  </HeadingPairs>
  <TitlesOfParts>
    <vt:vector size="47" baseType="lpstr">
      <vt:lpstr>Final Board</vt:lpstr>
      <vt:lpstr>Summary Board</vt:lpstr>
      <vt:lpstr>Budget</vt:lpstr>
      <vt:lpstr>1.Inftr Costs</vt:lpstr>
      <vt:lpstr>2.Market-Rate Rental Housing</vt:lpstr>
      <vt:lpstr>3.Luxury Condos</vt:lpstr>
      <vt:lpstr>4.Affordable Rental Housing</vt:lpstr>
      <vt:lpstr>5.Office</vt:lpstr>
      <vt:lpstr>6.Retail</vt:lpstr>
      <vt:lpstr>7.Hotel</vt:lpstr>
      <vt:lpstr>8.Structured Parking</vt:lpstr>
      <vt:lpstr>9.Surface Parking</vt:lpstr>
      <vt:lpstr>Additional Data</vt:lpstr>
      <vt:lpstr>Development Schedule</vt:lpstr>
      <vt:lpstr>Land Acquisition</vt:lpstr>
      <vt:lpstr>Land Values</vt:lpstr>
      <vt:lpstr>Existing Building Market Values</vt:lpstr>
      <vt:lpstr>Development Costs</vt:lpstr>
      <vt:lpstr>Financing</vt:lpstr>
      <vt:lpstr>Apartment Comparable Summary</vt:lpstr>
      <vt:lpstr>Apartment Comparable Data</vt:lpstr>
      <vt:lpstr>Condo Comparable Summary</vt:lpstr>
      <vt:lpstr>Condo Comparable Data</vt:lpstr>
      <vt:lpstr>'1.Inftr Costs'!Print_Area</vt:lpstr>
      <vt:lpstr>'2.Market-Rate Rental Housing'!Print_Area</vt:lpstr>
      <vt:lpstr>'3.Luxury Condos'!Print_Area</vt:lpstr>
      <vt:lpstr>'4.Affordable Rental Housing'!Print_Area</vt:lpstr>
      <vt:lpstr>'5.Office'!Print_Area</vt:lpstr>
      <vt:lpstr>'6.Retail'!Print_Area</vt:lpstr>
      <vt:lpstr>'8.Structured Parking'!Print_Area</vt:lpstr>
      <vt:lpstr>'9.Surface Parking'!Print_Area</vt:lpstr>
      <vt:lpstr>'Apartment Comparable Summary'!Print_Area</vt:lpstr>
      <vt:lpstr>'Development Costs'!Print_Area</vt:lpstr>
      <vt:lpstr>'Development Schedule'!Print_Area</vt:lpstr>
      <vt:lpstr>'Existing Building Market Values'!Print_Area</vt:lpstr>
      <vt:lpstr>'Final Board'!Print_Area</vt:lpstr>
      <vt:lpstr>Financing!Print_Area</vt:lpstr>
      <vt:lpstr>'Land Acquisition'!Print_Area</vt:lpstr>
      <vt:lpstr>'Land Values'!Print_Area</vt:lpstr>
      <vt:lpstr>'Summary Board'!Print_Area</vt:lpstr>
      <vt:lpstr>'2.Market-Rate Rental Housing'!Print_Titles</vt:lpstr>
      <vt:lpstr>'4.Affordable Rental Housing'!Print_Titles</vt:lpstr>
      <vt:lpstr>'6.Retail'!Print_Titles</vt:lpstr>
      <vt:lpstr>'8.Structured Parking'!Print_Titles</vt:lpstr>
      <vt:lpstr>'9.Surface Parking'!Print_Titles</vt:lpstr>
      <vt:lpstr>'Development Schedule'!Print_Titles</vt:lpstr>
      <vt:lpstr>'Land Values'!Print_Titles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Finkenbinder-Best</dc:creator>
  <cp:lastModifiedBy>Clara Tran</cp:lastModifiedBy>
  <cp:lastPrinted>2020-01-27T20:00:12Z</cp:lastPrinted>
  <dcterms:created xsi:type="dcterms:W3CDTF">2007-12-12T14:49:40Z</dcterms:created>
  <dcterms:modified xsi:type="dcterms:W3CDTF">2020-01-27T20:00:38Z</dcterms:modified>
</cp:coreProperties>
</file>