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arlhedman/Dropbox (MIT)/ULI Finances/"/>
    </mc:Choice>
  </mc:AlternateContent>
  <xr:revisionPtr revIDLastSave="0" documentId="13_ncr:1_{B2ED9D3C-BBFA-D040-A779-749E0BCEB68F}" xr6:coauthVersionLast="36" xr6:coauthVersionMax="45" xr10:uidLastSave="{00000000-0000-0000-0000-000000000000}"/>
  <bookViews>
    <workbookView xWindow="600" yWindow="1080" windowWidth="27660" windowHeight="15800" tabRatio="904" firstSheet="9" activeTab="2" xr2:uid="{00000000-000D-0000-FFFF-FFFF00000000}"/>
  </bookViews>
  <sheets>
    <sheet name="Summary Board" sheetId="28" r:id="rId1"/>
    <sheet name="Summary Board II -  S+U" sheetId="31" r:id="rId2"/>
    <sheet name="1.Infrastructure Costs" sheetId="15" r:id="rId3"/>
    <sheet name="2.Market-rate Rental Housing" sheetId="14" r:id="rId4"/>
    <sheet name="3.Affordable Rental Housing" sheetId="26" r:id="rId5"/>
    <sheet name="4.Office_Commercial" sheetId="20" r:id="rId6"/>
    <sheet name="5.Market-rate Retail" sheetId="22" r:id="rId7"/>
    <sheet name="6.Community facilities" sheetId="36" r:id="rId8"/>
    <sheet name="7.Affordable Art Space " sheetId="38" r:id="rId9"/>
    <sheet name="8.Hotel" sheetId="23" r:id="rId10"/>
    <sheet name="9.Structured Parking" sheetId="18" r:id="rId11"/>
    <sheet name="Assumptions" sheetId="40" r:id="rId12"/>
    <sheet name="Loan sizing and public sources" sheetId="35" r:id="rId13"/>
    <sheet name="Parcel breakdown" sheetId="29" r:id="rId14"/>
    <sheet name="Detailed Uses" sheetId="30" r:id="rId15"/>
    <sheet name="Parking Backup" sheetId="39" r:id="rId16"/>
    <sheet name="TIF Financing" sheetId="33" r:id="rId17"/>
    <sheet name="Financing Costs" sheetId="37" r:id="rId18"/>
  </sheets>
  <definedNames>
    <definedName name="_xlnm.Print_Area" localSheetId="2">'1.Infrastructure Costs'!$A$1:$N$24</definedName>
    <definedName name="_xlnm.Print_Area" localSheetId="9">'8.Hotel'!$A$1:$M$34</definedName>
    <definedName name="_xlnm.Print_Area" localSheetId="0">'Summary Board'!$A$1:$M$97</definedName>
    <definedName name="_xlnm.Print_Area" localSheetId="1">'Summary Board II -  S+U'!$A$1:$M$81</definedName>
  </definedNames>
  <calcPr calcId="181029" iterate="1"/>
</workbook>
</file>

<file path=xl/calcChain.xml><?xml version="1.0" encoding="utf-8"?>
<calcChain xmlns="http://schemas.openxmlformats.org/spreadsheetml/2006/main">
  <c r="J21" i="15" l="1"/>
  <c r="K21" i="15"/>
  <c r="L21" i="15"/>
  <c r="M21" i="15"/>
  <c r="N21" i="15"/>
  <c r="B22" i="26"/>
  <c r="E38" i="20"/>
  <c r="F38" i="20" s="1"/>
  <c r="G38" i="20" s="1"/>
  <c r="H38" i="20" s="1"/>
  <c r="I38" i="20" s="1"/>
  <c r="J38" i="20" s="1"/>
  <c r="K38" i="20" s="1"/>
  <c r="L38" i="20" s="1"/>
  <c r="M38" i="20" s="1"/>
  <c r="N38" i="20" s="1"/>
  <c r="C11" i="38" l="1"/>
  <c r="J40" i="33"/>
  <c r="M48" i="18" l="1"/>
  <c r="L48" i="18"/>
  <c r="K48" i="18"/>
  <c r="J48" i="18"/>
  <c r="I48" i="18"/>
  <c r="S27" i="15"/>
  <c r="S26" i="15"/>
  <c r="S25" i="15"/>
  <c r="T25" i="15" s="1"/>
  <c r="U24" i="15"/>
  <c r="U28" i="15" s="1"/>
  <c r="T24" i="15"/>
  <c r="S24" i="15"/>
  <c r="C40" i="30"/>
  <c r="G40" i="30" s="1"/>
  <c r="I40" i="30" l="1"/>
  <c r="U26" i="15"/>
  <c r="U32" i="15"/>
  <c r="S28" i="15"/>
  <c r="T26" i="15"/>
  <c r="V25" i="15"/>
  <c r="T28" i="15"/>
  <c r="S32" i="15"/>
  <c r="V24" i="15"/>
  <c r="T32" i="15"/>
  <c r="H40" i="30"/>
  <c r="F40" i="30" s="1"/>
  <c r="E61" i="40"/>
  <c r="E62" i="40"/>
  <c r="E63" i="40"/>
  <c r="E64" i="40"/>
  <c r="E65" i="40"/>
  <c r="G65" i="40" s="1"/>
  <c r="D65" i="40" s="1"/>
  <c r="E66" i="40"/>
  <c r="G66" i="40" s="1"/>
  <c r="D66" i="40" s="1"/>
  <c r="E67" i="40"/>
  <c r="G67" i="40" s="1"/>
  <c r="D67" i="40" s="1"/>
  <c r="E68" i="40"/>
  <c r="E69" i="40"/>
  <c r="E70" i="40"/>
  <c r="E71" i="40"/>
  <c r="E60" i="40"/>
  <c r="G60" i="40" s="1"/>
  <c r="D60" i="40" s="1"/>
  <c r="H72" i="40"/>
  <c r="E72" i="40" s="1"/>
  <c r="G72" i="40" s="1"/>
  <c r="E89" i="28" s="1"/>
  <c r="G61" i="40"/>
  <c r="D61" i="40" s="1"/>
  <c r="G64" i="40"/>
  <c r="D64" i="40" s="1"/>
  <c r="F72" i="40"/>
  <c r="F61" i="40"/>
  <c r="F62" i="40"/>
  <c r="F63" i="40"/>
  <c r="F64" i="40"/>
  <c r="F65" i="40"/>
  <c r="F66" i="40"/>
  <c r="F67" i="40"/>
  <c r="F68" i="40"/>
  <c r="G68" i="40" s="1"/>
  <c r="D68" i="40" s="1"/>
  <c r="F69" i="40"/>
  <c r="G69" i="40" s="1"/>
  <c r="D69" i="40" s="1"/>
  <c r="F70" i="40"/>
  <c r="F71" i="40"/>
  <c r="F60" i="40"/>
  <c r="D97" i="35"/>
  <c r="C97" i="35"/>
  <c r="F15" i="22"/>
  <c r="G15" i="22"/>
  <c r="H15" i="22"/>
  <c r="I15" i="22"/>
  <c r="J15" i="22"/>
  <c r="K15" i="22"/>
  <c r="L15" i="22"/>
  <c r="M15" i="22"/>
  <c r="E15" i="22"/>
  <c r="E10" i="22"/>
  <c r="G14" i="22"/>
  <c r="H14" i="22"/>
  <c r="I14" i="22"/>
  <c r="J14" i="22"/>
  <c r="K14" i="22"/>
  <c r="L14" i="22"/>
  <c r="M14" i="22"/>
  <c r="F14" i="22"/>
  <c r="E14" i="22"/>
  <c r="F13" i="22"/>
  <c r="G13" i="22"/>
  <c r="H13" i="22"/>
  <c r="I13" i="22"/>
  <c r="J13" i="22"/>
  <c r="K13" i="22"/>
  <c r="L13" i="22"/>
  <c r="M13" i="22"/>
  <c r="E13" i="22"/>
  <c r="I7" i="22"/>
  <c r="G7" i="22"/>
  <c r="M12" i="22"/>
  <c r="F12" i="22"/>
  <c r="G12" i="22"/>
  <c r="H12" i="22"/>
  <c r="I12" i="22"/>
  <c r="J12" i="22"/>
  <c r="K12" i="22"/>
  <c r="L12" i="22"/>
  <c r="E7" i="22"/>
  <c r="E12" i="22"/>
  <c r="E11" i="22"/>
  <c r="F11" i="22"/>
  <c r="G11" i="22"/>
  <c r="H11" i="22"/>
  <c r="I11" i="22"/>
  <c r="J11" i="22"/>
  <c r="K11" i="22"/>
  <c r="L11" i="22"/>
  <c r="M11" i="22"/>
  <c r="D11" i="22"/>
  <c r="D87" i="35"/>
  <c r="D86" i="35"/>
  <c r="C86" i="35" s="1"/>
  <c r="E85" i="35"/>
  <c r="D85" i="35"/>
  <c r="C85" i="35"/>
  <c r="F87" i="35"/>
  <c r="E87" i="35"/>
  <c r="F76" i="35"/>
  <c r="E76" i="35"/>
  <c r="D76" i="35"/>
  <c r="E75" i="35"/>
  <c r="D75" i="35"/>
  <c r="D74" i="35"/>
  <c r="H65" i="31"/>
  <c r="O36" i="40"/>
  <c r="J4" i="39"/>
  <c r="J5" i="39"/>
  <c r="J6" i="39"/>
  <c r="J3" i="39"/>
  <c r="J8" i="39"/>
  <c r="J7" i="39"/>
  <c r="D63" i="31"/>
  <c r="M96" i="28" s="1"/>
  <c r="J62" i="31"/>
  <c r="J60" i="31"/>
  <c r="F54" i="35"/>
  <c r="I38" i="23"/>
  <c r="C18" i="26"/>
  <c r="D16" i="26"/>
  <c r="D18" i="26" s="1"/>
  <c r="C16" i="26"/>
  <c r="F59" i="29"/>
  <c r="G59" i="29" s="1"/>
  <c r="H59" i="29" s="1"/>
  <c r="F58" i="29"/>
  <c r="G58" i="29" s="1"/>
  <c r="H58" i="29" s="1"/>
  <c r="F57" i="29"/>
  <c r="G57" i="29" s="1"/>
  <c r="H57" i="29" s="1"/>
  <c r="F55" i="29"/>
  <c r="F56" i="29"/>
  <c r="G56" i="29" s="1"/>
  <c r="H56" i="29" s="1"/>
  <c r="T21" i="40"/>
  <c r="C58" i="29" s="1"/>
  <c r="D58" i="29" s="1"/>
  <c r="E58" i="29" s="1"/>
  <c r="M77" i="28"/>
  <c r="E85" i="28"/>
  <c r="N13" i="15"/>
  <c r="M13" i="15"/>
  <c r="L13" i="15"/>
  <c r="K13" i="15"/>
  <c r="J13" i="15"/>
  <c r="V28" i="15" l="1"/>
  <c r="G70" i="40"/>
  <c r="D70" i="40" s="1"/>
  <c r="G62" i="40"/>
  <c r="D62" i="40" s="1"/>
  <c r="G71" i="40"/>
  <c r="D71" i="40" s="1"/>
  <c r="G63" i="40"/>
  <c r="D63" i="40" s="1"/>
  <c r="D72" i="40" s="1"/>
  <c r="V32" i="15"/>
  <c r="C76" i="35"/>
  <c r="C87" i="35"/>
  <c r="H3" i="39"/>
  <c r="H7" i="39" s="1"/>
  <c r="F3" i="39"/>
  <c r="F7" i="39" s="1"/>
  <c r="G55" i="29"/>
  <c r="F81" i="35" l="1"/>
  <c r="H55" i="29"/>
  <c r="C54" i="40"/>
  <c r="G46" i="40" l="1"/>
  <c r="G47" i="40"/>
  <c r="G43" i="40"/>
  <c r="X2" i="29" s="1"/>
  <c r="G45" i="40"/>
  <c r="G42" i="40"/>
  <c r="V2" i="29" s="1"/>
  <c r="G41" i="40"/>
  <c r="T2" i="29" s="1"/>
  <c r="G40" i="40"/>
  <c r="Q2" i="29" s="1"/>
  <c r="G44" i="40"/>
  <c r="U2" i="29" l="1"/>
  <c r="R2" i="29"/>
  <c r="F19" i="40"/>
  <c r="J60" i="28"/>
  <c r="R23" i="40"/>
  <c r="Q23" i="40"/>
  <c r="S20" i="40"/>
  <c r="R20" i="40"/>
  <c r="Q20" i="40"/>
  <c r="P20" i="40"/>
  <c r="O20" i="40"/>
  <c r="T18" i="40"/>
  <c r="C57" i="29" s="1"/>
  <c r="D57" i="29" s="1"/>
  <c r="E57" i="29" s="1"/>
  <c r="S17" i="40"/>
  <c r="R17" i="40"/>
  <c r="Q17" i="40"/>
  <c r="P17" i="40"/>
  <c r="O17" i="40"/>
  <c r="T15" i="40"/>
  <c r="C56" i="29" s="1"/>
  <c r="D56" i="29" s="1"/>
  <c r="E56" i="29" s="1"/>
  <c r="S14" i="40"/>
  <c r="R14" i="40"/>
  <c r="Q14" i="40"/>
  <c r="P14" i="40"/>
  <c r="O14" i="40"/>
  <c r="T12" i="40"/>
  <c r="C55" i="29" s="1"/>
  <c r="F10" i="40"/>
  <c r="D55" i="29" l="1"/>
  <c r="E55" i="29" s="1"/>
  <c r="D8" i="23"/>
  <c r="E8" i="23" s="1"/>
  <c r="F8" i="23" s="1"/>
  <c r="G8" i="23" s="1"/>
  <c r="H8" i="23" s="1"/>
  <c r="I8" i="23" s="1"/>
  <c r="J8" i="23" s="1"/>
  <c r="K8" i="23" s="1"/>
  <c r="L8" i="23" s="1"/>
  <c r="M8" i="23" s="1"/>
  <c r="C24" i="35"/>
  <c r="C22" i="35"/>
  <c r="E23" i="35"/>
  <c r="E25" i="35" l="1"/>
  <c r="C25" i="35" s="1"/>
  <c r="C23" i="35"/>
  <c r="D30" i="35"/>
  <c r="C10" i="14"/>
  <c r="D10" i="14"/>
  <c r="E61" i="28"/>
  <c r="D61" i="28"/>
  <c r="F18" i="31"/>
  <c r="F42" i="31" s="1"/>
  <c r="G6" i="39" l="1"/>
  <c r="H6" i="39" s="1"/>
  <c r="G5" i="39"/>
  <c r="H5" i="39" s="1"/>
  <c r="G4" i="39"/>
  <c r="H4" i="39" s="1"/>
  <c r="G3" i="39"/>
  <c r="C38" i="28"/>
  <c r="E67" i="28"/>
  <c r="D67" i="28"/>
  <c r="E68" i="28"/>
  <c r="D68" i="28"/>
  <c r="E70" i="28"/>
  <c r="E69" i="28"/>
  <c r="D69" i="28"/>
  <c r="C7" i="18"/>
  <c r="D70" i="28" s="1"/>
  <c r="J12" i="31"/>
  <c r="F75" i="35" s="1"/>
  <c r="C75" i="35" s="1"/>
  <c r="E66" i="28"/>
  <c r="F66" i="28"/>
  <c r="D66" i="28"/>
  <c r="E64" i="28"/>
  <c r="D64" i="28"/>
  <c r="E63" i="28"/>
  <c r="D63" i="28"/>
  <c r="E60" i="28"/>
  <c r="F60" i="28"/>
  <c r="G60" i="28"/>
  <c r="H60" i="28"/>
  <c r="I60" i="28"/>
  <c r="D60" i="28"/>
  <c r="D13" i="28"/>
  <c r="C13" i="28"/>
  <c r="D12" i="28"/>
  <c r="C12" i="28"/>
  <c r="J65" i="31"/>
  <c r="H64" i="31"/>
  <c r="I24" i="28"/>
  <c r="D8" i="38"/>
  <c r="D9" i="38" s="1"/>
  <c r="D11" i="38" s="1"/>
  <c r="D22" i="38" s="1"/>
  <c r="C8" i="38"/>
  <c r="C9" i="38" s="1"/>
  <c r="D6" i="22"/>
  <c r="C22" i="38"/>
  <c r="M20" i="38"/>
  <c r="L20" i="38"/>
  <c r="K20" i="38"/>
  <c r="J20" i="38"/>
  <c r="I20" i="38"/>
  <c r="D6" i="38"/>
  <c r="E6" i="38" s="1"/>
  <c r="E10" i="38" s="1"/>
  <c r="E4" i="38"/>
  <c r="F4" i="38" s="1"/>
  <c r="G4" i="38" s="1"/>
  <c r="H4" i="38" s="1"/>
  <c r="I4" i="38" s="1"/>
  <c r="J4" i="38" s="1"/>
  <c r="K4" i="38" s="1"/>
  <c r="L4" i="38" s="1"/>
  <c r="M4" i="38" s="1"/>
  <c r="D21" i="36"/>
  <c r="C21" i="36"/>
  <c r="M19" i="36"/>
  <c r="L19" i="36"/>
  <c r="K19" i="36"/>
  <c r="J19" i="36"/>
  <c r="I19" i="36"/>
  <c r="D5" i="36"/>
  <c r="E5" i="36" s="1"/>
  <c r="E9" i="36" s="1"/>
  <c r="E3" i="36"/>
  <c r="F3" i="36" s="1"/>
  <c r="G3" i="36" s="1"/>
  <c r="H3" i="36" s="1"/>
  <c r="I3" i="36" s="1"/>
  <c r="J3" i="36" s="1"/>
  <c r="K3" i="36" s="1"/>
  <c r="L3" i="36" s="1"/>
  <c r="M3" i="36" s="1"/>
  <c r="O9" i="37"/>
  <c r="N9" i="37"/>
  <c r="M9" i="37"/>
  <c r="K23" i="28"/>
  <c r="L23" i="28"/>
  <c r="M23" i="28"/>
  <c r="I23" i="28"/>
  <c r="J23" i="28"/>
  <c r="E58" i="28"/>
  <c r="D58" i="28"/>
  <c r="E59" i="28"/>
  <c r="D59" i="28"/>
  <c r="AU7" i="29"/>
  <c r="AU8" i="29"/>
  <c r="AU10" i="29"/>
  <c r="AU11" i="29"/>
  <c r="AU12" i="29"/>
  <c r="AU13" i="29"/>
  <c r="AU14" i="29"/>
  <c r="AU15" i="29"/>
  <c r="AU16" i="29"/>
  <c r="AU17" i="29"/>
  <c r="D12" i="31" l="1"/>
  <c r="F6" i="38"/>
  <c r="F5" i="36"/>
  <c r="F10" i="38" l="1"/>
  <c r="G6" i="38"/>
  <c r="F9" i="36"/>
  <c r="G5" i="36"/>
  <c r="H59" i="31"/>
  <c r="F21" i="31"/>
  <c r="H22" i="30"/>
  <c r="D9" i="35"/>
  <c r="J59" i="31"/>
  <c r="F59" i="31"/>
  <c r="K22" i="30"/>
  <c r="D61" i="31"/>
  <c r="M94" i="28" s="1"/>
  <c r="D62" i="31"/>
  <c r="M95" i="28" s="1"/>
  <c r="H16" i="30"/>
  <c r="U16" i="30" s="1"/>
  <c r="I16" i="30"/>
  <c r="AE16" i="30" s="1"/>
  <c r="F16" i="30"/>
  <c r="G16" i="30"/>
  <c r="K16" i="30" s="1"/>
  <c r="T31" i="15"/>
  <c r="H15" i="30" s="1"/>
  <c r="U15" i="30" s="1"/>
  <c r="U31" i="15"/>
  <c r="I15" i="30" s="1"/>
  <c r="AE15" i="30" s="1"/>
  <c r="V31" i="15"/>
  <c r="F15" i="30" s="1"/>
  <c r="S31" i="15"/>
  <c r="G15" i="30" s="1"/>
  <c r="K15" i="30" s="1"/>
  <c r="T30" i="15"/>
  <c r="U30" i="15"/>
  <c r="V30" i="15"/>
  <c r="S30" i="15"/>
  <c r="D22" i="31"/>
  <c r="D23" i="31"/>
  <c r="D24" i="31"/>
  <c r="D25" i="31"/>
  <c r="F60" i="30"/>
  <c r="J11" i="31"/>
  <c r="J33" i="31" s="1"/>
  <c r="J57" i="31" s="1"/>
  <c r="H11" i="31"/>
  <c r="D13" i="31"/>
  <c r="J18" i="31"/>
  <c r="J10" i="31" s="1"/>
  <c r="H18" i="31"/>
  <c r="AE40" i="30"/>
  <c r="F55" i="31"/>
  <c r="U40" i="30"/>
  <c r="K20" i="33"/>
  <c r="K21" i="33" s="1"/>
  <c r="H51" i="28" s="1"/>
  <c r="E38" i="28" l="1"/>
  <c r="E74" i="35"/>
  <c r="U22" i="30"/>
  <c r="G14" i="30"/>
  <c r="K14" i="30" s="1"/>
  <c r="S33" i="15"/>
  <c r="F14" i="30"/>
  <c r="F17" i="30" s="1"/>
  <c r="V33" i="15"/>
  <c r="I14" i="30"/>
  <c r="AE14" i="30" s="1"/>
  <c r="U33" i="15"/>
  <c r="H14" i="30"/>
  <c r="U14" i="30" s="1"/>
  <c r="T33" i="15"/>
  <c r="H33" i="31"/>
  <c r="H57" i="31" s="1"/>
  <c r="F8" i="37"/>
  <c r="I52" i="30" s="1"/>
  <c r="AE52" i="30" s="1"/>
  <c r="F7" i="37"/>
  <c r="I51" i="30" s="1"/>
  <c r="AE51" i="30" s="1"/>
  <c r="F9" i="37"/>
  <c r="I53" i="30" s="1"/>
  <c r="AE53" i="30" s="1"/>
  <c r="F69" i="31"/>
  <c r="H69" i="31"/>
  <c r="J69" i="31"/>
  <c r="G10" i="38"/>
  <c r="H6" i="38"/>
  <c r="G9" i="36"/>
  <c r="H5" i="36"/>
  <c r="H21" i="31"/>
  <c r="I22" i="30"/>
  <c r="D18" i="31"/>
  <c r="H42" i="31"/>
  <c r="J42" i="31"/>
  <c r="K40" i="30"/>
  <c r="I10" i="30"/>
  <c r="H10" i="30"/>
  <c r="H11" i="30" s="1"/>
  <c r="G10" i="30"/>
  <c r="F10" i="30"/>
  <c r="F11" i="30" s="1"/>
  <c r="E19" i="29"/>
  <c r="G4" i="30" s="1"/>
  <c r="G21" i="30" s="1"/>
  <c r="C37" i="28" s="1"/>
  <c r="E18" i="29"/>
  <c r="F4" i="30" s="1"/>
  <c r="F21" i="30" s="1"/>
  <c r="G17" i="30" l="1"/>
  <c r="K17" i="30" s="1"/>
  <c r="H17" i="30"/>
  <c r="U17" i="30" s="1"/>
  <c r="G38" i="28"/>
  <c r="F74" i="35"/>
  <c r="AE22" i="30"/>
  <c r="I17" i="30"/>
  <c r="AE17" i="30" s="1"/>
  <c r="C74" i="35"/>
  <c r="D42" i="31"/>
  <c r="D69" i="31"/>
  <c r="H10" i="38"/>
  <c r="I6" i="38"/>
  <c r="H9" i="36"/>
  <c r="I5" i="36"/>
  <c r="J21" i="31"/>
  <c r="D21" i="31" s="1"/>
  <c r="F22" i="30"/>
  <c r="F20" i="31"/>
  <c r="F10" i="31" s="1"/>
  <c r="K21" i="30"/>
  <c r="AE10" i="30"/>
  <c r="AE11" i="30" s="1"/>
  <c r="F19" i="31"/>
  <c r="F43" i="31" s="1"/>
  <c r="I11" i="30"/>
  <c r="U10" i="30"/>
  <c r="U11" i="30" s="1"/>
  <c r="G11" i="30"/>
  <c r="K10" i="30"/>
  <c r="K11" i="30" s="1"/>
  <c r="M35" i="14"/>
  <c r="M40" i="14" s="1"/>
  <c r="L35" i="14"/>
  <c r="L40" i="14" s="1"/>
  <c r="K35" i="14"/>
  <c r="K40" i="14" s="1"/>
  <c r="J35" i="14"/>
  <c r="J40" i="14" s="1"/>
  <c r="I35" i="14"/>
  <c r="I40" i="14" s="1"/>
  <c r="I32" i="26"/>
  <c r="I37" i="26" s="1"/>
  <c r="J32" i="26"/>
  <c r="J37" i="26" s="1"/>
  <c r="K32" i="26"/>
  <c r="K37" i="26" s="1"/>
  <c r="L32" i="26"/>
  <c r="L37" i="26" s="1"/>
  <c r="M32" i="26"/>
  <c r="M37" i="26" s="1"/>
  <c r="C59" i="29"/>
  <c r="J19" i="31" l="1"/>
  <c r="J43" i="31" s="1"/>
  <c r="J70" i="31" s="1"/>
  <c r="H19" i="31"/>
  <c r="H43" i="31" s="1"/>
  <c r="H70" i="31" s="1"/>
  <c r="D59" i="29"/>
  <c r="E59" i="29" s="1"/>
  <c r="I10" i="38"/>
  <c r="J6" i="38"/>
  <c r="I9" i="36"/>
  <c r="J5" i="36"/>
  <c r="F70" i="31"/>
  <c r="D17" i="14"/>
  <c r="C17" i="14"/>
  <c r="D70" i="31" l="1"/>
  <c r="D43" i="31"/>
  <c r="J10" i="38"/>
  <c r="K6" i="38"/>
  <c r="J9" i="36"/>
  <c r="K5" i="36"/>
  <c r="D21" i="26"/>
  <c r="D22" i="26" s="1"/>
  <c r="C21" i="26"/>
  <c r="C22" i="26" s="1"/>
  <c r="D19" i="14"/>
  <c r="D21" i="14" s="1"/>
  <c r="D25" i="14" s="1"/>
  <c r="C19" i="14"/>
  <c r="C21" i="14" s="1"/>
  <c r="C25" i="14" s="1"/>
  <c r="I19" i="15"/>
  <c r="G19" i="15"/>
  <c r="H18" i="15"/>
  <c r="I18" i="15" s="1"/>
  <c r="F18" i="15"/>
  <c r="D17" i="15"/>
  <c r="D16" i="15"/>
  <c r="E15" i="15"/>
  <c r="J23" i="15"/>
  <c r="I31" i="28" s="1"/>
  <c r="K23" i="15"/>
  <c r="J31" i="28" s="1"/>
  <c r="L23" i="15"/>
  <c r="K31" i="28" s="1"/>
  <c r="M23" i="15"/>
  <c r="L31" i="28" s="1"/>
  <c r="N23" i="15"/>
  <c r="M31" i="28" s="1"/>
  <c r="H20" i="15"/>
  <c r="F20" i="15"/>
  <c r="D20" i="15"/>
  <c r="I39" i="18"/>
  <c r="I28" i="28" s="1"/>
  <c r="J39" i="18"/>
  <c r="K39" i="18"/>
  <c r="L39" i="18"/>
  <c r="L28" i="28" s="1"/>
  <c r="M39" i="18"/>
  <c r="J32" i="18"/>
  <c r="K32" i="18"/>
  <c r="L32" i="18"/>
  <c r="M32" i="18"/>
  <c r="I32" i="18"/>
  <c r="D29" i="18"/>
  <c r="C29" i="18"/>
  <c r="D27" i="18"/>
  <c r="C27" i="18"/>
  <c r="C24" i="14" l="1"/>
  <c r="D24" i="14"/>
  <c r="D9" i="28" s="1"/>
  <c r="F11" i="31"/>
  <c r="D8" i="37" s="1"/>
  <c r="G52" i="30" s="1"/>
  <c r="K52" i="30" s="1"/>
  <c r="C88" i="28"/>
  <c r="E16" i="15"/>
  <c r="E84" i="28" s="1"/>
  <c r="E17" i="15"/>
  <c r="C84" i="28" s="1"/>
  <c r="G18" i="15"/>
  <c r="E86" i="28" s="1"/>
  <c r="M44" i="18"/>
  <c r="M28" i="28"/>
  <c r="K44" i="18"/>
  <c r="K28" i="28"/>
  <c r="J44" i="18"/>
  <c r="C9" i="28"/>
  <c r="L44" i="18"/>
  <c r="I44" i="18"/>
  <c r="K10" i="38"/>
  <c r="L6" i="38"/>
  <c r="K9" i="36"/>
  <c r="L5" i="36"/>
  <c r="C10" i="28"/>
  <c r="D10" i="28"/>
  <c r="E20" i="15"/>
  <c r="D21" i="15"/>
  <c r="F21" i="15"/>
  <c r="G20" i="15"/>
  <c r="H21" i="15"/>
  <c r="I20" i="15"/>
  <c r="I21" i="15" s="1"/>
  <c r="T7" i="29"/>
  <c r="U7" i="29"/>
  <c r="W7" i="29"/>
  <c r="S8" i="29"/>
  <c r="T8" i="29"/>
  <c r="V8" i="29"/>
  <c r="W8" i="29"/>
  <c r="U9" i="29"/>
  <c r="V9" i="29"/>
  <c r="W9" i="29"/>
  <c r="T10" i="29"/>
  <c r="U10" i="29"/>
  <c r="X10" i="29"/>
  <c r="Z11" i="18" s="1"/>
  <c r="S11" i="29"/>
  <c r="T11" i="29"/>
  <c r="U11" i="29"/>
  <c r="V11" i="29"/>
  <c r="W11" i="29"/>
  <c r="X11" i="29"/>
  <c r="Z12" i="18" s="1"/>
  <c r="S12" i="29"/>
  <c r="T12" i="29"/>
  <c r="V12" i="29"/>
  <c r="W12" i="29"/>
  <c r="X12" i="29"/>
  <c r="Z13" i="18" s="1"/>
  <c r="T13" i="29"/>
  <c r="V13" i="29"/>
  <c r="W13" i="29"/>
  <c r="T14" i="29"/>
  <c r="U14" i="29"/>
  <c r="T15" i="29"/>
  <c r="U15" i="29"/>
  <c r="S16" i="29"/>
  <c r="T16" i="29"/>
  <c r="U16" i="29"/>
  <c r="V16" i="29"/>
  <c r="W16" i="29"/>
  <c r="T17" i="29"/>
  <c r="V17" i="29"/>
  <c r="W17" i="29"/>
  <c r="U6" i="29"/>
  <c r="W6" i="29"/>
  <c r="G21" i="15" l="1"/>
  <c r="D9" i="37"/>
  <c r="G53" i="30" s="1"/>
  <c r="K53" i="30" s="1"/>
  <c r="F33" i="31"/>
  <c r="F57" i="31" s="1"/>
  <c r="D57" i="31" s="1"/>
  <c r="M88" i="28" s="1"/>
  <c r="D11" i="31"/>
  <c r="D7" i="37"/>
  <c r="G51" i="30" s="1"/>
  <c r="K51" i="30" s="1"/>
  <c r="E21" i="15"/>
  <c r="E87" i="28"/>
  <c r="E90" i="28" s="1"/>
  <c r="L10" i="38"/>
  <c r="M6" i="38"/>
  <c r="M10" i="38" s="1"/>
  <c r="L9" i="36"/>
  <c r="M5" i="36"/>
  <c r="M9" i="36" s="1"/>
  <c r="L35" i="29"/>
  <c r="H35" i="29"/>
  <c r="F35" i="29"/>
  <c r="D35" i="29"/>
  <c r="L34" i="29"/>
  <c r="J34" i="29"/>
  <c r="H34" i="29"/>
  <c r="F34" i="29"/>
  <c r="D34" i="29"/>
  <c r="L33" i="29"/>
  <c r="J33" i="29"/>
  <c r="H33" i="29"/>
  <c r="F33" i="29"/>
  <c r="D33" i="29"/>
  <c r="C30" i="29"/>
  <c r="C29" i="29"/>
  <c r="C28" i="29"/>
  <c r="AI21" i="29"/>
  <c r="AH21" i="29"/>
  <c r="L21" i="29"/>
  <c r="H21" i="29"/>
  <c r="F21" i="29"/>
  <c r="S34" i="40" s="1"/>
  <c r="T34" i="40" s="1"/>
  <c r="T38" i="40" s="1"/>
  <c r="E21" i="29"/>
  <c r="I4" i="30" s="1"/>
  <c r="I21" i="30" s="1"/>
  <c r="AG20" i="29"/>
  <c r="L20" i="29"/>
  <c r="H20" i="29"/>
  <c r="F20" i="29"/>
  <c r="Q34" i="40" s="1"/>
  <c r="R34" i="40" s="1"/>
  <c r="R38" i="40" s="1"/>
  <c r="E20" i="29"/>
  <c r="H4" i="30" s="1"/>
  <c r="H21" i="30" s="1"/>
  <c r="AF19" i="29"/>
  <c r="L19" i="29"/>
  <c r="H19" i="29"/>
  <c r="F19" i="29"/>
  <c r="O34" i="40" s="1"/>
  <c r="P34" i="40" s="1"/>
  <c r="P38" i="40" s="1"/>
  <c r="L18" i="29"/>
  <c r="H18" i="29"/>
  <c r="F18" i="29"/>
  <c r="AX17" i="29"/>
  <c r="AW17" i="29"/>
  <c r="AJ17" i="29"/>
  <c r="AG17" i="29"/>
  <c r="AE17" i="29"/>
  <c r="O17" i="29"/>
  <c r="A17" i="29"/>
  <c r="AX16" i="29"/>
  <c r="AW16" i="29"/>
  <c r="AV16" i="29"/>
  <c r="AT16" i="29"/>
  <c r="AJ16" i="29"/>
  <c r="O16" i="29"/>
  <c r="A16" i="29"/>
  <c r="AV15" i="29"/>
  <c r="AJ15" i="29"/>
  <c r="X15" i="29" s="1"/>
  <c r="Z16" i="18" s="1"/>
  <c r="AI15" i="29"/>
  <c r="AH15" i="29"/>
  <c r="AE15" i="29"/>
  <c r="O15" i="29"/>
  <c r="A15" i="29"/>
  <c r="AV14" i="29"/>
  <c r="AJ14" i="29"/>
  <c r="AI14" i="29"/>
  <c r="AH14" i="29"/>
  <c r="AE14" i="29"/>
  <c r="S14" i="29" s="1"/>
  <c r="O14" i="29"/>
  <c r="A14" i="29"/>
  <c r="AX13" i="29"/>
  <c r="AW13" i="29"/>
  <c r="AJ13" i="29"/>
  <c r="X13" i="29" s="1"/>
  <c r="Z14" i="18" s="1"/>
  <c r="AG13" i="29"/>
  <c r="AE13" i="29"/>
  <c r="O13" i="29"/>
  <c r="A13" i="29"/>
  <c r="AY12" i="29"/>
  <c r="AX12" i="29"/>
  <c r="AW12" i="29"/>
  <c r="AT12" i="29"/>
  <c r="O12" i="29"/>
  <c r="A12" i="29"/>
  <c r="AY11" i="29"/>
  <c r="AX11" i="29"/>
  <c r="AW11" i="29"/>
  <c r="AV11" i="29"/>
  <c r="AT11" i="29"/>
  <c r="O11" i="29"/>
  <c r="A11" i="29"/>
  <c r="AY10" i="29"/>
  <c r="AV10" i="29"/>
  <c r="AI10" i="29"/>
  <c r="AX10" i="29" s="1"/>
  <c r="AH10" i="29"/>
  <c r="AE10" i="29"/>
  <c r="O10" i="29"/>
  <c r="A10" i="29"/>
  <c r="AX9" i="29"/>
  <c r="AW9" i="29"/>
  <c r="AV9" i="29"/>
  <c r="AJ9" i="29"/>
  <c r="AY9" i="29" s="1"/>
  <c r="AF9" i="29"/>
  <c r="AU9" i="29" s="1"/>
  <c r="AE9" i="29"/>
  <c r="O9" i="29"/>
  <c r="A9" i="29"/>
  <c r="AX8" i="29"/>
  <c r="AW8" i="29"/>
  <c r="AT8" i="29"/>
  <c r="AJ8" i="29"/>
  <c r="X8" i="29" s="1"/>
  <c r="Z9" i="18" s="1"/>
  <c r="AG8" i="29"/>
  <c r="O8" i="29"/>
  <c r="A8" i="29"/>
  <c r="AX7" i="29"/>
  <c r="AV7" i="29"/>
  <c r="AU19" i="29"/>
  <c r="AJ7" i="29"/>
  <c r="AY7" i="29" s="1"/>
  <c r="AH7" i="29"/>
  <c r="AW7" i="29" s="1"/>
  <c r="AE7" i="29"/>
  <c r="O7" i="29"/>
  <c r="A7" i="29"/>
  <c r="AX6" i="29"/>
  <c r="AV6" i="29"/>
  <c r="AJ6" i="29"/>
  <c r="AH6" i="29"/>
  <c r="AW6" i="29" s="1"/>
  <c r="AF6" i="29"/>
  <c r="AU6" i="29" s="1"/>
  <c r="AE6" i="29"/>
  <c r="AT6" i="29" s="1"/>
  <c r="O6" i="29"/>
  <c r="A6" i="29"/>
  <c r="AT4" i="29"/>
  <c r="AR4" i="29"/>
  <c r="AD1" i="29"/>
  <c r="R1" i="29"/>
  <c r="S1" i="29" s="1"/>
  <c r="C35" i="29" l="1"/>
  <c r="T39" i="40"/>
  <c r="I23" i="30" s="1"/>
  <c r="AE23" i="30" s="1"/>
  <c r="T40" i="40"/>
  <c r="T42" i="40" s="1"/>
  <c r="AD6" i="29"/>
  <c r="AS6" i="29" s="1"/>
  <c r="O19" i="29"/>
  <c r="G5" i="30" s="1"/>
  <c r="R39" i="40"/>
  <c r="H23" i="30" s="1"/>
  <c r="U23" i="30" s="1"/>
  <c r="R40" i="40"/>
  <c r="R42" i="40" s="1"/>
  <c r="P39" i="40"/>
  <c r="G23" i="30" s="1"/>
  <c r="P40" i="40"/>
  <c r="P42" i="40" s="1"/>
  <c r="D33" i="31"/>
  <c r="L88" i="28" s="1"/>
  <c r="C34" i="29"/>
  <c r="AW21" i="29"/>
  <c r="AK7" i="30" s="1"/>
  <c r="AX21" i="29"/>
  <c r="AL7" i="30" s="1"/>
  <c r="Z5" i="30"/>
  <c r="E6" i="23"/>
  <c r="O5" i="30"/>
  <c r="J20" i="31"/>
  <c r="J26" i="31" s="1"/>
  <c r="G37" i="28"/>
  <c r="U21" i="30"/>
  <c r="E37" i="28"/>
  <c r="H20" i="31"/>
  <c r="AD15" i="29"/>
  <c r="R15" i="29" s="1"/>
  <c r="U8" i="29"/>
  <c r="AV8" i="29"/>
  <c r="AK5" i="30"/>
  <c r="AL5" i="30"/>
  <c r="E40" i="29"/>
  <c r="O7" i="30"/>
  <c r="F26" i="31"/>
  <c r="G19" i="31" s="1"/>
  <c r="D19" i="31"/>
  <c r="AS4" i="29"/>
  <c r="AE1" i="29"/>
  <c r="AF1" i="29" s="1"/>
  <c r="AG1" i="29" s="1"/>
  <c r="AD11" i="29"/>
  <c r="R11" i="29" s="1"/>
  <c r="AC11" i="29"/>
  <c r="AR11" i="29" s="1"/>
  <c r="X14" i="29"/>
  <c r="Z15" i="18" s="1"/>
  <c r="AY14" i="29"/>
  <c r="S15" i="29"/>
  <c r="AT15" i="29"/>
  <c r="AC16" i="29"/>
  <c r="AR16" i="29" s="1"/>
  <c r="AD16" i="29"/>
  <c r="AS16" i="29" s="1"/>
  <c r="AI18" i="29"/>
  <c r="W10" i="29"/>
  <c r="AW14" i="29"/>
  <c r="V14" i="29"/>
  <c r="O21" i="29"/>
  <c r="I5" i="30" s="1"/>
  <c r="AY13" i="29"/>
  <c r="AX14" i="29"/>
  <c r="AX20" i="29" s="1"/>
  <c r="AB7" i="30" s="1"/>
  <c r="W14" i="29"/>
  <c r="AY16" i="29"/>
  <c r="X16" i="29"/>
  <c r="Z17" i="18" s="1"/>
  <c r="AD9" i="29"/>
  <c r="R9" i="29" s="1"/>
  <c r="AC15" i="29"/>
  <c r="AT17" i="29"/>
  <c r="S17" i="29"/>
  <c r="AT9" i="29"/>
  <c r="S9" i="29"/>
  <c r="AT13" i="29"/>
  <c r="S13" i="29"/>
  <c r="AT14" i="29"/>
  <c r="AY15" i="29"/>
  <c r="AV17" i="29"/>
  <c r="U17" i="29"/>
  <c r="AJ19" i="29"/>
  <c r="X7" i="29"/>
  <c r="Z8" i="18" s="1"/>
  <c r="AE18" i="29"/>
  <c r="B6" i="39" s="1"/>
  <c r="S6" i="29"/>
  <c r="AU21" i="29"/>
  <c r="E42" i="29" s="1"/>
  <c r="T9" i="29"/>
  <c r="T21" i="29" s="1"/>
  <c r="AI20" i="30" s="1"/>
  <c r="AV13" i="29"/>
  <c r="AV21" i="29" s="1"/>
  <c r="AJ7" i="30" s="1"/>
  <c r="U13" i="29"/>
  <c r="AY17" i="29"/>
  <c r="X17" i="29"/>
  <c r="Z18" i="18" s="1"/>
  <c r="AJ21" i="29"/>
  <c r="X9" i="29"/>
  <c r="Z10" i="18" s="1"/>
  <c r="AC10" i="29"/>
  <c r="AC14" i="29"/>
  <c r="AW15" i="29"/>
  <c r="AW19" i="29" s="1"/>
  <c r="Q7" i="30" s="1"/>
  <c r="V15" i="29"/>
  <c r="V6" i="29"/>
  <c r="AT7" i="29"/>
  <c r="S7" i="29"/>
  <c r="AD8" i="29"/>
  <c r="AY8" i="29"/>
  <c r="AT10" i="29"/>
  <c r="S10" i="29"/>
  <c r="AD14" i="29"/>
  <c r="AX15" i="29"/>
  <c r="AX19" i="29" s="1"/>
  <c r="R7" i="30" s="1"/>
  <c r="W15" i="29"/>
  <c r="C33" i="29"/>
  <c r="AF20" i="29"/>
  <c r="T6" i="29"/>
  <c r="AY6" i="29"/>
  <c r="AY20" i="29" s="1"/>
  <c r="X6" i="29"/>
  <c r="Z6" i="18" s="1"/>
  <c r="AH19" i="29"/>
  <c r="V7" i="29"/>
  <c r="AW10" i="29"/>
  <c r="V10" i="29"/>
  <c r="AD17" i="29"/>
  <c r="AC13" i="29"/>
  <c r="AR13" i="29" s="1"/>
  <c r="AU4" i="29"/>
  <c r="AF18" i="29"/>
  <c r="B4" i="39" s="1"/>
  <c r="AH20" i="29"/>
  <c r="E79" i="35" s="1"/>
  <c r="E80" i="35" s="1"/>
  <c r="E81" i="35" s="1"/>
  <c r="H60" i="31" s="1"/>
  <c r="AE21" i="29"/>
  <c r="O20" i="29"/>
  <c r="H5" i="30" s="1"/>
  <c r="AI20" i="29"/>
  <c r="AF21" i="29"/>
  <c r="AC9" i="29"/>
  <c r="Q9" i="29" s="1"/>
  <c r="AD10" i="29"/>
  <c r="AD13" i="29"/>
  <c r="AH18" i="29"/>
  <c r="B5" i="39" s="1"/>
  <c r="AE19" i="29"/>
  <c r="AJ20" i="29"/>
  <c r="AV20" i="29"/>
  <c r="Z7" i="30" s="1"/>
  <c r="AG21" i="29"/>
  <c r="O18" i="29"/>
  <c r="C64" i="29" s="1"/>
  <c r="AC8" i="29"/>
  <c r="AJ18" i="29"/>
  <c r="T1" i="29"/>
  <c r="AC6" i="29"/>
  <c r="AR6" i="29" s="1"/>
  <c r="AC7" i="29"/>
  <c r="Q7" i="29" s="1"/>
  <c r="AC17" i="29"/>
  <c r="AR17" i="29" s="1"/>
  <c r="AE20" i="29"/>
  <c r="AD7" i="29"/>
  <c r="R7" i="29" s="1"/>
  <c r="AG12" i="29"/>
  <c r="AI19" i="29"/>
  <c r="D11" i="18"/>
  <c r="D12" i="18"/>
  <c r="C11" i="18"/>
  <c r="C12" i="18" s="1"/>
  <c r="C10" i="18"/>
  <c r="Y18" i="18"/>
  <c r="Y17" i="18"/>
  <c r="Y16" i="18"/>
  <c r="Y15" i="18"/>
  <c r="Y14" i="18"/>
  <c r="Y13" i="18"/>
  <c r="Y12" i="18"/>
  <c r="Y11" i="18"/>
  <c r="Y10" i="18"/>
  <c r="Y9" i="18"/>
  <c r="Y8" i="18"/>
  <c r="E8" i="18" s="1"/>
  <c r="E14" i="18" s="1"/>
  <c r="E18" i="18" s="1"/>
  <c r="Y6" i="18"/>
  <c r="I26" i="23"/>
  <c r="I31" i="23" s="1"/>
  <c r="I27" i="28" s="1"/>
  <c r="J26" i="23"/>
  <c r="J31" i="23" s="1"/>
  <c r="J27" i="28" s="1"/>
  <c r="K26" i="23"/>
  <c r="K31" i="23" s="1"/>
  <c r="K27" i="28" s="1"/>
  <c r="L26" i="23"/>
  <c r="L31" i="23" s="1"/>
  <c r="L27" i="28" s="1"/>
  <c r="M26" i="23"/>
  <c r="M31" i="23" s="1"/>
  <c r="M27" i="28" s="1"/>
  <c r="I19" i="23"/>
  <c r="J19" i="23" s="1"/>
  <c r="K19" i="23" s="1"/>
  <c r="L19" i="23" s="1"/>
  <c r="M19" i="23" s="1"/>
  <c r="G19" i="23"/>
  <c r="H19" i="23" s="1"/>
  <c r="F19" i="23"/>
  <c r="E19" i="23"/>
  <c r="D19" i="23"/>
  <c r="C19" i="23"/>
  <c r="D11" i="23"/>
  <c r="D15" i="23" s="1"/>
  <c r="E11" i="23"/>
  <c r="E15" i="23" s="1"/>
  <c r="F11" i="23"/>
  <c r="F15" i="23" s="1"/>
  <c r="G11" i="23"/>
  <c r="G15" i="23" s="1"/>
  <c r="H11" i="23"/>
  <c r="H15" i="23" s="1"/>
  <c r="I11" i="23"/>
  <c r="I15" i="23" s="1"/>
  <c r="C11" i="23"/>
  <c r="J10" i="23"/>
  <c r="K60" i="28" s="1"/>
  <c r="D7" i="23"/>
  <c r="I26" i="28"/>
  <c r="J26" i="28"/>
  <c r="K26" i="28"/>
  <c r="L26" i="28"/>
  <c r="M26" i="28"/>
  <c r="D14" i="28"/>
  <c r="C14" i="28"/>
  <c r="D28" i="22"/>
  <c r="C28" i="22"/>
  <c r="I26" i="22"/>
  <c r="J26" i="22"/>
  <c r="K26" i="22"/>
  <c r="L26" i="22"/>
  <c r="M26" i="22"/>
  <c r="C49" i="22"/>
  <c r="C48" i="22"/>
  <c r="M19" i="22"/>
  <c r="L19" i="22"/>
  <c r="K19" i="22"/>
  <c r="J19" i="22"/>
  <c r="I19" i="22"/>
  <c r="C41" i="22"/>
  <c r="C14" i="22"/>
  <c r="I9" i="22"/>
  <c r="I17" i="22" s="1"/>
  <c r="AK16" i="29" l="1"/>
  <c r="AS9" i="29"/>
  <c r="R6" i="29"/>
  <c r="I7" i="20"/>
  <c r="J7" i="20" s="1"/>
  <c r="K7" i="20" s="1"/>
  <c r="L7" i="20" s="1"/>
  <c r="M7" i="20" s="1"/>
  <c r="G7" i="20"/>
  <c r="H7" i="20" s="1"/>
  <c r="E7" i="20"/>
  <c r="F7" i="20" s="1"/>
  <c r="D79" i="35"/>
  <c r="F23" i="30"/>
  <c r="K23" i="30"/>
  <c r="AW20" i="29"/>
  <c r="AA7" i="30" s="1"/>
  <c r="AT19" i="29"/>
  <c r="N7" i="30" s="1"/>
  <c r="K19" i="31"/>
  <c r="J14" i="31"/>
  <c r="E22" i="18"/>
  <c r="F61" i="28"/>
  <c r="AO16" i="29"/>
  <c r="D20" i="31"/>
  <c r="AT21" i="29"/>
  <c r="AH7" i="30" s="1"/>
  <c r="AS11" i="29"/>
  <c r="AQ11" i="29" s="1"/>
  <c r="AY19" i="29"/>
  <c r="E47" i="29" s="1"/>
  <c r="I6" i="23"/>
  <c r="J6" i="23" s="1"/>
  <c r="AS15" i="29"/>
  <c r="AK15" i="29"/>
  <c r="AK11" i="29"/>
  <c r="AO6" i="29"/>
  <c r="Z9" i="29"/>
  <c r="AO11" i="29"/>
  <c r="Q11" i="29"/>
  <c r="Y11" i="29" s="1"/>
  <c r="H26" i="31"/>
  <c r="I19" i="31" s="1"/>
  <c r="AQ16" i="29"/>
  <c r="AC5" i="30"/>
  <c r="AE25" i="29"/>
  <c r="F5" i="30"/>
  <c r="Q5" i="30"/>
  <c r="I7" i="18"/>
  <c r="G7" i="18"/>
  <c r="E7" i="18"/>
  <c r="S5" i="30"/>
  <c r="G6" i="23"/>
  <c r="AH5" i="30"/>
  <c r="AA5" i="30"/>
  <c r="AJ5" i="30"/>
  <c r="E7" i="38"/>
  <c r="I7" i="38"/>
  <c r="G7" i="38"/>
  <c r="R5" i="30"/>
  <c r="Y5" i="30"/>
  <c r="AM5" i="30"/>
  <c r="R16" i="29"/>
  <c r="Q16" i="29"/>
  <c r="N5" i="30"/>
  <c r="AI5" i="30"/>
  <c r="X5" i="30"/>
  <c r="AB5" i="30"/>
  <c r="F69" i="28"/>
  <c r="F6" i="23"/>
  <c r="G69" i="28" s="1"/>
  <c r="E48" i="29"/>
  <c r="AC7" i="30"/>
  <c r="AI7" i="30"/>
  <c r="K25" i="31"/>
  <c r="K24" i="31"/>
  <c r="K23" i="31"/>
  <c r="K22" i="31"/>
  <c r="K21" i="31"/>
  <c r="K20" i="31"/>
  <c r="K18" i="31"/>
  <c r="G18" i="31"/>
  <c r="G20" i="31"/>
  <c r="G21" i="31"/>
  <c r="G22" i="31"/>
  <c r="G23" i="31"/>
  <c r="G24" i="31"/>
  <c r="G25" i="31"/>
  <c r="AI24" i="30"/>
  <c r="Q6" i="29"/>
  <c r="Z6" i="29" s="1"/>
  <c r="E19" i="18"/>
  <c r="E20" i="18" s="1"/>
  <c r="E21" i="18" s="1"/>
  <c r="E27" i="18" s="1"/>
  <c r="H19" i="22"/>
  <c r="G19" i="22"/>
  <c r="F19" i="22"/>
  <c r="E19" i="22"/>
  <c r="D14" i="23"/>
  <c r="D16" i="23" s="1"/>
  <c r="D17" i="23" s="1"/>
  <c r="E7" i="23"/>
  <c r="J11" i="23"/>
  <c r="J15" i="23" s="1"/>
  <c r="K10" i="23"/>
  <c r="L60" i="28" s="1"/>
  <c r="C15" i="23"/>
  <c r="C14" i="23"/>
  <c r="C16" i="23" s="1"/>
  <c r="C17" i="23" s="1"/>
  <c r="E11" i="18"/>
  <c r="E12" i="18" s="1"/>
  <c r="F8" i="18"/>
  <c r="C26" i="18"/>
  <c r="C28" i="18" s="1"/>
  <c r="C30" i="18" s="1"/>
  <c r="D10" i="18"/>
  <c r="Z7" i="29"/>
  <c r="AH25" i="29"/>
  <c r="AW18" i="29"/>
  <c r="AK14" i="29"/>
  <c r="AT20" i="29"/>
  <c r="X7" i="30" s="1"/>
  <c r="AX18" i="29"/>
  <c r="AY21" i="29"/>
  <c r="AS13" i="29"/>
  <c r="R13" i="29"/>
  <c r="Q13" i="29"/>
  <c r="AS17" i="29"/>
  <c r="AO17" i="29" s="1"/>
  <c r="R17" i="29"/>
  <c r="AS14" i="29"/>
  <c r="R14" i="29"/>
  <c r="AS10" i="29"/>
  <c r="R10" i="29"/>
  <c r="AR15" i="29"/>
  <c r="Q15" i="29"/>
  <c r="Q17" i="29"/>
  <c r="AT18" i="29"/>
  <c r="AR14" i="29"/>
  <c r="Q14" i="29"/>
  <c r="AG19" i="29"/>
  <c r="U12" i="29"/>
  <c r="U18" i="29" s="1"/>
  <c r="AJ25" i="29"/>
  <c r="AS8" i="29"/>
  <c r="R8" i="29"/>
  <c r="AR10" i="29"/>
  <c r="Q10" i="29"/>
  <c r="Y9" i="29"/>
  <c r="AK8" i="29"/>
  <c r="Q8" i="29"/>
  <c r="AI25" i="29"/>
  <c r="Y7" i="29"/>
  <c r="X21" i="29"/>
  <c r="AD21" i="29"/>
  <c r="AK10" i="29"/>
  <c r="AK13" i="29"/>
  <c r="W18" i="29"/>
  <c r="X20" i="29"/>
  <c r="V21" i="29"/>
  <c r="AK20" i="30" s="1"/>
  <c r="S21" i="29"/>
  <c r="AH20" i="30" s="1"/>
  <c r="V19" i="29"/>
  <c r="Q20" i="30" s="1"/>
  <c r="Q24" i="30" s="1"/>
  <c r="W20" i="29"/>
  <c r="AB20" i="30" s="1"/>
  <c r="U21" i="29"/>
  <c r="AJ20" i="30" s="1"/>
  <c r="AC20" i="29"/>
  <c r="X19" i="29"/>
  <c r="AH1" i="29"/>
  <c r="AV4" i="29"/>
  <c r="AS7" i="29"/>
  <c r="U1" i="29"/>
  <c r="AK7" i="29"/>
  <c r="W19" i="29"/>
  <c r="R20" i="30" s="1"/>
  <c r="R24" i="30" s="1"/>
  <c r="T18" i="29"/>
  <c r="T20" i="29"/>
  <c r="Y20" i="30" s="1"/>
  <c r="V20" i="29"/>
  <c r="AA20" i="30" s="1"/>
  <c r="V18" i="29"/>
  <c r="S19" i="29"/>
  <c r="N20" i="30" s="1"/>
  <c r="N24" i="30" s="1"/>
  <c r="AK6" i="29"/>
  <c r="W21" i="29"/>
  <c r="AL20" i="30" s="1"/>
  <c r="S18" i="29"/>
  <c r="S20" i="29"/>
  <c r="X20" i="30" s="1"/>
  <c r="AK9" i="29"/>
  <c r="AC21" i="29"/>
  <c r="AF5" i="30" s="1"/>
  <c r="AR9" i="29"/>
  <c r="AY18" i="29"/>
  <c r="X18" i="29"/>
  <c r="Z19" i="18" s="1"/>
  <c r="AV12" i="29"/>
  <c r="AG18" i="29"/>
  <c r="AG25" i="29" s="1"/>
  <c r="AR7" i="29"/>
  <c r="AF25" i="29"/>
  <c r="AD20" i="29"/>
  <c r="W5" i="30" s="1"/>
  <c r="AQ13" i="29"/>
  <c r="AR8" i="29"/>
  <c r="U20" i="29"/>
  <c r="Z20" i="30" s="1"/>
  <c r="AC12" i="29"/>
  <c r="AD12" i="29"/>
  <c r="AD18" i="29" s="1"/>
  <c r="AD25" i="29" s="1"/>
  <c r="T19" i="29"/>
  <c r="O20" i="30" s="1"/>
  <c r="O24" i="30" s="1"/>
  <c r="AK17" i="29"/>
  <c r="AU18" i="29"/>
  <c r="AU20" i="29"/>
  <c r="E41" i="29" s="1"/>
  <c r="D39" i="22"/>
  <c r="J66" i="28"/>
  <c r="H66" i="28"/>
  <c r="E6" i="22"/>
  <c r="I25" i="20"/>
  <c r="I30" i="20" s="1"/>
  <c r="J25" i="28" s="1"/>
  <c r="J25" i="20"/>
  <c r="J30" i="20" s="1"/>
  <c r="K25" i="28" s="1"/>
  <c r="K25" i="20"/>
  <c r="K30" i="20" s="1"/>
  <c r="L25" i="28" s="1"/>
  <c r="L25" i="20"/>
  <c r="L30" i="20" s="1"/>
  <c r="M25" i="28" s="1"/>
  <c r="M25" i="20"/>
  <c r="M30" i="20" s="1"/>
  <c r="C57" i="20"/>
  <c r="C56" i="20"/>
  <c r="C16" i="20"/>
  <c r="D15" i="20"/>
  <c r="E15" i="20" s="1"/>
  <c r="F15" i="20" s="1"/>
  <c r="G15" i="20" s="1"/>
  <c r="H15" i="20" s="1"/>
  <c r="I15" i="20" s="1"/>
  <c r="J15" i="20" s="1"/>
  <c r="K15" i="20" s="1"/>
  <c r="L15" i="20" s="1"/>
  <c r="M15" i="20" s="1"/>
  <c r="D14" i="20"/>
  <c r="D16" i="20" s="1"/>
  <c r="G45" i="20"/>
  <c r="G47" i="20" s="1"/>
  <c r="G8" i="20" s="1"/>
  <c r="G9" i="20" s="1"/>
  <c r="G10" i="20" s="1"/>
  <c r="E44" i="20"/>
  <c r="E47" i="20" s="1"/>
  <c r="E8" i="20" s="1"/>
  <c r="N47" i="20"/>
  <c r="M47" i="20"/>
  <c r="M8" i="20" s="1"/>
  <c r="M9" i="20" s="1"/>
  <c r="M10" i="20" s="1"/>
  <c r="L47" i="20"/>
  <c r="L8" i="20" s="1"/>
  <c r="L9" i="20" s="1"/>
  <c r="L10" i="20" s="1"/>
  <c r="K47" i="20"/>
  <c r="K8" i="20" s="1"/>
  <c r="K9" i="20" s="1"/>
  <c r="K10" i="20" s="1"/>
  <c r="J47" i="20"/>
  <c r="I47" i="20"/>
  <c r="I8" i="20" s="1"/>
  <c r="H47" i="20"/>
  <c r="H8" i="20" s="1"/>
  <c r="H9" i="20" s="1"/>
  <c r="H10" i="20" s="1"/>
  <c r="F47" i="20"/>
  <c r="F8" i="20" s="1"/>
  <c r="F9" i="20" s="1"/>
  <c r="F10" i="20" s="1"/>
  <c r="D47" i="20"/>
  <c r="C47" i="20"/>
  <c r="D6" i="20"/>
  <c r="E6" i="20" s="1"/>
  <c r="N42" i="20"/>
  <c r="M42" i="20"/>
  <c r="L42" i="20"/>
  <c r="K42" i="20"/>
  <c r="J42" i="20"/>
  <c r="I42" i="20"/>
  <c r="H42" i="20"/>
  <c r="G42" i="20"/>
  <c r="F42" i="20"/>
  <c r="E42" i="20"/>
  <c r="E50" i="20" s="1"/>
  <c r="D42" i="20"/>
  <c r="D7" i="20" s="1"/>
  <c r="E65" i="28" s="1"/>
  <c r="E71" i="28" s="1"/>
  <c r="C42" i="20"/>
  <c r="C7" i="20" s="1"/>
  <c r="D65" i="28" s="1"/>
  <c r="D71" i="28" s="1"/>
  <c r="J65" i="28" l="1"/>
  <c r="K65" i="28"/>
  <c r="H65" i="28"/>
  <c r="I65" i="28"/>
  <c r="L65" i="28"/>
  <c r="M65" i="28"/>
  <c r="S7" i="30"/>
  <c r="U19" i="29"/>
  <c r="P20" i="30" s="1"/>
  <c r="P24" i="30" s="1"/>
  <c r="J69" i="28"/>
  <c r="D80" i="35"/>
  <c r="D81" i="35" s="1"/>
  <c r="C79" i="35"/>
  <c r="G65" i="28"/>
  <c r="Y16" i="29"/>
  <c r="H6" i="30"/>
  <c r="H38" i="30" s="1"/>
  <c r="U38" i="30" s="1"/>
  <c r="F33" i="30"/>
  <c r="D26" i="31"/>
  <c r="E20" i="31" s="1"/>
  <c r="I9" i="20"/>
  <c r="I10" i="20" s="1"/>
  <c r="J8" i="20"/>
  <c r="J9" i="20"/>
  <c r="J10" i="20" s="1"/>
  <c r="F65" i="28"/>
  <c r="G61" i="28"/>
  <c r="F14" i="18"/>
  <c r="AS21" i="29"/>
  <c r="AG7" i="30" s="1"/>
  <c r="Z11" i="29"/>
  <c r="Z16" i="29"/>
  <c r="I6" i="30"/>
  <c r="I31" i="30" s="1"/>
  <c r="AE31" i="30" s="1"/>
  <c r="I23" i="31"/>
  <c r="I22" i="31"/>
  <c r="I21" i="31"/>
  <c r="I20" i="31"/>
  <c r="I25" i="31"/>
  <c r="I24" i="31"/>
  <c r="R20" i="29"/>
  <c r="W20" i="30" s="1"/>
  <c r="I18" i="31"/>
  <c r="AQ17" i="29"/>
  <c r="V5" i="30"/>
  <c r="H6" i="23"/>
  <c r="I69" i="28" s="1"/>
  <c r="H69" i="28"/>
  <c r="F6" i="30"/>
  <c r="G6" i="30"/>
  <c r="AG5" i="30"/>
  <c r="Y6" i="29"/>
  <c r="F70" i="28"/>
  <c r="F7" i="18"/>
  <c r="G70" i="28" s="1"/>
  <c r="H7" i="18"/>
  <c r="I70" i="28" s="1"/>
  <c r="H70" i="28"/>
  <c r="J7" i="18"/>
  <c r="J70" i="28"/>
  <c r="H68" i="28"/>
  <c r="G8" i="38"/>
  <c r="G9" i="38" s="1"/>
  <c r="G11" i="38" s="1"/>
  <c r="H7" i="38"/>
  <c r="J68" i="28"/>
  <c r="J7" i="38"/>
  <c r="I8" i="38"/>
  <c r="I9" i="38" s="1"/>
  <c r="I11" i="38" s="1"/>
  <c r="K6" i="23"/>
  <c r="K69" i="28"/>
  <c r="G6" i="36"/>
  <c r="E6" i="36"/>
  <c r="I6" i="36"/>
  <c r="P5" i="30"/>
  <c r="Z13" i="29"/>
  <c r="F68" i="28"/>
  <c r="E8" i="38"/>
  <c r="E9" i="38" s="1"/>
  <c r="E11" i="38" s="1"/>
  <c r="F7" i="38"/>
  <c r="J45" i="28"/>
  <c r="M45" i="28"/>
  <c r="L45" i="28"/>
  <c r="K45" i="28"/>
  <c r="C16" i="28"/>
  <c r="C41" i="18"/>
  <c r="E49" i="29"/>
  <c r="E50" i="29" s="1"/>
  <c r="AM7" i="30"/>
  <c r="E43" i="29"/>
  <c r="Y7" i="30"/>
  <c r="AL24" i="30"/>
  <c r="AJ24" i="30"/>
  <c r="AH24" i="30"/>
  <c r="AK24" i="30"/>
  <c r="AK20" i="29"/>
  <c r="AK21" i="29"/>
  <c r="S20" i="30"/>
  <c r="S24" i="30" s="1"/>
  <c r="Z20" i="18"/>
  <c r="AC20" i="30"/>
  <c r="Z21" i="18"/>
  <c r="AM20" i="30"/>
  <c r="Z22" i="18"/>
  <c r="F22" i="18"/>
  <c r="F18" i="18"/>
  <c r="F19" i="18" s="1"/>
  <c r="F20" i="18" s="1"/>
  <c r="F21" i="18" s="1"/>
  <c r="F27" i="18" s="1"/>
  <c r="E29" i="18"/>
  <c r="E9" i="20"/>
  <c r="E10" i="20" s="1"/>
  <c r="F6" i="22"/>
  <c r="E8" i="22"/>
  <c r="E9" i="22" s="1"/>
  <c r="E17" i="22" s="1"/>
  <c r="F7" i="22"/>
  <c r="G8" i="22"/>
  <c r="H7" i="22"/>
  <c r="I8" i="22"/>
  <c r="J7" i="22"/>
  <c r="K66" i="28" s="1"/>
  <c r="AS20" i="29"/>
  <c r="M29" i="29" s="1"/>
  <c r="AO13" i="29"/>
  <c r="D26" i="18"/>
  <c r="D28" i="18" s="1"/>
  <c r="D30" i="18" s="1"/>
  <c r="E10" i="18"/>
  <c r="F11" i="18"/>
  <c r="F12" i="18" s="1"/>
  <c r="G8" i="18"/>
  <c r="C15" i="28"/>
  <c r="C28" i="23"/>
  <c r="L10" i="23"/>
  <c r="M60" i="28" s="1"/>
  <c r="K11" i="23"/>
  <c r="K15" i="23" s="1"/>
  <c r="E14" i="23"/>
  <c r="E16" i="23" s="1"/>
  <c r="E17" i="23" s="1"/>
  <c r="F7" i="23"/>
  <c r="D15" i="28"/>
  <c r="D28" i="23"/>
  <c r="Z15" i="29"/>
  <c r="Y15" i="29"/>
  <c r="AO15" i="29"/>
  <c r="AQ15" i="29"/>
  <c r="Z8" i="29"/>
  <c r="Y8" i="29"/>
  <c r="Z10" i="29"/>
  <c r="Y10" i="29"/>
  <c r="Z14" i="29"/>
  <c r="Y14" i="29"/>
  <c r="AD19" i="29"/>
  <c r="R12" i="29"/>
  <c r="R18" i="29" s="1"/>
  <c r="AC19" i="29"/>
  <c r="Q12" i="29"/>
  <c r="AO10" i="29"/>
  <c r="AQ10" i="29"/>
  <c r="AO14" i="29"/>
  <c r="AQ14" i="29"/>
  <c r="Y13" i="29"/>
  <c r="Z17" i="29"/>
  <c r="Y17" i="29"/>
  <c r="Q21" i="29"/>
  <c r="AF20" i="30" s="1"/>
  <c r="AO9" i="29"/>
  <c r="AR21" i="29"/>
  <c r="AF7" i="30" s="1"/>
  <c r="AQ9" i="29"/>
  <c r="V1" i="29"/>
  <c r="AV18" i="29"/>
  <c r="AV19" i="29"/>
  <c r="P7" i="30" s="1"/>
  <c r="Q20" i="29"/>
  <c r="V20" i="30" s="1"/>
  <c r="AR12" i="29"/>
  <c r="AK12" i="29"/>
  <c r="R21" i="29"/>
  <c r="AG20" i="30" s="1"/>
  <c r="AO7" i="29"/>
  <c r="AQ7" i="29"/>
  <c r="AC18" i="29"/>
  <c r="B3" i="39" s="1"/>
  <c r="B7" i="39" s="1"/>
  <c r="AS12" i="29"/>
  <c r="AS18" i="29" s="1"/>
  <c r="AO8" i="29"/>
  <c r="AQ8" i="29"/>
  <c r="AI1" i="29"/>
  <c r="AW4" i="29"/>
  <c r="AR20" i="29"/>
  <c r="V7" i="30" s="1"/>
  <c r="AQ6" i="29"/>
  <c r="E12" i="20"/>
  <c r="E14" i="20" s="1"/>
  <c r="E16" i="20" s="1"/>
  <c r="F6" i="20"/>
  <c r="D11" i="28"/>
  <c r="D27" i="20"/>
  <c r="C11" i="28"/>
  <c r="C27" i="20"/>
  <c r="E56" i="28"/>
  <c r="F56" i="28" s="1"/>
  <c r="G56" i="28" s="1"/>
  <c r="H56" i="28" s="1"/>
  <c r="I56" i="28" s="1"/>
  <c r="J56" i="28" s="1"/>
  <c r="K56" i="28" s="1"/>
  <c r="L56" i="28" s="1"/>
  <c r="M56" i="28" s="1"/>
  <c r="E7" i="28"/>
  <c r="F7" i="28" s="1"/>
  <c r="G7" i="28" s="1"/>
  <c r="H7" i="28" s="1"/>
  <c r="I7" i="28" s="1"/>
  <c r="J7" i="28" s="1"/>
  <c r="K7" i="28" s="1"/>
  <c r="L7" i="28" s="1"/>
  <c r="M7" i="28" s="1"/>
  <c r="E4" i="26"/>
  <c r="F4" i="26" s="1"/>
  <c r="G4" i="26" s="1"/>
  <c r="H4" i="26" s="1"/>
  <c r="I4" i="26" s="1"/>
  <c r="J4" i="26" s="1"/>
  <c r="K4" i="26" s="1"/>
  <c r="L4" i="26" s="1"/>
  <c r="M4" i="26" s="1"/>
  <c r="E4" i="23"/>
  <c r="F4" i="23"/>
  <c r="G4" i="23"/>
  <c r="H4" i="23" s="1"/>
  <c r="I4" i="23" s="1"/>
  <c r="J4" i="23" s="1"/>
  <c r="K4" i="23" s="1"/>
  <c r="L4" i="23" s="1"/>
  <c r="M4" i="23" s="1"/>
  <c r="E4" i="22"/>
  <c r="F4" i="22" s="1"/>
  <c r="G4" i="22" s="1"/>
  <c r="H4" i="22" s="1"/>
  <c r="I4" i="22" s="1"/>
  <c r="J4" i="22" s="1"/>
  <c r="K4" i="22" s="1"/>
  <c r="L4" i="22" s="1"/>
  <c r="M4" i="22" s="1"/>
  <c r="E4" i="20"/>
  <c r="F4" i="20" s="1"/>
  <c r="G4" i="20" s="1"/>
  <c r="H4" i="20" s="1"/>
  <c r="I4" i="20" s="1"/>
  <c r="J4" i="20" s="1"/>
  <c r="K4" i="20" s="1"/>
  <c r="L4" i="20" s="1"/>
  <c r="M4" i="20" s="1"/>
  <c r="E4" i="14"/>
  <c r="F4" i="14" s="1"/>
  <c r="G4" i="14" s="1"/>
  <c r="H4" i="14" s="1"/>
  <c r="I4" i="14" s="1"/>
  <c r="J4" i="14" s="1"/>
  <c r="K4" i="14" s="1"/>
  <c r="L4" i="14" s="1"/>
  <c r="M4" i="14" s="1"/>
  <c r="F4" i="15"/>
  <c r="G4" i="15" s="1"/>
  <c r="H4" i="15" s="1"/>
  <c r="I4" i="15" s="1"/>
  <c r="J4" i="15" s="1"/>
  <c r="K4" i="15" s="1"/>
  <c r="L4" i="15" s="1"/>
  <c r="M4" i="15" s="1"/>
  <c r="N4" i="15" s="1"/>
  <c r="E4" i="18"/>
  <c r="F4" i="18" s="1"/>
  <c r="G4" i="18" s="1"/>
  <c r="H4" i="18" s="1"/>
  <c r="I4" i="18" s="1"/>
  <c r="J4" i="18" s="1"/>
  <c r="K4" i="18" s="1"/>
  <c r="L4" i="18" s="1"/>
  <c r="M4" i="18" s="1"/>
  <c r="H39" i="30" l="1"/>
  <c r="U39" i="30" s="1"/>
  <c r="H33" i="30"/>
  <c r="U33" i="30" s="1"/>
  <c r="H34" i="30"/>
  <c r="U34" i="30" s="1"/>
  <c r="H37" i="30"/>
  <c r="U37" i="30" s="1"/>
  <c r="I35" i="30"/>
  <c r="AE35" i="30" s="1"/>
  <c r="H35" i="30"/>
  <c r="U35" i="30" s="1"/>
  <c r="H28" i="30"/>
  <c r="U28" i="30" s="1"/>
  <c r="I30" i="29"/>
  <c r="N30" i="29" s="1"/>
  <c r="G30" i="29"/>
  <c r="K30" i="29"/>
  <c r="H31" i="30"/>
  <c r="U31" i="30" s="1"/>
  <c r="H29" i="30"/>
  <c r="U29" i="30" s="1"/>
  <c r="M30" i="29"/>
  <c r="E30" i="29"/>
  <c r="I37" i="30"/>
  <c r="AE37" i="30" s="1"/>
  <c r="F60" i="31"/>
  <c r="D60" i="31" s="1"/>
  <c r="M93" i="28" s="1"/>
  <c r="C81" i="35"/>
  <c r="I39" i="30"/>
  <c r="AE39" i="30" s="1"/>
  <c r="I28" i="30"/>
  <c r="AE28" i="30" s="1"/>
  <c r="I29" i="30"/>
  <c r="AE29" i="30" s="1"/>
  <c r="I34" i="30"/>
  <c r="AE34" i="30" s="1"/>
  <c r="I38" i="30"/>
  <c r="AE38" i="30" s="1"/>
  <c r="I33" i="30"/>
  <c r="AE33" i="30" s="1"/>
  <c r="E24" i="31"/>
  <c r="E25" i="31"/>
  <c r="E22" i="31"/>
  <c r="E23" i="31"/>
  <c r="E18" i="31"/>
  <c r="E21" i="31"/>
  <c r="E19" i="31"/>
  <c r="H61" i="28"/>
  <c r="G14" i="18"/>
  <c r="E23" i="18"/>
  <c r="E26" i="18"/>
  <c r="H8" i="22"/>
  <c r="H9" i="22" s="1"/>
  <c r="H17" i="22" s="1"/>
  <c r="I66" i="28"/>
  <c r="F8" i="22"/>
  <c r="G9" i="22" s="1"/>
  <c r="G17" i="22" s="1"/>
  <c r="G66" i="28"/>
  <c r="AQ21" i="29"/>
  <c r="AE7" i="30" s="1"/>
  <c r="E29" i="29"/>
  <c r="AQ20" i="29"/>
  <c r="U7" i="30" s="1"/>
  <c r="K29" i="29"/>
  <c r="L69" i="28"/>
  <c r="L6" i="23"/>
  <c r="L5" i="30"/>
  <c r="I68" i="28"/>
  <c r="H8" i="38"/>
  <c r="H9" i="38" s="1"/>
  <c r="H11" i="38" s="1"/>
  <c r="I29" i="29"/>
  <c r="G13" i="28"/>
  <c r="G12" i="38"/>
  <c r="G22" i="38"/>
  <c r="M5" i="30"/>
  <c r="J67" i="28"/>
  <c r="I7" i="36"/>
  <c r="I8" i="36" s="1"/>
  <c r="I10" i="36" s="1"/>
  <c r="J6" i="36"/>
  <c r="U5" i="30"/>
  <c r="V6" i="30" s="1"/>
  <c r="F6" i="36"/>
  <c r="E7" i="36"/>
  <c r="E8" i="36" s="1"/>
  <c r="E10" i="36" s="1"/>
  <c r="F67" i="28"/>
  <c r="I13" i="28"/>
  <c r="I22" i="38"/>
  <c r="I26" i="38" s="1"/>
  <c r="I29" i="38" s="1"/>
  <c r="G31" i="30"/>
  <c r="K31" i="30" s="1"/>
  <c r="G28" i="30"/>
  <c r="K28" i="30" s="1"/>
  <c r="G33" i="30"/>
  <c r="K33" i="30" s="1"/>
  <c r="G34" i="30"/>
  <c r="K34" i="30" s="1"/>
  <c r="G35" i="30"/>
  <c r="K35" i="30" s="1"/>
  <c r="G37" i="30"/>
  <c r="K37" i="30" s="1"/>
  <c r="G39" i="30"/>
  <c r="K39" i="30" s="1"/>
  <c r="G38" i="30"/>
  <c r="K38" i="30" s="1"/>
  <c r="G59" i="30"/>
  <c r="G29" i="30"/>
  <c r="K29" i="30" s="1"/>
  <c r="G58" i="30"/>
  <c r="H67" i="28"/>
  <c r="G7" i="36"/>
  <c r="H6" i="36"/>
  <c r="K68" i="28"/>
  <c r="J8" i="38"/>
  <c r="J9" i="38" s="1"/>
  <c r="J11" i="38" s="1"/>
  <c r="K7" i="38"/>
  <c r="K7" i="18"/>
  <c r="K70" i="28"/>
  <c r="F8" i="38"/>
  <c r="F9" i="38" s="1"/>
  <c r="F11" i="38" s="1"/>
  <c r="G68" i="28"/>
  <c r="AE5" i="30"/>
  <c r="E13" i="28"/>
  <c r="E22" i="38"/>
  <c r="C17" i="28"/>
  <c r="C42" i="28" s="1"/>
  <c r="D16" i="28"/>
  <c r="D17" i="28" s="1"/>
  <c r="D19" i="28" s="1"/>
  <c r="D41" i="18"/>
  <c r="G29" i="29"/>
  <c r="W7" i="30"/>
  <c r="U20" i="30"/>
  <c r="H20" i="30" s="1"/>
  <c r="AE20" i="30"/>
  <c r="I20" i="30" s="1"/>
  <c r="AG24" i="30"/>
  <c r="AF24" i="30"/>
  <c r="AM24" i="30"/>
  <c r="AK19" i="29"/>
  <c r="G22" i="18"/>
  <c r="G18" i="18"/>
  <c r="G19" i="18" s="1"/>
  <c r="G20" i="18" s="1"/>
  <c r="G21" i="18" s="1"/>
  <c r="G27" i="18" s="1"/>
  <c r="F29" i="18"/>
  <c r="F14" i="23"/>
  <c r="F16" i="23" s="1"/>
  <c r="F17" i="23" s="1"/>
  <c r="G7" i="23"/>
  <c r="E15" i="28"/>
  <c r="E28" i="23"/>
  <c r="M10" i="23"/>
  <c r="M11" i="23" s="1"/>
  <c r="M15" i="23" s="1"/>
  <c r="L11" i="23"/>
  <c r="L15" i="23" s="1"/>
  <c r="G11" i="18"/>
  <c r="G12" i="18" s="1"/>
  <c r="H8" i="18"/>
  <c r="E28" i="18"/>
  <c r="E30" i="18" s="1"/>
  <c r="F10" i="18"/>
  <c r="J8" i="22"/>
  <c r="J9" i="22" s="1"/>
  <c r="J17" i="22" s="1"/>
  <c r="K7" i="22"/>
  <c r="L66" i="28" s="1"/>
  <c r="G6" i="22"/>
  <c r="F10" i="22"/>
  <c r="Y12" i="29"/>
  <c r="Z12" i="29"/>
  <c r="Q18" i="29"/>
  <c r="Q23" i="29" s="1"/>
  <c r="M34" i="29"/>
  <c r="E34" i="29"/>
  <c r="K34" i="29"/>
  <c r="G34" i="29"/>
  <c r="I34" i="29"/>
  <c r="G35" i="29"/>
  <c r="K35" i="29"/>
  <c r="I35" i="29"/>
  <c r="M35" i="29"/>
  <c r="E35" i="29"/>
  <c r="AX4" i="29"/>
  <c r="AJ1" i="29"/>
  <c r="R19" i="29"/>
  <c r="M20" i="30" s="1"/>
  <c r="Q19" i="29"/>
  <c r="AC25" i="29"/>
  <c r="AK18" i="29"/>
  <c r="AO12" i="29"/>
  <c r="AQ12" i="29"/>
  <c r="AQ19" i="29" s="1"/>
  <c r="AR19" i="29"/>
  <c r="AS19" i="29"/>
  <c r="AR18" i="29"/>
  <c r="AQ18" i="29" s="1"/>
  <c r="F7" i="30" s="1"/>
  <c r="W1" i="29"/>
  <c r="F12" i="20"/>
  <c r="F14" i="20" s="1"/>
  <c r="F16" i="20" s="1"/>
  <c r="D42" i="35" s="1"/>
  <c r="G6" i="20"/>
  <c r="E11" i="28"/>
  <c r="E27" i="20"/>
  <c r="E60" i="29" l="1"/>
  <c r="I16" i="14" s="1"/>
  <c r="J16" i="14" s="1"/>
  <c r="K16" i="14" s="1"/>
  <c r="L16" i="14" s="1"/>
  <c r="M16" i="14" s="1"/>
  <c r="I21" i="36"/>
  <c r="I25" i="36" s="1"/>
  <c r="I28" i="36" s="1"/>
  <c r="I12" i="28"/>
  <c r="I7" i="30"/>
  <c r="H60" i="29"/>
  <c r="V23" i="30"/>
  <c r="V22" i="30"/>
  <c r="V21" i="30"/>
  <c r="F9" i="22"/>
  <c r="F17" i="22" s="1"/>
  <c r="D41" i="35" s="1"/>
  <c r="G60" i="29"/>
  <c r="L20" i="30"/>
  <c r="L24" i="30" s="1"/>
  <c r="I61" i="28"/>
  <c r="H14" i="18"/>
  <c r="F23" i="18"/>
  <c r="F26" i="18"/>
  <c r="V31" i="30"/>
  <c r="V34" i="30"/>
  <c r="V28" i="30"/>
  <c r="V33" i="30"/>
  <c r="D60" i="29"/>
  <c r="G15" i="14" s="1"/>
  <c r="H15" i="14" s="1"/>
  <c r="I15" i="14" s="1"/>
  <c r="J15" i="14" s="1"/>
  <c r="K15" i="14" s="1"/>
  <c r="L15" i="14" s="1"/>
  <c r="M15" i="14" s="1"/>
  <c r="H7" i="30"/>
  <c r="V35" i="30"/>
  <c r="V29" i="30"/>
  <c r="V39" i="30"/>
  <c r="N29" i="29"/>
  <c r="H13" i="28"/>
  <c r="H22" i="38"/>
  <c r="H23" i="38" s="1"/>
  <c r="AM6" i="30"/>
  <c r="AE6" i="30"/>
  <c r="AL6" i="30"/>
  <c r="AK6" i="30"/>
  <c r="AJ6" i="30"/>
  <c r="AI6" i="30"/>
  <c r="AF6" i="30"/>
  <c r="AH6" i="30"/>
  <c r="J22" i="38"/>
  <c r="J26" i="38" s="1"/>
  <c r="J29" i="38" s="1"/>
  <c r="J13" i="28"/>
  <c r="H59" i="30"/>
  <c r="K59" i="30"/>
  <c r="Y6" i="30"/>
  <c r="U6" i="30"/>
  <c r="Z6" i="30"/>
  <c r="AA6" i="30"/>
  <c r="AC6" i="30"/>
  <c r="W6" i="30"/>
  <c r="AB6" i="30"/>
  <c r="X6" i="30"/>
  <c r="K5" i="30"/>
  <c r="L6" i="30" s="1"/>
  <c r="E21" i="36"/>
  <c r="E12" i="28"/>
  <c r="K58" i="30"/>
  <c r="G60" i="30"/>
  <c r="F47" i="31" s="1"/>
  <c r="H58" i="30"/>
  <c r="V40" i="30"/>
  <c r="V10" i="30"/>
  <c r="V11" i="30" s="1"/>
  <c r="V16" i="30"/>
  <c r="F8" i="15" s="1"/>
  <c r="V15" i="30"/>
  <c r="V17" i="30"/>
  <c r="V14" i="30"/>
  <c r="V38" i="30"/>
  <c r="V37" i="30"/>
  <c r="L70" i="28"/>
  <c r="L7" i="18"/>
  <c r="G67" i="28"/>
  <c r="F7" i="36"/>
  <c r="L68" i="28"/>
  <c r="K8" i="38"/>
  <c r="K9" i="38" s="1"/>
  <c r="K11" i="38" s="1"/>
  <c r="L7" i="38"/>
  <c r="AG6" i="30"/>
  <c r="F13" i="28"/>
  <c r="F22" i="38"/>
  <c r="F23" i="38" s="1"/>
  <c r="F31" i="38" s="1"/>
  <c r="K67" i="28"/>
  <c r="J7" i="36"/>
  <c r="J8" i="36" s="1"/>
  <c r="J10" i="36" s="1"/>
  <c r="K6" i="36"/>
  <c r="M6" i="23"/>
  <c r="M69" i="28"/>
  <c r="I67" i="28"/>
  <c r="H7" i="36"/>
  <c r="H8" i="36" s="1"/>
  <c r="H10" i="36" s="1"/>
  <c r="C19" i="28"/>
  <c r="D42" i="28"/>
  <c r="E16" i="28"/>
  <c r="E41" i="18"/>
  <c r="G12" i="23"/>
  <c r="G14" i="23"/>
  <c r="G16" i="23" s="1"/>
  <c r="G17" i="23" s="1"/>
  <c r="E28" i="29"/>
  <c r="M7" i="30"/>
  <c r="E33" i="29"/>
  <c r="L7" i="30"/>
  <c r="K7" i="30"/>
  <c r="G7" i="30"/>
  <c r="M24" i="30"/>
  <c r="H22" i="18"/>
  <c r="H18" i="18"/>
  <c r="H19" i="18" s="1"/>
  <c r="H20" i="18" s="1"/>
  <c r="H21" i="18" s="1"/>
  <c r="H27" i="18" s="1"/>
  <c r="G29" i="18"/>
  <c r="F14" i="28"/>
  <c r="F28" i="22"/>
  <c r="H6" i="22"/>
  <c r="G10" i="22"/>
  <c r="E14" i="28"/>
  <c r="E28" i="22"/>
  <c r="K8" i="22"/>
  <c r="K9" i="22" s="1"/>
  <c r="K17" i="22" s="1"/>
  <c r="L7" i="22"/>
  <c r="M66" i="28" s="1"/>
  <c r="F28" i="18"/>
  <c r="F30" i="18" s="1"/>
  <c r="D43" i="35" s="1"/>
  <c r="G10" i="18"/>
  <c r="H11" i="18"/>
  <c r="H12" i="18" s="1"/>
  <c r="I8" i="18"/>
  <c r="H7" i="23"/>
  <c r="F15" i="28"/>
  <c r="F28" i="23"/>
  <c r="M28" i="29"/>
  <c r="K28" i="29"/>
  <c r="I28" i="29"/>
  <c r="G28" i="29"/>
  <c r="AY4" i="29"/>
  <c r="K33" i="29"/>
  <c r="E8" i="26" s="1"/>
  <c r="I33" i="29"/>
  <c r="G33" i="29"/>
  <c r="M33" i="29"/>
  <c r="X1" i="29"/>
  <c r="N35" i="29"/>
  <c r="N34" i="29"/>
  <c r="G12" i="20"/>
  <c r="G14" i="20" s="1"/>
  <c r="G16" i="20" s="1"/>
  <c r="H6" i="20"/>
  <c r="F11" i="28"/>
  <c r="F27" i="20"/>
  <c r="F28" i="20" s="1"/>
  <c r="F36" i="20" s="1"/>
  <c r="D33" i="35" s="1"/>
  <c r="G17" i="20" l="1"/>
  <c r="E92" i="35" s="1"/>
  <c r="AI23" i="30"/>
  <c r="AI22" i="30"/>
  <c r="Y23" i="30"/>
  <c r="Y22" i="30"/>
  <c r="Y21" i="30"/>
  <c r="AJ23" i="30"/>
  <c r="AJ22" i="30"/>
  <c r="AH23" i="30"/>
  <c r="AH22" i="30"/>
  <c r="X23" i="30"/>
  <c r="X22" i="30"/>
  <c r="X21" i="30"/>
  <c r="AK23" i="30"/>
  <c r="AK22" i="30"/>
  <c r="AM23" i="30"/>
  <c r="AM22" i="30"/>
  <c r="AF23" i="30"/>
  <c r="AF14" i="30"/>
  <c r="AF22" i="30"/>
  <c r="AB23" i="30"/>
  <c r="AB22" i="30"/>
  <c r="AB21" i="30"/>
  <c r="AL23" i="30"/>
  <c r="AL22" i="30"/>
  <c r="AC23" i="30"/>
  <c r="AC22" i="30"/>
  <c r="AC21" i="30"/>
  <c r="AA23" i="30"/>
  <c r="AA22" i="30"/>
  <c r="AA21" i="30"/>
  <c r="Z23" i="30"/>
  <c r="Z22" i="30"/>
  <c r="Z21" i="30"/>
  <c r="E17" i="26"/>
  <c r="M17" i="26"/>
  <c r="F17" i="26"/>
  <c r="K17" i="26"/>
  <c r="I17" i="26"/>
  <c r="L17" i="26"/>
  <c r="G17" i="26"/>
  <c r="H17" i="26"/>
  <c r="J17" i="26"/>
  <c r="L22" i="30"/>
  <c r="L23" i="30"/>
  <c r="L21" i="30"/>
  <c r="AG23" i="30"/>
  <c r="AG22" i="30"/>
  <c r="W23" i="30"/>
  <c r="W22" i="30"/>
  <c r="W21" i="30"/>
  <c r="J6" i="26"/>
  <c r="K6" i="26"/>
  <c r="L6" i="26"/>
  <c r="M6" i="26"/>
  <c r="I6" i="26"/>
  <c r="H6" i="26"/>
  <c r="G6" i="26"/>
  <c r="F6" i="26"/>
  <c r="E6" i="26"/>
  <c r="M10" i="26"/>
  <c r="L10" i="26"/>
  <c r="K10" i="26"/>
  <c r="J10" i="26"/>
  <c r="I10" i="26"/>
  <c r="H10" i="26"/>
  <c r="G10" i="26"/>
  <c r="E10" i="26"/>
  <c r="F10" i="26"/>
  <c r="J9" i="26"/>
  <c r="K9" i="26"/>
  <c r="L9" i="26"/>
  <c r="M9" i="26"/>
  <c r="I9" i="26"/>
  <c r="H9" i="26"/>
  <c r="G9" i="26"/>
  <c r="E9" i="26"/>
  <c r="F9" i="26"/>
  <c r="J5" i="26"/>
  <c r="F60" i="29"/>
  <c r="E31" i="29"/>
  <c r="C60" i="29"/>
  <c r="E14" i="14" s="1"/>
  <c r="E17" i="14" s="1"/>
  <c r="J61" i="28"/>
  <c r="I14" i="18"/>
  <c r="G8" i="15"/>
  <c r="G23" i="18"/>
  <c r="G26" i="18"/>
  <c r="AG53" i="30"/>
  <c r="AG51" i="30"/>
  <c r="AG52" i="30"/>
  <c r="L34" i="30"/>
  <c r="L51" i="30"/>
  <c r="L53" i="30"/>
  <c r="L52" i="30"/>
  <c r="L28" i="30"/>
  <c r="AH53" i="30"/>
  <c r="AH51" i="30"/>
  <c r="AH52" i="30"/>
  <c r="AF53" i="30"/>
  <c r="AF51" i="30"/>
  <c r="AF52" i="30"/>
  <c r="AI53" i="30"/>
  <c r="AI51" i="30"/>
  <c r="AI52" i="30"/>
  <c r="AJ53" i="30"/>
  <c r="AJ51" i="30"/>
  <c r="AJ52" i="30"/>
  <c r="AK53" i="30"/>
  <c r="AK51" i="30"/>
  <c r="AK52" i="30"/>
  <c r="AL53" i="30"/>
  <c r="AL51" i="30"/>
  <c r="AL52" i="30"/>
  <c r="AM53" i="30"/>
  <c r="AM51" i="30"/>
  <c r="AM52" i="30"/>
  <c r="AB40" i="30"/>
  <c r="AB15" i="30"/>
  <c r="AB16" i="30"/>
  <c r="AB14" i="30"/>
  <c r="AB10" i="30"/>
  <c r="AB11" i="30" s="1"/>
  <c r="AB17" i="30"/>
  <c r="AB38" i="30"/>
  <c r="AB28" i="30"/>
  <c r="AB37" i="30"/>
  <c r="AB31" i="30"/>
  <c r="AB39" i="30"/>
  <c r="AB34" i="30"/>
  <c r="AB35" i="30"/>
  <c r="AB29" i="30"/>
  <c r="AB33" i="30"/>
  <c r="J23" i="38"/>
  <c r="AM10" i="30"/>
  <c r="AM11" i="30" s="1"/>
  <c r="AM14" i="30"/>
  <c r="AM40" i="30"/>
  <c r="AM16" i="30"/>
  <c r="H12" i="15" s="1"/>
  <c r="I12" i="15" s="1"/>
  <c r="AM15" i="30"/>
  <c r="AM17" i="30"/>
  <c r="AM38" i="30"/>
  <c r="AM34" i="30"/>
  <c r="AM28" i="30"/>
  <c r="AM33" i="30"/>
  <c r="AM39" i="30"/>
  <c r="AM37" i="30"/>
  <c r="AM29" i="30"/>
  <c r="AM35" i="30"/>
  <c r="AM31" i="30"/>
  <c r="L33" i="30"/>
  <c r="L5" i="26"/>
  <c r="W40" i="30"/>
  <c r="W16" i="30"/>
  <c r="F7" i="15" s="1"/>
  <c r="W15" i="30"/>
  <c r="W10" i="30"/>
  <c r="W11" i="30" s="1"/>
  <c r="W14" i="30"/>
  <c r="W17" i="30"/>
  <c r="W37" i="30"/>
  <c r="W35" i="30"/>
  <c r="W33" i="30"/>
  <c r="W39" i="30"/>
  <c r="W31" i="30"/>
  <c r="W38" i="30"/>
  <c r="W34" i="30"/>
  <c r="W29" i="30"/>
  <c r="W28" i="30"/>
  <c r="AH16" i="30"/>
  <c r="H10" i="15" s="1"/>
  <c r="I10" i="15" s="1"/>
  <c r="AH10" i="30"/>
  <c r="AH11" i="30" s="1"/>
  <c r="AH40" i="30"/>
  <c r="AH15" i="30"/>
  <c r="AH14" i="30"/>
  <c r="AH17" i="30"/>
  <c r="AH35" i="30"/>
  <c r="AH39" i="30"/>
  <c r="AH31" i="30"/>
  <c r="AH33" i="30"/>
  <c r="AH28" i="30"/>
  <c r="AH34" i="30"/>
  <c r="AH37" i="30"/>
  <c r="AH29" i="30"/>
  <c r="AH38" i="30"/>
  <c r="H31" i="38"/>
  <c r="K5" i="26"/>
  <c r="E5" i="26"/>
  <c r="M5" i="26"/>
  <c r="G8" i="36"/>
  <c r="G10" i="36" s="1"/>
  <c r="F8" i="36"/>
  <c r="F10" i="36" s="1"/>
  <c r="L38" i="30"/>
  <c r="F30" i="26"/>
  <c r="E30" i="26"/>
  <c r="U58" i="30"/>
  <c r="I58" i="30"/>
  <c r="H60" i="30"/>
  <c r="H47" i="31" s="1"/>
  <c r="H74" i="31" s="1"/>
  <c r="AC40" i="30"/>
  <c r="AC10" i="30"/>
  <c r="AC11" i="30" s="1"/>
  <c r="AC17" i="30"/>
  <c r="AC16" i="30"/>
  <c r="F12" i="15" s="1"/>
  <c r="G12" i="15" s="1"/>
  <c r="AC15" i="30"/>
  <c r="AC14" i="30"/>
  <c r="AC37" i="30"/>
  <c r="AC28" i="30"/>
  <c r="AC35" i="30"/>
  <c r="AC31" i="30"/>
  <c r="AC38" i="30"/>
  <c r="AC39" i="30"/>
  <c r="AC34" i="30"/>
  <c r="AC33" i="30"/>
  <c r="AC29" i="30"/>
  <c r="AF16" i="30"/>
  <c r="H8" i="15" s="1"/>
  <c r="AF10" i="30"/>
  <c r="AF11" i="30" s="1"/>
  <c r="AF15" i="30"/>
  <c r="AF40" i="30"/>
  <c r="AF17" i="30"/>
  <c r="AF35" i="30"/>
  <c r="AF28" i="30"/>
  <c r="AF33" i="30"/>
  <c r="AF39" i="30"/>
  <c r="AF37" i="30"/>
  <c r="AF38" i="30"/>
  <c r="AF31" i="30"/>
  <c r="AF29" i="30"/>
  <c r="AF34" i="30"/>
  <c r="F5" i="26"/>
  <c r="L6" i="36"/>
  <c r="L67" i="28"/>
  <c r="K7" i="36"/>
  <c r="K8" i="36" s="1"/>
  <c r="K10" i="36" s="1"/>
  <c r="L39" i="30"/>
  <c r="F74" i="31"/>
  <c r="AA40" i="30"/>
  <c r="AA15" i="30"/>
  <c r="AA17" i="30"/>
  <c r="AA10" i="30"/>
  <c r="AA11" i="30" s="1"/>
  <c r="AA14" i="30"/>
  <c r="AA16" i="30"/>
  <c r="F9" i="15" s="1"/>
  <c r="G9" i="15" s="1"/>
  <c r="AA39" i="30"/>
  <c r="AA34" i="30"/>
  <c r="AA37" i="30"/>
  <c r="AA38" i="30"/>
  <c r="AA29" i="30"/>
  <c r="AA33" i="30"/>
  <c r="AA28" i="30"/>
  <c r="AA31" i="30"/>
  <c r="AA35" i="30"/>
  <c r="L31" i="30"/>
  <c r="AI40" i="30"/>
  <c r="AI10" i="30"/>
  <c r="AI11" i="30" s="1"/>
  <c r="AI16" i="30"/>
  <c r="H11" i="15" s="1"/>
  <c r="I11" i="15" s="1"/>
  <c r="AI14" i="30"/>
  <c r="AI17" i="30"/>
  <c r="AI15" i="30"/>
  <c r="AI39" i="30"/>
  <c r="AI31" i="30"/>
  <c r="AI28" i="30"/>
  <c r="AI38" i="30"/>
  <c r="AI37" i="30"/>
  <c r="AI29" i="30"/>
  <c r="AI34" i="30"/>
  <c r="AI33" i="30"/>
  <c r="AI35" i="30"/>
  <c r="G5" i="26"/>
  <c r="L37" i="30"/>
  <c r="J21" i="36"/>
  <c r="J25" i="36" s="1"/>
  <c r="J28" i="36" s="1"/>
  <c r="J12" i="28"/>
  <c r="L29" i="30"/>
  <c r="M70" i="28"/>
  <c r="M7" i="18"/>
  <c r="L58" i="30"/>
  <c r="K60" i="30"/>
  <c r="L35" i="30"/>
  <c r="Z40" i="30"/>
  <c r="Z17" i="30"/>
  <c r="Z10" i="30"/>
  <c r="Z11" i="30" s="1"/>
  <c r="Z16" i="30"/>
  <c r="Z15" i="30"/>
  <c r="Z14" i="30"/>
  <c r="Z29" i="30"/>
  <c r="Z33" i="30"/>
  <c r="Z28" i="30"/>
  <c r="Z37" i="30"/>
  <c r="Z31" i="30"/>
  <c r="Z39" i="30"/>
  <c r="Z38" i="30"/>
  <c r="Z35" i="30"/>
  <c r="Z34" i="30"/>
  <c r="AJ40" i="30"/>
  <c r="AJ10" i="30"/>
  <c r="AJ11" i="30" s="1"/>
  <c r="AJ16" i="30"/>
  <c r="AJ17" i="30"/>
  <c r="AJ14" i="30"/>
  <c r="AJ15" i="30"/>
  <c r="AJ33" i="30"/>
  <c r="AJ28" i="30"/>
  <c r="AJ37" i="30"/>
  <c r="AJ29" i="30"/>
  <c r="AJ34" i="30"/>
  <c r="AJ35" i="30"/>
  <c r="AJ38" i="30"/>
  <c r="AJ39" i="30"/>
  <c r="AJ31" i="30"/>
  <c r="L59" i="30"/>
  <c r="AK40" i="30"/>
  <c r="AK17" i="30"/>
  <c r="AK14" i="30"/>
  <c r="AK15" i="30"/>
  <c r="AK10" i="30"/>
  <c r="AK11" i="30" s="1"/>
  <c r="AK16" i="30"/>
  <c r="H9" i="15" s="1"/>
  <c r="I9" i="15" s="1"/>
  <c r="AK37" i="30"/>
  <c r="AK31" i="30"/>
  <c r="AK29" i="30"/>
  <c r="AK34" i="30"/>
  <c r="AK28" i="30"/>
  <c r="AK38" i="30"/>
  <c r="AK33" i="30"/>
  <c r="AK35" i="30"/>
  <c r="AK39" i="30"/>
  <c r="E36" i="29"/>
  <c r="H5" i="26"/>
  <c r="AG40" i="30"/>
  <c r="AG16" i="30"/>
  <c r="H7" i="15" s="1"/>
  <c r="I7" i="15" s="1"/>
  <c r="AG15" i="30"/>
  <c r="AG14" i="30"/>
  <c r="AG10" i="30"/>
  <c r="AG11" i="30" s="1"/>
  <c r="AG17" i="30"/>
  <c r="AG33" i="30"/>
  <c r="AG38" i="30"/>
  <c r="AG34" i="30"/>
  <c r="AG31" i="30"/>
  <c r="AG29" i="30"/>
  <c r="AG37" i="30"/>
  <c r="AG39" i="30"/>
  <c r="AG28" i="30"/>
  <c r="AG35" i="30"/>
  <c r="Y40" i="30"/>
  <c r="Y15" i="30"/>
  <c r="Y16" i="30"/>
  <c r="F11" i="15" s="1"/>
  <c r="G11" i="15" s="1"/>
  <c r="Y17" i="30"/>
  <c r="Y10" i="30"/>
  <c r="Y11" i="30" s="1"/>
  <c r="Y14" i="30"/>
  <c r="Y35" i="30"/>
  <c r="Y39" i="30"/>
  <c r="Y29" i="30"/>
  <c r="Y34" i="30"/>
  <c r="Y38" i="30"/>
  <c r="Y28" i="30"/>
  <c r="Y37" i="30"/>
  <c r="Y33" i="30"/>
  <c r="Y31" i="30"/>
  <c r="I59" i="30"/>
  <c r="AE59" i="30" s="1"/>
  <c r="U59" i="30"/>
  <c r="AL40" i="30"/>
  <c r="AL16" i="30"/>
  <c r="AL15" i="30"/>
  <c r="AL14" i="30"/>
  <c r="AL10" i="30"/>
  <c r="AL11" i="30" s="1"/>
  <c r="AL17" i="30"/>
  <c r="AL29" i="30"/>
  <c r="AL34" i="30"/>
  <c r="AL31" i="30"/>
  <c r="AL33" i="30"/>
  <c r="AL37" i="30"/>
  <c r="AL38" i="30"/>
  <c r="AL35" i="30"/>
  <c r="AL39" i="30"/>
  <c r="AL28" i="30"/>
  <c r="L14" i="30"/>
  <c r="L40" i="30"/>
  <c r="L10" i="30"/>
  <c r="L11" i="30" s="1"/>
  <c r="L17" i="30"/>
  <c r="L16" i="30"/>
  <c r="D8" i="15" s="1"/>
  <c r="E8" i="15" s="1"/>
  <c r="L15" i="30"/>
  <c r="I5" i="26"/>
  <c r="H21" i="36"/>
  <c r="H22" i="36" s="1"/>
  <c r="H12" i="28"/>
  <c r="M68" i="28"/>
  <c r="M7" i="38"/>
  <c r="L8" i="38"/>
  <c r="L9" i="38" s="1"/>
  <c r="L11" i="38" s="1"/>
  <c r="K6" i="30"/>
  <c r="O6" i="30"/>
  <c r="N6" i="30"/>
  <c r="R6" i="30"/>
  <c r="S6" i="30"/>
  <c r="Q6" i="30"/>
  <c r="P6" i="30"/>
  <c r="K22" i="38"/>
  <c r="K26" i="38" s="1"/>
  <c r="K29" i="38" s="1"/>
  <c r="K13" i="28"/>
  <c r="F31" i="26"/>
  <c r="E31" i="26"/>
  <c r="X17" i="30"/>
  <c r="X10" i="30"/>
  <c r="X11" i="30" s="1"/>
  <c r="X40" i="30"/>
  <c r="X16" i="30"/>
  <c r="F10" i="15" s="1"/>
  <c r="G10" i="15" s="1"/>
  <c r="X15" i="30"/>
  <c r="X14" i="30"/>
  <c r="X31" i="30"/>
  <c r="X38" i="30"/>
  <c r="X37" i="30"/>
  <c r="X39" i="30"/>
  <c r="X29" i="30"/>
  <c r="X28" i="30"/>
  <c r="X34" i="30"/>
  <c r="X35" i="30"/>
  <c r="X33" i="30"/>
  <c r="M6" i="30"/>
  <c r="F16" i="28"/>
  <c r="F41" i="18"/>
  <c r="F42" i="18" s="1"/>
  <c r="F50" i="18" s="1"/>
  <c r="D34" i="35" s="1"/>
  <c r="H12" i="23"/>
  <c r="H14" i="23"/>
  <c r="F29" i="22"/>
  <c r="I36" i="29"/>
  <c r="M7" i="26"/>
  <c r="L7" i="26"/>
  <c r="K7" i="26"/>
  <c r="J7" i="26"/>
  <c r="I7" i="26"/>
  <c r="H7" i="26"/>
  <c r="G7" i="26"/>
  <c r="F7" i="26"/>
  <c r="E7" i="26"/>
  <c r="K36" i="29"/>
  <c r="M8" i="26"/>
  <c r="L8" i="26"/>
  <c r="K8" i="26"/>
  <c r="J8" i="26"/>
  <c r="I8" i="26"/>
  <c r="H8" i="26"/>
  <c r="G8" i="26"/>
  <c r="F8" i="26"/>
  <c r="J6" i="14"/>
  <c r="K6" i="14"/>
  <c r="L6" i="14"/>
  <c r="M6" i="14"/>
  <c r="I6" i="14"/>
  <c r="H6" i="14"/>
  <c r="G6" i="14"/>
  <c r="F6" i="14"/>
  <c r="E6" i="14"/>
  <c r="I31" i="29"/>
  <c r="J7" i="14"/>
  <c r="K7" i="14"/>
  <c r="L7" i="14"/>
  <c r="M7" i="14"/>
  <c r="I7" i="14"/>
  <c r="H7" i="14"/>
  <c r="G7" i="14"/>
  <c r="F7" i="14"/>
  <c r="E7" i="14"/>
  <c r="K31" i="29"/>
  <c r="J8" i="14"/>
  <c r="K8" i="14"/>
  <c r="L8" i="14"/>
  <c r="M8" i="14"/>
  <c r="I8" i="14"/>
  <c r="H8" i="14"/>
  <c r="G8" i="14"/>
  <c r="E8" i="14"/>
  <c r="F8" i="14"/>
  <c r="J9" i="14"/>
  <c r="K9" i="14"/>
  <c r="L9" i="14"/>
  <c r="M9" i="14"/>
  <c r="I9" i="14"/>
  <c r="H9" i="14"/>
  <c r="G9" i="14"/>
  <c r="E9" i="14"/>
  <c r="F9" i="14"/>
  <c r="J5" i="14"/>
  <c r="K5" i="14"/>
  <c r="L5" i="14"/>
  <c r="M5" i="14"/>
  <c r="I5" i="14"/>
  <c r="H5" i="14"/>
  <c r="G5" i="14"/>
  <c r="F5" i="14"/>
  <c r="E5" i="14"/>
  <c r="H24" i="30"/>
  <c r="I24" i="30"/>
  <c r="I25" i="30" s="1"/>
  <c r="J44" i="31" s="1"/>
  <c r="J71" i="31" s="1"/>
  <c r="N28" i="29"/>
  <c r="N31" i="29" s="1"/>
  <c r="G36" i="29"/>
  <c r="N33" i="29"/>
  <c r="G31" i="29"/>
  <c r="I22" i="18"/>
  <c r="I18" i="18"/>
  <c r="I19" i="18" s="1"/>
  <c r="I20" i="18" s="1"/>
  <c r="I21" i="18" s="1"/>
  <c r="I27" i="18" s="1"/>
  <c r="H29" i="18"/>
  <c r="H16" i="23"/>
  <c r="H17" i="23" s="1"/>
  <c r="E59" i="35" s="1"/>
  <c r="F59" i="35" s="1"/>
  <c r="I7" i="23"/>
  <c r="G15" i="28"/>
  <c r="G28" i="23"/>
  <c r="I11" i="18"/>
  <c r="I12" i="18" s="1"/>
  <c r="J8" i="18"/>
  <c r="G28" i="18"/>
  <c r="G30" i="18" s="1"/>
  <c r="H10" i="18"/>
  <c r="L8" i="22"/>
  <c r="L9" i="22" s="1"/>
  <c r="L17" i="22" s="1"/>
  <c r="M7" i="22"/>
  <c r="M8" i="22" s="1"/>
  <c r="M9" i="22" s="1"/>
  <c r="M17" i="22" s="1"/>
  <c r="G14" i="28"/>
  <c r="G28" i="22"/>
  <c r="I6" i="22"/>
  <c r="H10" i="22"/>
  <c r="E41" i="35" s="1"/>
  <c r="AK1" i="29"/>
  <c r="M36" i="29"/>
  <c r="M31" i="29"/>
  <c r="H12" i="20"/>
  <c r="H14" i="20" s="1"/>
  <c r="H16" i="20" s="1"/>
  <c r="E42" i="35" s="1"/>
  <c r="I6" i="20"/>
  <c r="G11" i="28"/>
  <c r="G27" i="20"/>
  <c r="E94" i="35" l="1"/>
  <c r="E95" i="35" s="1"/>
  <c r="C92" i="35"/>
  <c r="L25" i="30"/>
  <c r="D26" i="26" s="1"/>
  <c r="D24" i="28" s="1"/>
  <c r="M11" i="20"/>
  <c r="K11" i="20"/>
  <c r="I11" i="20"/>
  <c r="E11" i="20"/>
  <c r="J11" i="20"/>
  <c r="F11" i="20"/>
  <c r="G11" i="20"/>
  <c r="H11" i="20"/>
  <c r="L11" i="20"/>
  <c r="Q23" i="30"/>
  <c r="Q22" i="30"/>
  <c r="Q21" i="30"/>
  <c r="S22" i="30"/>
  <c r="S21" i="30"/>
  <c r="S23" i="30"/>
  <c r="R22" i="30"/>
  <c r="R23" i="30"/>
  <c r="R21" i="30"/>
  <c r="M22" i="30"/>
  <c r="M21" i="30"/>
  <c r="M20" i="14"/>
  <c r="F20" i="14"/>
  <c r="J20" i="14"/>
  <c r="L20" i="14"/>
  <c r="G20" i="14"/>
  <c r="E20" i="14"/>
  <c r="H20" i="14"/>
  <c r="K20" i="14"/>
  <c r="I20" i="14"/>
  <c r="M23" i="30"/>
  <c r="F16" i="22"/>
  <c r="H16" i="22"/>
  <c r="G16" i="22"/>
  <c r="L16" i="22"/>
  <c r="E16" i="22"/>
  <c r="K16" i="22"/>
  <c r="J16" i="22"/>
  <c r="I16" i="22"/>
  <c r="M16" i="22"/>
  <c r="N23" i="30"/>
  <c r="N22" i="30"/>
  <c r="N21" i="30"/>
  <c r="O23" i="30"/>
  <c r="O22" i="30"/>
  <c r="O21" i="30"/>
  <c r="P23" i="30"/>
  <c r="P22" i="30"/>
  <c r="P21" i="30"/>
  <c r="E96" i="35"/>
  <c r="C95" i="35"/>
  <c r="N36" i="29"/>
  <c r="E12" i="26"/>
  <c r="E20" i="26" s="1"/>
  <c r="I14" i="26"/>
  <c r="G14" i="26"/>
  <c r="E14" i="26"/>
  <c r="K61" i="28"/>
  <c r="J14" i="18"/>
  <c r="G7" i="15"/>
  <c r="G13" i="15" s="1"/>
  <c r="G23" i="15" s="1"/>
  <c r="F31" i="28" s="1"/>
  <c r="F13" i="15"/>
  <c r="F23" i="15" s="1"/>
  <c r="E31" i="28" s="1"/>
  <c r="H13" i="15"/>
  <c r="H23" i="15" s="1"/>
  <c r="G31" i="28" s="1"/>
  <c r="I8" i="15"/>
  <c r="I13" i="15" s="1"/>
  <c r="I23" i="15" s="1"/>
  <c r="H31" i="28" s="1"/>
  <c r="H23" i="18"/>
  <c r="H26" i="18"/>
  <c r="M52" i="30"/>
  <c r="M51" i="30"/>
  <c r="M53" i="30"/>
  <c r="P59" i="30"/>
  <c r="P51" i="30"/>
  <c r="P53" i="30"/>
  <c r="P52" i="30"/>
  <c r="Q51" i="30"/>
  <c r="Q53" i="30"/>
  <c r="Q52" i="30"/>
  <c r="S52" i="30"/>
  <c r="S51" i="30"/>
  <c r="S53" i="30"/>
  <c r="R59" i="30"/>
  <c r="R51" i="30"/>
  <c r="R53" i="30"/>
  <c r="R52" i="30"/>
  <c r="N59" i="30"/>
  <c r="N51" i="30"/>
  <c r="N53" i="30"/>
  <c r="N52" i="30"/>
  <c r="O58" i="30"/>
  <c r="O51" i="30"/>
  <c r="O53" i="30"/>
  <c r="O52" i="30"/>
  <c r="F14" i="14"/>
  <c r="G14" i="14" s="1"/>
  <c r="H14" i="14" s="1"/>
  <c r="I14" i="14" s="1"/>
  <c r="J14" i="14" s="1"/>
  <c r="K14" i="14" s="1"/>
  <c r="L14" i="14" s="1"/>
  <c r="M14" i="14" s="1"/>
  <c r="E62" i="35"/>
  <c r="E65" i="35" s="1"/>
  <c r="P58" i="30"/>
  <c r="P60" i="30" s="1"/>
  <c r="E11" i="26"/>
  <c r="D17" i="35" s="1"/>
  <c r="M11" i="26"/>
  <c r="M10" i="14"/>
  <c r="Q16" i="30"/>
  <c r="D9" i="15" s="1"/>
  <c r="E9" i="15" s="1"/>
  <c r="Q40" i="30"/>
  <c r="Q15" i="30"/>
  <c r="Q10" i="30"/>
  <c r="Q11" i="30" s="1"/>
  <c r="Q17" i="30"/>
  <c r="Q14" i="30"/>
  <c r="Q33" i="30"/>
  <c r="Q28" i="30"/>
  <c r="Q34" i="30"/>
  <c r="Q35" i="30"/>
  <c r="Q31" i="30"/>
  <c r="Q29" i="30"/>
  <c r="Q39" i="30"/>
  <c r="Q38" i="30"/>
  <c r="Q37" i="30"/>
  <c r="C13" i="38"/>
  <c r="M13" i="38"/>
  <c r="M8" i="38"/>
  <c r="M9" i="38" s="1"/>
  <c r="M11" i="38" s="1"/>
  <c r="D13" i="38"/>
  <c r="E13" i="38"/>
  <c r="I13" i="38"/>
  <c r="G13" i="38"/>
  <c r="J13" i="38"/>
  <c r="H13" i="38"/>
  <c r="F13" i="38"/>
  <c r="K13" i="38"/>
  <c r="D30" i="26"/>
  <c r="C30" i="26"/>
  <c r="H25" i="23"/>
  <c r="G25" i="23"/>
  <c r="F38" i="18"/>
  <c r="E38" i="18"/>
  <c r="G25" i="22"/>
  <c r="H25" i="22"/>
  <c r="J31" i="38"/>
  <c r="E24" i="22"/>
  <c r="F24" i="22"/>
  <c r="S15" i="30"/>
  <c r="S16" i="30"/>
  <c r="D12" i="15" s="1"/>
  <c r="E12" i="15" s="1"/>
  <c r="S14" i="30"/>
  <c r="S40" i="30"/>
  <c r="S10" i="30"/>
  <c r="S11" i="30" s="1"/>
  <c r="S58" i="30"/>
  <c r="S28" i="30"/>
  <c r="S39" i="30"/>
  <c r="S37" i="30"/>
  <c r="S35" i="30"/>
  <c r="S34" i="30"/>
  <c r="S33" i="30"/>
  <c r="S31" i="30"/>
  <c r="S29" i="30"/>
  <c r="S38" i="30"/>
  <c r="S17" i="30"/>
  <c r="S59" i="30"/>
  <c r="H24" i="20"/>
  <c r="G24" i="20"/>
  <c r="F23" i="20"/>
  <c r="E23" i="20"/>
  <c r="K21" i="36"/>
  <c r="K25" i="36" s="1"/>
  <c r="K28" i="36" s="1"/>
  <c r="K12" i="28"/>
  <c r="F37" i="18"/>
  <c r="E37" i="18"/>
  <c r="F21" i="36"/>
  <c r="F22" i="36" s="1"/>
  <c r="F30" i="36" s="1"/>
  <c r="H30" i="36" s="1"/>
  <c r="F12" i="28"/>
  <c r="F33" i="14"/>
  <c r="E33" i="14"/>
  <c r="H38" i="18"/>
  <c r="G38" i="18"/>
  <c r="E25" i="22"/>
  <c r="F25" i="22"/>
  <c r="R17" i="30"/>
  <c r="R15" i="30"/>
  <c r="R10" i="30"/>
  <c r="R11" i="30" s="1"/>
  <c r="R14" i="30"/>
  <c r="R40" i="30"/>
  <c r="R16" i="30"/>
  <c r="R33" i="30"/>
  <c r="R28" i="30"/>
  <c r="R34" i="30"/>
  <c r="R31" i="30"/>
  <c r="R35" i="30"/>
  <c r="R29" i="30"/>
  <c r="R37" i="30"/>
  <c r="R38" i="30"/>
  <c r="R39" i="30"/>
  <c r="AB59" i="30"/>
  <c r="V59" i="30"/>
  <c r="AA59" i="30"/>
  <c r="Z59" i="30"/>
  <c r="Y59" i="30"/>
  <c r="X59" i="30"/>
  <c r="AC59" i="30"/>
  <c r="F24" i="20"/>
  <c r="E24" i="20"/>
  <c r="H30" i="26"/>
  <c r="G30" i="26"/>
  <c r="G21" i="36"/>
  <c r="G12" i="28"/>
  <c r="E19" i="38"/>
  <c r="F19" i="38"/>
  <c r="I10" i="14"/>
  <c r="J58" i="28" s="1"/>
  <c r="M15" i="30"/>
  <c r="M17" i="30"/>
  <c r="M14" i="30"/>
  <c r="M16" i="30"/>
  <c r="D7" i="15" s="1"/>
  <c r="M10" i="30"/>
  <c r="M11" i="30" s="1"/>
  <c r="M40" i="30"/>
  <c r="M28" i="30"/>
  <c r="M35" i="30"/>
  <c r="M33" i="30"/>
  <c r="M38" i="30"/>
  <c r="M58" i="30"/>
  <c r="M39" i="30"/>
  <c r="M37" i="30"/>
  <c r="M34" i="30"/>
  <c r="M31" i="30"/>
  <c r="M29" i="30"/>
  <c r="M59" i="30"/>
  <c r="W58" i="30"/>
  <c r="AG59" i="30"/>
  <c r="W59" i="30"/>
  <c r="N16" i="30"/>
  <c r="D10" i="15" s="1"/>
  <c r="E10" i="15" s="1"/>
  <c r="N40" i="30"/>
  <c r="N10" i="30"/>
  <c r="N11" i="30" s="1"/>
  <c r="N17" i="30"/>
  <c r="N15" i="30"/>
  <c r="N14" i="30"/>
  <c r="N31" i="30"/>
  <c r="N35" i="30"/>
  <c r="N29" i="30"/>
  <c r="N37" i="30"/>
  <c r="N39" i="30"/>
  <c r="N38" i="30"/>
  <c r="N28" i="30"/>
  <c r="N33" i="30"/>
  <c r="N34" i="30"/>
  <c r="AF59" i="30"/>
  <c r="AM59" i="30"/>
  <c r="AL59" i="30"/>
  <c r="AK59" i="30"/>
  <c r="AJ59" i="30"/>
  <c r="AI59" i="30"/>
  <c r="AH59" i="30"/>
  <c r="L60" i="30"/>
  <c r="R58" i="30"/>
  <c r="J22" i="36"/>
  <c r="H24" i="23"/>
  <c r="G24" i="23"/>
  <c r="L7" i="36"/>
  <c r="L8" i="36" s="1"/>
  <c r="L10" i="36" s="1"/>
  <c r="M6" i="36"/>
  <c r="L12" i="36" s="1"/>
  <c r="M67" i="28"/>
  <c r="F18" i="38"/>
  <c r="E18" i="38"/>
  <c r="O16" i="30"/>
  <c r="D11" i="15" s="1"/>
  <c r="E11" i="15" s="1"/>
  <c r="O17" i="30"/>
  <c r="O14" i="30"/>
  <c r="O10" i="30"/>
  <c r="O11" i="30" s="1"/>
  <c r="O15" i="30"/>
  <c r="O40" i="30"/>
  <c r="O33" i="30"/>
  <c r="O38" i="30"/>
  <c r="O37" i="30"/>
  <c r="O34" i="30"/>
  <c r="O39" i="30"/>
  <c r="O31" i="30"/>
  <c r="O35" i="30"/>
  <c r="O28" i="30"/>
  <c r="O29" i="30"/>
  <c r="H19" i="38"/>
  <c r="G19" i="38"/>
  <c r="H34" i="14"/>
  <c r="G34" i="14"/>
  <c r="H18" i="36"/>
  <c r="G18" i="36"/>
  <c r="F17" i="36"/>
  <c r="E17" i="36"/>
  <c r="Q58" i="30"/>
  <c r="I60" i="30"/>
  <c r="J47" i="31" s="1"/>
  <c r="AE58" i="30"/>
  <c r="AG58" i="30" s="1"/>
  <c r="H24" i="22"/>
  <c r="G24" i="22"/>
  <c r="H18" i="38"/>
  <c r="G18" i="38"/>
  <c r="H33" i="14"/>
  <c r="G33" i="14"/>
  <c r="F18" i="36"/>
  <c r="E18" i="36"/>
  <c r="Z58" i="30"/>
  <c r="AC58" i="30"/>
  <c r="Y58" i="30"/>
  <c r="X58" i="30"/>
  <c r="AA58" i="30"/>
  <c r="V58" i="30"/>
  <c r="AB58" i="30"/>
  <c r="U60" i="30"/>
  <c r="F24" i="23"/>
  <c r="E24" i="23"/>
  <c r="G23" i="20"/>
  <c r="H23" i="20"/>
  <c r="H17" i="36"/>
  <c r="G17" i="36"/>
  <c r="N58" i="30"/>
  <c r="H31" i="26"/>
  <c r="G31" i="26"/>
  <c r="H37" i="18"/>
  <c r="G37" i="18"/>
  <c r="L13" i="38"/>
  <c r="Q59" i="30"/>
  <c r="P14" i="30"/>
  <c r="P15" i="30"/>
  <c r="P40" i="30"/>
  <c r="P10" i="30"/>
  <c r="P11" i="30" s="1"/>
  <c r="P16" i="30"/>
  <c r="P17" i="30"/>
  <c r="P38" i="30"/>
  <c r="P39" i="30"/>
  <c r="P33" i="30"/>
  <c r="P31" i="30"/>
  <c r="P28" i="30"/>
  <c r="P34" i="30"/>
  <c r="P29" i="30"/>
  <c r="P37" i="30"/>
  <c r="P35" i="30"/>
  <c r="L22" i="38"/>
  <c r="L26" i="38" s="1"/>
  <c r="L29" i="38" s="1"/>
  <c r="L13" i="28"/>
  <c r="D31" i="26"/>
  <c r="C31" i="26"/>
  <c r="F25" i="23"/>
  <c r="E25" i="23"/>
  <c r="O59" i="30"/>
  <c r="F34" i="14"/>
  <c r="E34" i="14"/>
  <c r="L11" i="26"/>
  <c r="M59" i="28" s="1"/>
  <c r="F11" i="26"/>
  <c r="G59" i="28" s="1"/>
  <c r="G11" i="26"/>
  <c r="H59" i="28" s="1"/>
  <c r="K10" i="14"/>
  <c r="L58" i="28" s="1"/>
  <c r="L10" i="14"/>
  <c r="M58" i="28" s="1"/>
  <c r="H11" i="26"/>
  <c r="I59" i="28" s="1"/>
  <c r="J10" i="14"/>
  <c r="K58" i="28" s="1"/>
  <c r="F10" i="14"/>
  <c r="G58" i="28" s="1"/>
  <c r="I11" i="26"/>
  <c r="J59" i="28" s="1"/>
  <c r="J11" i="26"/>
  <c r="K59" i="28" s="1"/>
  <c r="G10" i="14"/>
  <c r="H58" i="28" s="1"/>
  <c r="E10" i="14"/>
  <c r="F58" i="28" s="1"/>
  <c r="K11" i="26"/>
  <c r="L59" i="28" s="1"/>
  <c r="H10" i="14"/>
  <c r="I58" i="28" s="1"/>
  <c r="G16" i="28"/>
  <c r="G41" i="18"/>
  <c r="I12" i="23"/>
  <c r="I14" i="23"/>
  <c r="I16" i="23" s="1"/>
  <c r="I17" i="23" s="1"/>
  <c r="I18" i="23" s="1"/>
  <c r="G29" i="23"/>
  <c r="E54" i="35" s="1"/>
  <c r="E57" i="35" s="1"/>
  <c r="F37" i="22"/>
  <c r="D32" i="35" s="1"/>
  <c r="J11" i="14"/>
  <c r="K63" i="28" s="1"/>
  <c r="K11" i="14"/>
  <c r="L63" i="28" s="1"/>
  <c r="L11" i="14"/>
  <c r="M63" i="28" s="1"/>
  <c r="M11" i="14"/>
  <c r="M28" i="14" s="1"/>
  <c r="I11" i="14"/>
  <c r="H11" i="14"/>
  <c r="G11" i="14"/>
  <c r="F11" i="14"/>
  <c r="E11" i="14"/>
  <c r="F63" i="28" s="1"/>
  <c r="AE24" i="30"/>
  <c r="H25" i="30"/>
  <c r="H44" i="31" s="1"/>
  <c r="H71" i="31" s="1"/>
  <c r="U24" i="30"/>
  <c r="J12" i="26"/>
  <c r="K64" i="28" s="1"/>
  <c r="K12" i="26"/>
  <c r="L64" i="28" s="1"/>
  <c r="L12" i="26"/>
  <c r="M64" i="28" s="1"/>
  <c r="M12" i="26"/>
  <c r="M25" i="26" s="1"/>
  <c r="I12" i="26"/>
  <c r="H12" i="26"/>
  <c r="G12" i="26"/>
  <c r="F12" i="26"/>
  <c r="J22" i="18"/>
  <c r="J18" i="18"/>
  <c r="J19" i="18" s="1"/>
  <c r="J20" i="18" s="1"/>
  <c r="J21" i="18" s="1"/>
  <c r="J27" i="18" s="1"/>
  <c r="I29" i="18"/>
  <c r="H14" i="28"/>
  <c r="H28" i="22"/>
  <c r="J6" i="22"/>
  <c r="I10" i="22"/>
  <c r="H28" i="18"/>
  <c r="H30" i="18" s="1"/>
  <c r="E43" i="35" s="1"/>
  <c r="I10" i="18"/>
  <c r="J11" i="18"/>
  <c r="J12" i="18" s="1"/>
  <c r="K8" i="18"/>
  <c r="J7" i="23"/>
  <c r="H15" i="28"/>
  <c r="H28" i="23"/>
  <c r="I12" i="20"/>
  <c r="I14" i="20" s="1"/>
  <c r="I16" i="20" s="1"/>
  <c r="F42" i="35" s="1"/>
  <c r="C42" i="35" s="1"/>
  <c r="J6" i="20"/>
  <c r="H11" i="28"/>
  <c r="H27" i="20"/>
  <c r="H28" i="20" s="1"/>
  <c r="H36" i="20" s="1"/>
  <c r="E33" i="35" s="1"/>
  <c r="D13" i="15" l="1"/>
  <c r="Z60" i="30"/>
  <c r="Q25" i="30"/>
  <c r="D19" i="20" s="1"/>
  <c r="AG60" i="30"/>
  <c r="C26" i="26"/>
  <c r="C24" i="28" s="1"/>
  <c r="N60" i="30"/>
  <c r="C22" i="22" s="1"/>
  <c r="S25" i="30"/>
  <c r="D33" i="18" s="1"/>
  <c r="O25" i="30"/>
  <c r="M25" i="30"/>
  <c r="N25" i="30"/>
  <c r="R25" i="30"/>
  <c r="O60" i="30"/>
  <c r="D22" i="23" s="1"/>
  <c r="R60" i="30"/>
  <c r="C16" i="38" s="1"/>
  <c r="P25" i="30"/>
  <c r="U25" i="30"/>
  <c r="V24" i="30"/>
  <c r="AC24" i="30"/>
  <c r="W24" i="30"/>
  <c r="AB24" i="30"/>
  <c r="X24" i="30"/>
  <c r="AA24" i="30"/>
  <c r="Z24" i="30"/>
  <c r="Y24" i="30"/>
  <c r="H36" i="31"/>
  <c r="D36" i="31" s="1"/>
  <c r="L91" i="28" s="1"/>
  <c r="C96" i="35"/>
  <c r="F14" i="26"/>
  <c r="E15" i="26"/>
  <c r="E16" i="26"/>
  <c r="E18" i="26" s="1"/>
  <c r="H14" i="26"/>
  <c r="G15" i="26"/>
  <c r="I15" i="26"/>
  <c r="L61" i="28"/>
  <c r="K14" i="18"/>
  <c r="E7" i="15"/>
  <c r="E13" i="15" s="1"/>
  <c r="E23" i="15" s="1"/>
  <c r="D31" i="28" s="1"/>
  <c r="D23" i="15"/>
  <c r="I23" i="18"/>
  <c r="I26" i="18"/>
  <c r="F59" i="28"/>
  <c r="G35" i="28"/>
  <c r="E35" i="28"/>
  <c r="E67" i="35"/>
  <c r="Q60" i="30"/>
  <c r="C21" i="20" s="1"/>
  <c r="F36" i="28"/>
  <c r="M60" i="30"/>
  <c r="C31" i="14" s="1"/>
  <c r="E36" i="28"/>
  <c r="E18" i="14"/>
  <c r="D15" i="36"/>
  <c r="C15" i="36"/>
  <c r="V60" i="30"/>
  <c r="F28" i="26" s="1"/>
  <c r="AB60" i="30"/>
  <c r="F16" i="38" s="1"/>
  <c r="S60" i="30"/>
  <c r="C35" i="18" s="1"/>
  <c r="H36" i="28"/>
  <c r="H31" i="14"/>
  <c r="G31" i="14"/>
  <c r="D22" i="22"/>
  <c r="D25" i="23"/>
  <c r="C25" i="23"/>
  <c r="D34" i="14"/>
  <c r="C34" i="14"/>
  <c r="C19" i="38"/>
  <c r="D19" i="38"/>
  <c r="D25" i="22"/>
  <c r="C25" i="22"/>
  <c r="D18" i="36"/>
  <c r="C18" i="36"/>
  <c r="D24" i="22"/>
  <c r="C24" i="22"/>
  <c r="D38" i="18"/>
  <c r="C38" i="18"/>
  <c r="D24" i="20"/>
  <c r="C24" i="20"/>
  <c r="J30" i="36"/>
  <c r="AC60" i="30"/>
  <c r="D23" i="20"/>
  <c r="C23" i="20"/>
  <c r="C17" i="36"/>
  <c r="D17" i="36"/>
  <c r="F15" i="36"/>
  <c r="E15" i="36"/>
  <c r="X60" i="30"/>
  <c r="D28" i="26"/>
  <c r="C28" i="26"/>
  <c r="D33" i="14"/>
  <c r="C33" i="14"/>
  <c r="Y60" i="30"/>
  <c r="C37" i="18"/>
  <c r="D37" i="18"/>
  <c r="M22" i="38"/>
  <c r="M23" i="38" s="1"/>
  <c r="M13" i="28"/>
  <c r="AH58" i="30"/>
  <c r="AH60" i="30" s="1"/>
  <c r="AI58" i="30"/>
  <c r="AI60" i="30" s="1"/>
  <c r="AF58" i="30"/>
  <c r="AF60" i="30" s="1"/>
  <c r="AE60" i="30"/>
  <c r="AM58" i="30"/>
  <c r="AM60" i="30" s="1"/>
  <c r="AJ58" i="30"/>
  <c r="AJ60" i="30" s="1"/>
  <c r="AL58" i="30"/>
  <c r="AL60" i="30" s="1"/>
  <c r="AK58" i="30"/>
  <c r="AK60" i="30" s="1"/>
  <c r="D24" i="23"/>
  <c r="C24" i="23"/>
  <c r="M7" i="36"/>
  <c r="M8" i="36" s="1"/>
  <c r="M10" i="36" s="1"/>
  <c r="M12" i="36"/>
  <c r="E12" i="36"/>
  <c r="G12" i="36"/>
  <c r="I12" i="36"/>
  <c r="H12" i="36"/>
  <c r="J12" i="36"/>
  <c r="F12" i="36"/>
  <c r="K12" i="36"/>
  <c r="W60" i="30"/>
  <c r="C18" i="38"/>
  <c r="D18" i="38"/>
  <c r="E17" i="35"/>
  <c r="J74" i="31"/>
  <c r="D74" i="31" s="1"/>
  <c r="D47" i="31"/>
  <c r="G36" i="28"/>
  <c r="L12" i="28"/>
  <c r="L21" i="36"/>
  <c r="L25" i="36" s="1"/>
  <c r="L28" i="36" s="1"/>
  <c r="AA60" i="30"/>
  <c r="F17" i="35"/>
  <c r="H28" i="14"/>
  <c r="I63" i="28"/>
  <c r="F20" i="26"/>
  <c r="G20" i="26" s="1"/>
  <c r="H20" i="26" s="1"/>
  <c r="I20" i="26" s="1"/>
  <c r="F64" i="28"/>
  <c r="F71" i="28" s="1"/>
  <c r="G25" i="26"/>
  <c r="H64" i="28"/>
  <c r="F28" i="14"/>
  <c r="G63" i="28"/>
  <c r="G28" i="14"/>
  <c r="H63" i="28"/>
  <c r="F25" i="26"/>
  <c r="G64" i="28"/>
  <c r="H25" i="26"/>
  <c r="I64" i="28"/>
  <c r="L71" i="28"/>
  <c r="I28" i="14"/>
  <c r="J63" i="28"/>
  <c r="M71" i="28"/>
  <c r="I25" i="26"/>
  <c r="J64" i="28"/>
  <c r="K71" i="28"/>
  <c r="H16" i="28"/>
  <c r="H41" i="18"/>
  <c r="H42" i="18" s="1"/>
  <c r="H50" i="18" s="1"/>
  <c r="J12" i="23"/>
  <c r="J14" i="23"/>
  <c r="J16" i="23" s="1"/>
  <c r="J17" i="23" s="1"/>
  <c r="H29" i="22"/>
  <c r="E23" i="14"/>
  <c r="E28" i="14"/>
  <c r="L28" i="14"/>
  <c r="K28" i="14"/>
  <c r="J28" i="14"/>
  <c r="E25" i="26"/>
  <c r="L25" i="26"/>
  <c r="K25" i="26"/>
  <c r="J25" i="26"/>
  <c r="F17" i="14"/>
  <c r="E19" i="14"/>
  <c r="E21" i="14" s="1"/>
  <c r="E25" i="14" s="1"/>
  <c r="K22" i="18"/>
  <c r="K18" i="18"/>
  <c r="K19" i="18" s="1"/>
  <c r="K20" i="18" s="1"/>
  <c r="K21" i="18" s="1"/>
  <c r="K27" i="18" s="1"/>
  <c r="J29" i="18"/>
  <c r="K7" i="23"/>
  <c r="I15" i="28"/>
  <c r="I28" i="23"/>
  <c r="K11" i="18"/>
  <c r="K12" i="18" s="1"/>
  <c r="L8" i="18"/>
  <c r="I28" i="18"/>
  <c r="I30" i="18" s="1"/>
  <c r="J10" i="18"/>
  <c r="I14" i="28"/>
  <c r="I28" i="22"/>
  <c r="I32" i="22" s="1"/>
  <c r="I35" i="22" s="1"/>
  <c r="K6" i="22"/>
  <c r="J10" i="22"/>
  <c r="F41" i="35" s="1"/>
  <c r="C41" i="35" s="1"/>
  <c r="J12" i="20"/>
  <c r="J14" i="20" s="1"/>
  <c r="J16" i="20" s="1"/>
  <c r="K6" i="20"/>
  <c r="I11" i="28"/>
  <c r="I27" i="20"/>
  <c r="I31" i="20" s="1"/>
  <c r="I34" i="20" s="1"/>
  <c r="F23" i="14" l="1"/>
  <c r="E24" i="14"/>
  <c r="C19" i="20"/>
  <c r="D21" i="20"/>
  <c r="C22" i="23"/>
  <c r="D16" i="38"/>
  <c r="C33" i="18"/>
  <c r="C24" i="15"/>
  <c r="D20" i="22"/>
  <c r="C20" i="22"/>
  <c r="D29" i="14"/>
  <c r="D23" i="28" s="1"/>
  <c r="C29" i="14"/>
  <c r="C23" i="28" s="1"/>
  <c r="C13" i="36"/>
  <c r="C29" i="28" s="1"/>
  <c r="D13" i="36"/>
  <c r="D29" i="28" s="1"/>
  <c r="D20" i="23"/>
  <c r="C20" i="23"/>
  <c r="D35" i="18"/>
  <c r="D14" i="38"/>
  <c r="D30" i="28" s="1"/>
  <c r="C14" i="38"/>
  <c r="C30" i="28" s="1"/>
  <c r="V25" i="30"/>
  <c r="AC25" i="30"/>
  <c r="AB25" i="30"/>
  <c r="AA25" i="30"/>
  <c r="Z25" i="30"/>
  <c r="Y25" i="30"/>
  <c r="X25" i="30"/>
  <c r="W25" i="30"/>
  <c r="F18" i="14"/>
  <c r="H15" i="26"/>
  <c r="F15" i="26"/>
  <c r="F16" i="26"/>
  <c r="M61" i="28"/>
  <c r="L14" i="18"/>
  <c r="C31" i="28"/>
  <c r="J23" i="18"/>
  <c r="J26" i="18"/>
  <c r="M24" i="38"/>
  <c r="M26" i="38" s="1"/>
  <c r="M29" i="38" s="1"/>
  <c r="C35" i="28"/>
  <c r="I29" i="23"/>
  <c r="I32" i="23"/>
  <c r="I35" i="23" s="1"/>
  <c r="F62" i="35"/>
  <c r="F65" i="35" s="1"/>
  <c r="C65" i="35" s="1"/>
  <c r="C59" i="35"/>
  <c r="E68" i="35"/>
  <c r="E69" i="35" s="1"/>
  <c r="D31" i="14"/>
  <c r="E21" i="26"/>
  <c r="E28" i="26"/>
  <c r="E16" i="38"/>
  <c r="C17" i="35"/>
  <c r="H21" i="20"/>
  <c r="G21" i="20"/>
  <c r="E35" i="18"/>
  <c r="F35" i="18"/>
  <c r="H16" i="38"/>
  <c r="G16" i="38"/>
  <c r="C33" i="28"/>
  <c r="G35" i="18"/>
  <c r="H35" i="18"/>
  <c r="D36" i="28"/>
  <c r="H22" i="23"/>
  <c r="G22" i="23"/>
  <c r="H15" i="36"/>
  <c r="G15" i="36"/>
  <c r="F22" i="22"/>
  <c r="E22" i="22"/>
  <c r="F31" i="14"/>
  <c r="E31" i="14"/>
  <c r="H22" i="22"/>
  <c r="G22" i="22"/>
  <c r="F21" i="20"/>
  <c r="E21" i="20"/>
  <c r="C36" i="28"/>
  <c r="M21" i="36"/>
  <c r="M22" i="36" s="1"/>
  <c r="M12" i="28"/>
  <c r="H28" i="26"/>
  <c r="G28" i="26"/>
  <c r="F22" i="23"/>
  <c r="E22" i="23"/>
  <c r="G71" i="28"/>
  <c r="I71" i="28"/>
  <c r="H71" i="28"/>
  <c r="J71" i="28"/>
  <c r="I16" i="28"/>
  <c r="I41" i="18"/>
  <c r="I45" i="18" s="1"/>
  <c r="K12" i="23"/>
  <c r="K14" i="23"/>
  <c r="K16" i="23" s="1"/>
  <c r="K17" i="23" s="1"/>
  <c r="H37" i="22"/>
  <c r="E32" i="35" s="1"/>
  <c r="J20" i="26"/>
  <c r="K20" i="26" s="1"/>
  <c r="L20" i="26" s="1"/>
  <c r="M20" i="26" s="1"/>
  <c r="G17" i="14"/>
  <c r="F19" i="14"/>
  <c r="L22" i="18"/>
  <c r="L18" i="18"/>
  <c r="L19" i="18" s="1"/>
  <c r="L20" i="18" s="1"/>
  <c r="L21" i="18" s="1"/>
  <c r="L27" i="18" s="1"/>
  <c r="K29" i="18"/>
  <c r="J14" i="28"/>
  <c r="J28" i="22"/>
  <c r="J32" i="22" s="1"/>
  <c r="J35" i="22" s="1"/>
  <c r="L6" i="22"/>
  <c r="K10" i="22"/>
  <c r="J28" i="18"/>
  <c r="J30" i="18" s="1"/>
  <c r="F43" i="35" s="1"/>
  <c r="K10" i="18"/>
  <c r="L11" i="18"/>
  <c r="L12" i="18" s="1"/>
  <c r="M8" i="18"/>
  <c r="M14" i="18" s="1"/>
  <c r="L7" i="23"/>
  <c r="J15" i="28"/>
  <c r="J28" i="23"/>
  <c r="J32" i="23" s="1"/>
  <c r="J35" i="23" s="1"/>
  <c r="K12" i="20"/>
  <c r="K14" i="20" s="1"/>
  <c r="K16" i="20" s="1"/>
  <c r="L6" i="20"/>
  <c r="J11" i="28"/>
  <c r="J27" i="20"/>
  <c r="E22" i="26" l="1"/>
  <c r="E34" i="26" s="1"/>
  <c r="G23" i="14"/>
  <c r="D33" i="28"/>
  <c r="E10" i="28"/>
  <c r="E9" i="28"/>
  <c r="E37" i="14"/>
  <c r="F29" i="14"/>
  <c r="F23" i="28" s="1"/>
  <c r="E29" i="14"/>
  <c r="E23" i="28" s="1"/>
  <c r="F14" i="38"/>
  <c r="F30" i="28" s="1"/>
  <c r="E14" i="38"/>
  <c r="E30" i="28" s="1"/>
  <c r="F20" i="22"/>
  <c r="E20" i="22"/>
  <c r="E20" i="23"/>
  <c r="F20" i="23"/>
  <c r="E13" i="36"/>
  <c r="E29" i="28" s="1"/>
  <c r="F13" i="36"/>
  <c r="F29" i="28" s="1"/>
  <c r="F19" i="20"/>
  <c r="E19" i="20"/>
  <c r="F33" i="18"/>
  <c r="E33" i="18"/>
  <c r="F26" i="26"/>
  <c r="F24" i="28" s="1"/>
  <c r="E26" i="26"/>
  <c r="E24" i="28" s="1"/>
  <c r="F21" i="14"/>
  <c r="F25" i="14" s="1"/>
  <c r="G18" i="14"/>
  <c r="F18" i="26"/>
  <c r="F21" i="26" s="1"/>
  <c r="F22" i="26" s="1"/>
  <c r="G16" i="26"/>
  <c r="J31" i="20"/>
  <c r="J34" i="20" s="1"/>
  <c r="J28" i="20"/>
  <c r="J36" i="20" s="1"/>
  <c r="F33" i="35" s="1"/>
  <c r="C33" i="35" s="1"/>
  <c r="K23" i="18"/>
  <c r="K26" i="18"/>
  <c r="M23" i="36"/>
  <c r="M25" i="36" s="1"/>
  <c r="M28" i="36" s="1"/>
  <c r="H55" i="31"/>
  <c r="C43" i="35"/>
  <c r="G33" i="28"/>
  <c r="E33" i="28"/>
  <c r="F33" i="28"/>
  <c r="H33" i="28"/>
  <c r="J16" i="28"/>
  <c r="J41" i="18"/>
  <c r="J45" i="18" s="1"/>
  <c r="L12" i="23"/>
  <c r="L14" i="23"/>
  <c r="L16" i="23" s="1"/>
  <c r="L17" i="23" s="1"/>
  <c r="F57" i="35"/>
  <c r="J29" i="22"/>
  <c r="J37" i="22" s="1"/>
  <c r="F32" i="35" s="1"/>
  <c r="C32" i="35" s="1"/>
  <c r="H17" i="14"/>
  <c r="G19" i="14"/>
  <c r="M11" i="18"/>
  <c r="M12" i="18" s="1"/>
  <c r="M22" i="18"/>
  <c r="M18" i="18"/>
  <c r="M19" i="18" s="1"/>
  <c r="M20" i="18" s="1"/>
  <c r="M21" i="18" s="1"/>
  <c r="M27" i="18" s="1"/>
  <c r="E32" i="18"/>
  <c r="F32" i="18" s="1"/>
  <c r="G32" i="18" s="1"/>
  <c r="H32" i="18" s="1"/>
  <c r="L29" i="18"/>
  <c r="M7" i="23"/>
  <c r="K15" i="28"/>
  <c r="K28" i="23"/>
  <c r="K32" i="23" s="1"/>
  <c r="K35" i="23" s="1"/>
  <c r="K28" i="18"/>
  <c r="K30" i="18" s="1"/>
  <c r="L10" i="18"/>
  <c r="K14" i="28"/>
  <c r="K28" i="22"/>
  <c r="K32" i="22" s="1"/>
  <c r="K35" i="22" s="1"/>
  <c r="M6" i="22"/>
  <c r="M10" i="22" s="1"/>
  <c r="L10" i="22"/>
  <c r="L12" i="20"/>
  <c r="L14" i="20" s="1"/>
  <c r="L16" i="20" s="1"/>
  <c r="M6" i="20"/>
  <c r="M12" i="20" s="1"/>
  <c r="M14" i="20" s="1"/>
  <c r="M16" i="20" s="1"/>
  <c r="M27" i="20" s="1"/>
  <c r="M28" i="20" s="1"/>
  <c r="M29" i="20" s="1"/>
  <c r="M31" i="20" s="1"/>
  <c r="M34" i="20" s="1"/>
  <c r="K11" i="28"/>
  <c r="K27" i="20"/>
  <c r="K31" i="20" s="1"/>
  <c r="K34" i="20" s="1"/>
  <c r="F24" i="14" l="1"/>
  <c r="H23" i="14"/>
  <c r="E17" i="28"/>
  <c r="E19" i="28" s="1"/>
  <c r="F37" i="14"/>
  <c r="F38" i="14" s="1"/>
  <c r="F46" i="14" s="1"/>
  <c r="D31" i="35" s="1"/>
  <c r="G21" i="14"/>
  <c r="H18" i="14"/>
  <c r="G18" i="26"/>
  <c r="G21" i="26" s="1"/>
  <c r="H16" i="26"/>
  <c r="L23" i="18"/>
  <c r="L26" i="18"/>
  <c r="F67" i="35"/>
  <c r="C57" i="35"/>
  <c r="F10" i="28"/>
  <c r="D39" i="35"/>
  <c r="F34" i="26"/>
  <c r="K16" i="28"/>
  <c r="K41" i="18"/>
  <c r="K45" i="18" s="1"/>
  <c r="J42" i="18"/>
  <c r="J50" i="18" s="1"/>
  <c r="F34" i="35" s="1"/>
  <c r="M12" i="23"/>
  <c r="M14" i="23"/>
  <c r="M16" i="23" s="1"/>
  <c r="M17" i="23" s="1"/>
  <c r="M28" i="23" s="1"/>
  <c r="F43" i="26"/>
  <c r="I17" i="14"/>
  <c r="H19" i="14"/>
  <c r="J14" i="26"/>
  <c r="M29" i="18"/>
  <c r="L14" i="28"/>
  <c r="L28" i="22"/>
  <c r="L32" i="22" s="1"/>
  <c r="L35" i="22" s="1"/>
  <c r="M14" i="28"/>
  <c r="M28" i="22"/>
  <c r="L28" i="18"/>
  <c r="L30" i="18" s="1"/>
  <c r="M10" i="18"/>
  <c r="M26" i="18" s="1"/>
  <c r="L15" i="28"/>
  <c r="L28" i="23"/>
  <c r="L32" i="23" s="1"/>
  <c r="L35" i="23" s="1"/>
  <c r="M11" i="28"/>
  <c r="L11" i="28"/>
  <c r="L27" i="20"/>
  <c r="L31" i="20" s="1"/>
  <c r="L34" i="20" s="1"/>
  <c r="G22" i="26" l="1"/>
  <c r="G34" i="26" s="1"/>
  <c r="G24" i="14"/>
  <c r="G25" i="14"/>
  <c r="I23" i="14"/>
  <c r="E42" i="28"/>
  <c r="G37" i="14"/>
  <c r="F9" i="28"/>
  <c r="F17" i="28" s="1"/>
  <c r="F42" i="28" s="1"/>
  <c r="D40" i="35"/>
  <c r="D46" i="35" s="1"/>
  <c r="D49" i="35" s="1"/>
  <c r="G9" i="28"/>
  <c r="H21" i="14"/>
  <c r="I18" i="14"/>
  <c r="K14" i="26"/>
  <c r="J15" i="26"/>
  <c r="H18" i="26"/>
  <c r="H21" i="26" s="1"/>
  <c r="H22" i="26" s="1"/>
  <c r="I16" i="26"/>
  <c r="M29" i="23"/>
  <c r="M15" i="28"/>
  <c r="F68" i="35"/>
  <c r="F69" i="35" s="1"/>
  <c r="C67" i="35"/>
  <c r="D37" i="35"/>
  <c r="G10" i="28"/>
  <c r="C34" i="35"/>
  <c r="L16" i="28"/>
  <c r="L41" i="18"/>
  <c r="L45" i="18" s="1"/>
  <c r="J55" i="31"/>
  <c r="J17" i="14"/>
  <c r="I19" i="14"/>
  <c r="M28" i="18"/>
  <c r="M30" i="18" s="1"/>
  <c r="M23" i="18"/>
  <c r="M29" i="22"/>
  <c r="M30" i="22" s="1"/>
  <c r="H24" i="14" l="1"/>
  <c r="H25" i="14"/>
  <c r="J23" i="14"/>
  <c r="E40" i="35"/>
  <c r="F19" i="28"/>
  <c r="G17" i="28"/>
  <c r="G19" i="28" s="1"/>
  <c r="H9" i="28"/>
  <c r="H37" i="14"/>
  <c r="H38" i="14" s="1"/>
  <c r="H46" i="14" s="1"/>
  <c r="E31" i="35" s="1"/>
  <c r="I21" i="14"/>
  <c r="J18" i="14"/>
  <c r="I18" i="26"/>
  <c r="I21" i="26" s="1"/>
  <c r="J16" i="26"/>
  <c r="J18" i="26" s="1"/>
  <c r="L14" i="26"/>
  <c r="K15" i="26"/>
  <c r="H10" i="28"/>
  <c r="E39" i="35"/>
  <c r="H34" i="26"/>
  <c r="H43" i="26" s="1"/>
  <c r="E30" i="35" s="1"/>
  <c r="D51" i="35"/>
  <c r="D55" i="31"/>
  <c r="M84" i="28" s="1"/>
  <c r="M16" i="28"/>
  <c r="M41" i="18"/>
  <c r="M32" i="22"/>
  <c r="M35" i="22" s="1"/>
  <c r="K17" i="14"/>
  <c r="J19" i="14"/>
  <c r="M30" i="23"/>
  <c r="M32" i="23" s="1"/>
  <c r="M35" i="23" s="1"/>
  <c r="I22" i="26" l="1"/>
  <c r="I34" i="26" s="1"/>
  <c r="I38" i="26" s="1"/>
  <c r="I41" i="26" s="1"/>
  <c r="I24" i="14"/>
  <c r="I25" i="14"/>
  <c r="K23" i="14"/>
  <c r="I37" i="14"/>
  <c r="I41" i="14" s="1"/>
  <c r="I43" i="14" s="1"/>
  <c r="G42" i="28"/>
  <c r="H17" i="28"/>
  <c r="H42" i="28" s="1"/>
  <c r="I9" i="28"/>
  <c r="K16" i="26"/>
  <c r="K18" i="26" s="1"/>
  <c r="J21" i="14"/>
  <c r="K18" i="14"/>
  <c r="M14" i="26"/>
  <c r="L15" i="26"/>
  <c r="E37" i="35"/>
  <c r="E46" i="35"/>
  <c r="E49" i="35" s="1"/>
  <c r="I10" i="28"/>
  <c r="J21" i="26"/>
  <c r="J22" i="26" s="1"/>
  <c r="M42" i="18"/>
  <c r="F54" i="31"/>
  <c r="L17" i="14"/>
  <c r="M17" i="14"/>
  <c r="K19" i="14"/>
  <c r="K21" i="14" s="1"/>
  <c r="K25" i="14" s="1"/>
  <c r="J24" i="14" l="1"/>
  <c r="J25" i="14"/>
  <c r="L23" i="14"/>
  <c r="K24" i="14"/>
  <c r="F40" i="35"/>
  <c r="C40" i="35" s="1"/>
  <c r="J37" i="14"/>
  <c r="J41" i="14" s="1"/>
  <c r="J43" i="14" s="1"/>
  <c r="I17" i="28"/>
  <c r="I19" i="28" s="1"/>
  <c r="H19" i="28"/>
  <c r="L16" i="26"/>
  <c r="L18" i="26" s="1"/>
  <c r="J9" i="28"/>
  <c r="M18" i="14"/>
  <c r="L18" i="14"/>
  <c r="M15" i="26"/>
  <c r="J10" i="28"/>
  <c r="F39" i="35"/>
  <c r="E51" i="35"/>
  <c r="J34" i="26"/>
  <c r="K21" i="26"/>
  <c r="M43" i="18"/>
  <c r="K37" i="14"/>
  <c r="K41" i="14" s="1"/>
  <c r="K43" i="14" s="1"/>
  <c r="K9" i="28"/>
  <c r="M19" i="14"/>
  <c r="L19" i="14"/>
  <c r="K22" i="26" l="1"/>
  <c r="K34" i="26" s="1"/>
  <c r="K38" i="26" s="1"/>
  <c r="K41" i="26" s="1"/>
  <c r="M23" i="14"/>
  <c r="I42" i="28"/>
  <c r="M16" i="26"/>
  <c r="M18" i="26" s="1"/>
  <c r="M21" i="26" s="1"/>
  <c r="J17" i="28"/>
  <c r="J42" i="28" s="1"/>
  <c r="J46" i="28" s="1"/>
  <c r="J48" i="28" s="1"/>
  <c r="J38" i="14"/>
  <c r="J46" i="14" s="1"/>
  <c r="F31" i="35" s="1"/>
  <c r="C31" i="35" s="1"/>
  <c r="L21" i="14"/>
  <c r="M21" i="14"/>
  <c r="M25" i="14" s="1"/>
  <c r="L21" i="26"/>
  <c r="F46" i="35"/>
  <c r="F49" i="35" s="1"/>
  <c r="C39" i="35"/>
  <c r="K10" i="28"/>
  <c r="K17" i="28" s="1"/>
  <c r="K42" i="28" s="1"/>
  <c r="K46" i="28" s="1"/>
  <c r="K48" i="28" s="1"/>
  <c r="M45" i="18"/>
  <c r="J43" i="26"/>
  <c r="F30" i="35" s="1"/>
  <c r="J38" i="26"/>
  <c r="J41" i="26" s="1"/>
  <c r="M10" i="28" l="1"/>
  <c r="M22" i="26"/>
  <c r="M34" i="26" s="1"/>
  <c r="L10" i="28"/>
  <c r="L22" i="26"/>
  <c r="L24" i="14"/>
  <c r="L25" i="14"/>
  <c r="M24" i="14"/>
  <c r="L37" i="14"/>
  <c r="L41" i="14" s="1"/>
  <c r="L43" i="14" s="1"/>
  <c r="M37" i="14"/>
  <c r="M38" i="14" s="1"/>
  <c r="M39" i="14" s="1"/>
  <c r="L9" i="28"/>
  <c r="J19" i="28"/>
  <c r="M9" i="28"/>
  <c r="M17" i="28" s="1"/>
  <c r="M42" i="28" s="1"/>
  <c r="C30" i="35"/>
  <c r="F37" i="35"/>
  <c r="C37" i="35" s="1"/>
  <c r="L34" i="26"/>
  <c r="L38" i="26" s="1"/>
  <c r="L41" i="26" s="1"/>
  <c r="K19" i="28"/>
  <c r="C49" i="35"/>
  <c r="D11" i="35"/>
  <c r="D13" i="35" s="1"/>
  <c r="D15" i="35" s="1"/>
  <c r="D18" i="35" s="1"/>
  <c r="H35" i="31"/>
  <c r="D35" i="31" s="1"/>
  <c r="L90" i="28" s="1"/>
  <c r="D59" i="31"/>
  <c r="M90" i="28" s="1"/>
  <c r="L17" i="28" l="1"/>
  <c r="L42" i="28" s="1"/>
  <c r="L46" i="28" s="1"/>
  <c r="L48" i="28" s="1"/>
  <c r="F51" i="35"/>
  <c r="C51" i="35" s="1"/>
  <c r="M35" i="26"/>
  <c r="M43" i="28" s="1"/>
  <c r="H52" i="28" s="1"/>
  <c r="M41" i="14"/>
  <c r="M43" i="14" s="1"/>
  <c r="M19" i="28"/>
  <c r="F58" i="31"/>
  <c r="D10" i="37"/>
  <c r="G54" i="30" s="1"/>
  <c r="K54" i="30" s="1"/>
  <c r="L19" i="28"/>
  <c r="M36" i="26" l="1"/>
  <c r="M54" i="30"/>
  <c r="N54" i="30"/>
  <c r="O54" i="30"/>
  <c r="P54" i="30"/>
  <c r="Q54" i="30"/>
  <c r="R54" i="30"/>
  <c r="S54" i="30"/>
  <c r="L54" i="30"/>
  <c r="F34" i="31"/>
  <c r="H10" i="31"/>
  <c r="H15" i="31" s="1"/>
  <c r="M38" i="26" l="1"/>
  <c r="M41" i="26" s="1"/>
  <c r="M44" i="28"/>
  <c r="M46" i="28" s="1"/>
  <c r="M48" i="28" s="1"/>
  <c r="H32" i="31"/>
  <c r="H56" i="31" s="1"/>
  <c r="I10" i="31"/>
  <c r="I11" i="31"/>
  <c r="I12" i="31"/>
  <c r="I13" i="31"/>
  <c r="I14" i="31"/>
  <c r="E6" i="37" l="1"/>
  <c r="H50" i="30" s="1"/>
  <c r="U50" i="30" s="1"/>
  <c r="E5" i="37"/>
  <c r="H49" i="30" s="1"/>
  <c r="U49" i="30" s="1"/>
  <c r="F14" i="31"/>
  <c r="F15" i="31" s="1"/>
  <c r="J15" i="31"/>
  <c r="F32" i="31"/>
  <c r="F56" i="31" s="1"/>
  <c r="J32" i="31"/>
  <c r="J56" i="31" s="1"/>
  <c r="V49" i="30" l="1"/>
  <c r="Z49" i="30"/>
  <c r="AB49" i="30"/>
  <c r="W49" i="30"/>
  <c r="X49" i="30"/>
  <c r="AC49" i="30"/>
  <c r="Y49" i="30"/>
  <c r="AA49" i="30"/>
  <c r="V50" i="30"/>
  <c r="AA50" i="30"/>
  <c r="W50" i="30"/>
  <c r="AB50" i="30"/>
  <c r="X50" i="30"/>
  <c r="Z50" i="30"/>
  <c r="Y50" i="30"/>
  <c r="AC50" i="30"/>
  <c r="D56" i="31"/>
  <c r="M87" i="28" s="1"/>
  <c r="F5" i="37"/>
  <c r="I49" i="30" s="1"/>
  <c r="AE49" i="30" s="1"/>
  <c r="F6" i="37"/>
  <c r="I50" i="30" s="1"/>
  <c r="AE50" i="30" s="1"/>
  <c r="D5" i="37"/>
  <c r="D6" i="37"/>
  <c r="D32" i="31"/>
  <c r="L87" i="28" s="1"/>
  <c r="K10" i="31"/>
  <c r="K11" i="31"/>
  <c r="K12" i="31"/>
  <c r="K13" i="31"/>
  <c r="K14" i="31"/>
  <c r="G10" i="31"/>
  <c r="G11" i="31"/>
  <c r="G12" i="31"/>
  <c r="G13" i="31"/>
  <c r="G14" i="31"/>
  <c r="D14" i="31"/>
  <c r="D10" i="31"/>
  <c r="H39" i="33" l="1"/>
  <c r="AF50" i="30"/>
  <c r="AG50" i="30"/>
  <c r="AH50" i="30"/>
  <c r="AI50" i="30"/>
  <c r="AJ50" i="30"/>
  <c r="AK50" i="30"/>
  <c r="AM50" i="30"/>
  <c r="AL50" i="30"/>
  <c r="AF49" i="30"/>
  <c r="AG49" i="30"/>
  <c r="AI49" i="30"/>
  <c r="AJ49" i="30"/>
  <c r="AK49" i="30"/>
  <c r="AL49" i="30"/>
  <c r="AM49" i="30"/>
  <c r="AH49" i="30"/>
  <c r="E8" i="37"/>
  <c r="E9" i="37"/>
  <c r="E7" i="37"/>
  <c r="D15" i="31"/>
  <c r="G50" i="30"/>
  <c r="K50" i="30" s="1"/>
  <c r="C6" i="37"/>
  <c r="F50" i="30" s="1"/>
  <c r="G49" i="30"/>
  <c r="K49" i="30" s="1"/>
  <c r="C5" i="37"/>
  <c r="F49" i="30" s="1"/>
  <c r="E12" i="31" l="1"/>
  <c r="E13" i="31"/>
  <c r="E11" i="31"/>
  <c r="E14" i="31"/>
  <c r="E10" i="31"/>
  <c r="M49" i="30"/>
  <c r="L49" i="30"/>
  <c r="N49" i="30"/>
  <c r="Q49" i="30"/>
  <c r="O49" i="30"/>
  <c r="R49" i="30"/>
  <c r="P49" i="30"/>
  <c r="S49" i="30"/>
  <c r="N50" i="30"/>
  <c r="O50" i="30"/>
  <c r="P50" i="30"/>
  <c r="M50" i="30"/>
  <c r="Q50" i="30"/>
  <c r="L50" i="30"/>
  <c r="R50" i="30"/>
  <c r="S50" i="30"/>
  <c r="C7" i="37"/>
  <c r="F51" i="30" s="1"/>
  <c r="H51" i="30"/>
  <c r="U51" i="30" s="1"/>
  <c r="C9" i="37"/>
  <c r="F53" i="30" s="1"/>
  <c r="H53" i="30"/>
  <c r="U53" i="30" s="1"/>
  <c r="H52" i="30"/>
  <c r="U52" i="30" s="1"/>
  <c r="C8" i="37"/>
  <c r="F52" i="30" s="1"/>
  <c r="V52" i="30" l="1"/>
  <c r="W52" i="30"/>
  <c r="X52" i="30"/>
  <c r="Y52" i="30"/>
  <c r="Z52" i="30"/>
  <c r="AA52" i="30"/>
  <c r="AC52" i="30"/>
  <c r="AB52" i="30"/>
  <c r="V53" i="30"/>
  <c r="X53" i="30"/>
  <c r="W53" i="30"/>
  <c r="AA53" i="30"/>
  <c r="AC53" i="30"/>
  <c r="Y53" i="30"/>
  <c r="Z53" i="30"/>
  <c r="AB53" i="30"/>
  <c r="V51" i="30"/>
  <c r="AA51" i="30"/>
  <c r="AC51" i="30"/>
  <c r="W51" i="30"/>
  <c r="X51" i="30"/>
  <c r="Y51" i="30"/>
  <c r="Z51" i="30"/>
  <c r="AB51" i="30"/>
  <c r="F65" i="31"/>
  <c r="D65" i="31" l="1"/>
  <c r="M92" i="28" s="1"/>
  <c r="C94" i="35"/>
  <c r="I45" i="28" l="1"/>
  <c r="I46" i="28"/>
  <c r="I48" i="28" s="1"/>
  <c r="G29" i="14" l="1"/>
  <c r="H29" i="14"/>
  <c r="C30" i="14"/>
  <c r="D30" i="14"/>
  <c r="E30" i="14"/>
  <c r="F30" i="14"/>
  <c r="G30" i="14"/>
  <c r="H30" i="14"/>
  <c r="C32" i="14"/>
  <c r="D32" i="14"/>
  <c r="E32" i="14"/>
  <c r="F32" i="14"/>
  <c r="G32" i="14"/>
  <c r="H32" i="14"/>
  <c r="C35" i="14"/>
  <c r="D35" i="14"/>
  <c r="E35" i="14"/>
  <c r="F35" i="14"/>
  <c r="G35" i="14"/>
  <c r="H35" i="14"/>
  <c r="C40" i="14"/>
  <c r="D40" i="14"/>
  <c r="E40" i="14"/>
  <c r="F40" i="14"/>
  <c r="G40" i="14"/>
  <c r="H40" i="14"/>
  <c r="C41" i="14"/>
  <c r="D41" i="14"/>
  <c r="E41" i="14"/>
  <c r="F41" i="14"/>
  <c r="G41" i="14"/>
  <c r="H41" i="14"/>
  <c r="B42" i="14"/>
  <c r="C43" i="14"/>
  <c r="D43" i="14"/>
  <c r="E43" i="14"/>
  <c r="F43" i="14"/>
  <c r="G43" i="14"/>
  <c r="H43" i="14"/>
  <c r="B44" i="14"/>
  <c r="B45" i="14"/>
  <c r="G26" i="26"/>
  <c r="H26" i="26"/>
  <c r="C27" i="26"/>
  <c r="D27" i="26"/>
  <c r="E27" i="26"/>
  <c r="F27" i="26"/>
  <c r="G27" i="26"/>
  <c r="H27" i="26"/>
  <c r="C29" i="26"/>
  <c r="D29" i="26"/>
  <c r="E29" i="26"/>
  <c r="F29" i="26"/>
  <c r="G29" i="26"/>
  <c r="H29" i="26"/>
  <c r="C32" i="26"/>
  <c r="D32" i="26"/>
  <c r="E32" i="26"/>
  <c r="F32" i="26"/>
  <c r="G32" i="26"/>
  <c r="H32" i="26"/>
  <c r="C37" i="26"/>
  <c r="D37" i="26"/>
  <c r="E37" i="26"/>
  <c r="F37" i="26"/>
  <c r="G37" i="26"/>
  <c r="H37" i="26"/>
  <c r="C38" i="26"/>
  <c r="D38" i="26"/>
  <c r="E38" i="26"/>
  <c r="F38" i="26"/>
  <c r="G38" i="26"/>
  <c r="H38" i="26"/>
  <c r="B39" i="26"/>
  <c r="B40" i="26"/>
  <c r="C41" i="26"/>
  <c r="D41" i="26"/>
  <c r="E41" i="26"/>
  <c r="F41" i="26"/>
  <c r="G41" i="26"/>
  <c r="H41" i="26"/>
  <c r="B42" i="26"/>
  <c r="G19" i="20"/>
  <c r="H19" i="20"/>
  <c r="C20" i="20"/>
  <c r="D20" i="20"/>
  <c r="E20" i="20"/>
  <c r="F20" i="20"/>
  <c r="G20" i="20"/>
  <c r="H20" i="20"/>
  <c r="C22" i="20"/>
  <c r="D22" i="20"/>
  <c r="E22" i="20"/>
  <c r="F22" i="20"/>
  <c r="G22" i="20"/>
  <c r="H22" i="20"/>
  <c r="C25" i="20"/>
  <c r="D25" i="20"/>
  <c r="E25" i="20"/>
  <c r="F25" i="20"/>
  <c r="G25" i="20"/>
  <c r="H25" i="20"/>
  <c r="C30" i="20"/>
  <c r="D30" i="20"/>
  <c r="E30" i="20"/>
  <c r="F30" i="20"/>
  <c r="G30" i="20"/>
  <c r="H30" i="20"/>
  <c r="C31" i="20"/>
  <c r="D31" i="20"/>
  <c r="E31" i="20"/>
  <c r="F31" i="20"/>
  <c r="G31" i="20"/>
  <c r="H31" i="20"/>
  <c r="B32" i="20"/>
  <c r="B33" i="20"/>
  <c r="C34" i="20"/>
  <c r="D34" i="20"/>
  <c r="E34" i="20"/>
  <c r="F34" i="20"/>
  <c r="G34" i="20"/>
  <c r="H34" i="20"/>
  <c r="B35" i="20"/>
  <c r="G20" i="22"/>
  <c r="H20" i="22"/>
  <c r="C21" i="22"/>
  <c r="D21" i="22"/>
  <c r="E21" i="22"/>
  <c r="F21" i="22"/>
  <c r="G21" i="22"/>
  <c r="H21" i="22"/>
  <c r="C23" i="22"/>
  <c r="D23" i="22"/>
  <c r="E23" i="22"/>
  <c r="F23" i="22"/>
  <c r="G23" i="22"/>
  <c r="H23" i="22"/>
  <c r="C26" i="22"/>
  <c r="D26" i="22"/>
  <c r="E26" i="22"/>
  <c r="F26" i="22"/>
  <c r="G26" i="22"/>
  <c r="H26" i="22"/>
  <c r="C31" i="22"/>
  <c r="D31" i="22"/>
  <c r="E31" i="22"/>
  <c r="F31" i="22"/>
  <c r="G31" i="22"/>
  <c r="H31" i="22"/>
  <c r="C32" i="22"/>
  <c r="D32" i="22"/>
  <c r="E32" i="22"/>
  <c r="F32" i="22"/>
  <c r="G32" i="22"/>
  <c r="H32" i="22"/>
  <c r="B33" i="22"/>
  <c r="B34" i="22"/>
  <c r="C35" i="22"/>
  <c r="D35" i="22"/>
  <c r="E35" i="22"/>
  <c r="F35" i="22"/>
  <c r="G35" i="22"/>
  <c r="H35" i="22"/>
  <c r="B36" i="22"/>
  <c r="G13" i="36"/>
  <c r="H13" i="36"/>
  <c r="C14" i="36"/>
  <c r="D14" i="36"/>
  <c r="E14" i="36"/>
  <c r="F14" i="36"/>
  <c r="G14" i="36"/>
  <c r="H14" i="36"/>
  <c r="C16" i="36"/>
  <c r="D16" i="36"/>
  <c r="E16" i="36"/>
  <c r="F16" i="36"/>
  <c r="G16" i="36"/>
  <c r="H16" i="36"/>
  <c r="C19" i="36"/>
  <c r="D19" i="36"/>
  <c r="E19" i="36"/>
  <c r="F19" i="36"/>
  <c r="G19" i="36"/>
  <c r="H19" i="36"/>
  <c r="C24" i="36"/>
  <c r="D24" i="36"/>
  <c r="E24" i="36"/>
  <c r="F24" i="36"/>
  <c r="G24" i="36"/>
  <c r="H24" i="36"/>
  <c r="C25" i="36"/>
  <c r="D25" i="36"/>
  <c r="E25" i="36"/>
  <c r="F25" i="36"/>
  <c r="G25" i="36"/>
  <c r="H25" i="36"/>
  <c r="B26" i="36"/>
  <c r="B27" i="36"/>
  <c r="C28" i="36"/>
  <c r="D28" i="36"/>
  <c r="E28" i="36"/>
  <c r="F28" i="36"/>
  <c r="G28" i="36"/>
  <c r="H28" i="36"/>
  <c r="B29" i="36"/>
  <c r="G14" i="38"/>
  <c r="H14" i="38"/>
  <c r="C15" i="38"/>
  <c r="D15" i="38"/>
  <c r="E15" i="38"/>
  <c r="F15" i="38"/>
  <c r="G15" i="38"/>
  <c r="H15" i="38"/>
  <c r="C17" i="38"/>
  <c r="D17" i="38"/>
  <c r="E17" i="38"/>
  <c r="F17" i="38"/>
  <c r="G17" i="38"/>
  <c r="H17" i="38"/>
  <c r="C20" i="38"/>
  <c r="D20" i="38"/>
  <c r="E20" i="38"/>
  <c r="F20" i="38"/>
  <c r="G20" i="38"/>
  <c r="H20" i="38"/>
  <c r="C25" i="38"/>
  <c r="D25" i="38"/>
  <c r="E25" i="38"/>
  <c r="F25" i="38"/>
  <c r="G25" i="38"/>
  <c r="H25" i="38"/>
  <c r="C26" i="38"/>
  <c r="D26" i="38"/>
  <c r="E26" i="38"/>
  <c r="F26" i="38"/>
  <c r="G26" i="38"/>
  <c r="H26" i="38"/>
  <c r="B27" i="38"/>
  <c r="B28" i="38"/>
  <c r="C29" i="38"/>
  <c r="D29" i="38"/>
  <c r="E29" i="38"/>
  <c r="F29" i="38"/>
  <c r="G29" i="38"/>
  <c r="H29" i="38"/>
  <c r="B30" i="38"/>
  <c r="G20" i="23"/>
  <c r="H20" i="23"/>
  <c r="C21" i="23"/>
  <c r="D21" i="23"/>
  <c r="E21" i="23"/>
  <c r="F21" i="23"/>
  <c r="G21" i="23"/>
  <c r="H21" i="23"/>
  <c r="C23" i="23"/>
  <c r="D23" i="23"/>
  <c r="E23" i="23"/>
  <c r="F23" i="23"/>
  <c r="G23" i="23"/>
  <c r="H23" i="23"/>
  <c r="C26" i="23"/>
  <c r="D26" i="23"/>
  <c r="E26" i="23"/>
  <c r="F26" i="23"/>
  <c r="G26" i="23"/>
  <c r="H26" i="23"/>
  <c r="C31" i="23"/>
  <c r="D31" i="23"/>
  <c r="E31" i="23"/>
  <c r="F31" i="23"/>
  <c r="G31" i="23"/>
  <c r="H31" i="23"/>
  <c r="C32" i="23"/>
  <c r="D32" i="23"/>
  <c r="E32" i="23"/>
  <c r="F32" i="23"/>
  <c r="G32" i="23"/>
  <c r="H32" i="23"/>
  <c r="B33" i="23"/>
  <c r="B34" i="23"/>
  <c r="C35" i="23"/>
  <c r="D35" i="23"/>
  <c r="E35" i="23"/>
  <c r="F35" i="23"/>
  <c r="G35" i="23"/>
  <c r="H35" i="23"/>
  <c r="B36" i="23"/>
  <c r="G33" i="18"/>
  <c r="H33" i="18"/>
  <c r="C34" i="18"/>
  <c r="D34" i="18"/>
  <c r="E34" i="18"/>
  <c r="F34" i="18"/>
  <c r="G34" i="18"/>
  <c r="H34" i="18"/>
  <c r="C36" i="18"/>
  <c r="D36" i="18"/>
  <c r="E36" i="18"/>
  <c r="F36" i="18"/>
  <c r="G36" i="18"/>
  <c r="H36" i="18"/>
  <c r="C39" i="18"/>
  <c r="D39" i="18"/>
  <c r="E39" i="18"/>
  <c r="F39" i="18"/>
  <c r="G39" i="18"/>
  <c r="H39" i="18"/>
  <c r="C44" i="18"/>
  <c r="D44" i="18"/>
  <c r="E44" i="18"/>
  <c r="F44" i="18"/>
  <c r="G44" i="18"/>
  <c r="H44" i="18"/>
  <c r="C45" i="18"/>
  <c r="D45" i="18"/>
  <c r="E45" i="18"/>
  <c r="F45" i="18"/>
  <c r="G45" i="18"/>
  <c r="H45" i="18"/>
  <c r="B46" i="18"/>
  <c r="B47" i="18"/>
  <c r="C48" i="18"/>
  <c r="D48" i="18"/>
  <c r="E48" i="18"/>
  <c r="F48" i="18"/>
  <c r="G48" i="18"/>
  <c r="H48" i="18"/>
  <c r="B49" i="18"/>
  <c r="F20" i="30"/>
  <c r="G20" i="30"/>
  <c r="K20" i="30"/>
  <c r="AE21" i="30"/>
  <c r="AF21" i="30"/>
  <c r="AG21" i="30"/>
  <c r="AH21" i="30"/>
  <c r="AI21" i="30"/>
  <c r="AJ21" i="30"/>
  <c r="AK21" i="30"/>
  <c r="AL21" i="30"/>
  <c r="AM21" i="30"/>
  <c r="F24" i="30"/>
  <c r="G24" i="30"/>
  <c r="K24" i="30"/>
  <c r="F25" i="30"/>
  <c r="G25" i="30"/>
  <c r="K25" i="30"/>
  <c r="AE25" i="30"/>
  <c r="AF25" i="30"/>
  <c r="AG25" i="30"/>
  <c r="AH25" i="30"/>
  <c r="AI25" i="30"/>
  <c r="AJ25" i="30"/>
  <c r="AK25" i="30"/>
  <c r="AL25" i="30"/>
  <c r="AM25" i="30"/>
  <c r="F30" i="30"/>
  <c r="G30" i="30"/>
  <c r="H30" i="30"/>
  <c r="I30" i="30"/>
  <c r="K30" i="30"/>
  <c r="L30" i="30"/>
  <c r="M30" i="30"/>
  <c r="N30" i="30"/>
  <c r="O30" i="30"/>
  <c r="P30" i="30"/>
  <c r="Q30" i="30"/>
  <c r="R30" i="30"/>
  <c r="S30" i="30"/>
  <c r="U30" i="30"/>
  <c r="V30" i="30"/>
  <c r="W30" i="30"/>
  <c r="X30" i="30"/>
  <c r="Y30" i="30"/>
  <c r="Z30" i="30"/>
  <c r="AA30" i="30"/>
  <c r="AB30" i="30"/>
  <c r="AC30" i="30"/>
  <c r="AE30" i="30"/>
  <c r="AF30" i="30"/>
  <c r="AG30" i="30"/>
  <c r="AH30" i="30"/>
  <c r="AI30" i="30"/>
  <c r="AJ30" i="30"/>
  <c r="AK30" i="30"/>
  <c r="AL30" i="30"/>
  <c r="AM30" i="30"/>
  <c r="F32" i="30"/>
  <c r="G32" i="30"/>
  <c r="H32" i="30"/>
  <c r="I32" i="30"/>
  <c r="K32" i="30"/>
  <c r="L32" i="30"/>
  <c r="M32" i="30"/>
  <c r="N32" i="30"/>
  <c r="O32" i="30"/>
  <c r="P32" i="30"/>
  <c r="Q32" i="30"/>
  <c r="R32" i="30"/>
  <c r="S32" i="30"/>
  <c r="U32" i="30"/>
  <c r="V32" i="30"/>
  <c r="W32" i="30"/>
  <c r="X32" i="30"/>
  <c r="Y32" i="30"/>
  <c r="Z32" i="30"/>
  <c r="AA32" i="30"/>
  <c r="AB32" i="30"/>
  <c r="AC32" i="30"/>
  <c r="AE32" i="30"/>
  <c r="AF32" i="30"/>
  <c r="AG32" i="30"/>
  <c r="AH32" i="30"/>
  <c r="AI32" i="30"/>
  <c r="AJ32" i="30"/>
  <c r="AK32" i="30"/>
  <c r="AL32" i="30"/>
  <c r="AM32" i="30"/>
  <c r="F36" i="30"/>
  <c r="G36" i="30"/>
  <c r="H36" i="30"/>
  <c r="I36" i="30"/>
  <c r="K36" i="30"/>
  <c r="L36" i="30"/>
  <c r="M36" i="30"/>
  <c r="N36" i="30"/>
  <c r="O36" i="30"/>
  <c r="P36" i="30"/>
  <c r="Q36" i="30"/>
  <c r="R36" i="30"/>
  <c r="S36" i="30"/>
  <c r="U36" i="30"/>
  <c r="V36" i="30"/>
  <c r="W36" i="30"/>
  <c r="X36" i="30"/>
  <c r="Y36" i="30"/>
  <c r="Z36" i="30"/>
  <c r="AA36" i="30"/>
  <c r="AB36" i="30"/>
  <c r="AC36" i="30"/>
  <c r="AE36" i="30"/>
  <c r="AF36" i="30"/>
  <c r="AG36" i="30"/>
  <c r="AH36" i="30"/>
  <c r="AI36" i="30"/>
  <c r="AJ36" i="30"/>
  <c r="AK36" i="30"/>
  <c r="AL36" i="30"/>
  <c r="AM36" i="30"/>
  <c r="F41" i="30"/>
  <c r="G41" i="30"/>
  <c r="H41" i="30"/>
  <c r="I41" i="30"/>
  <c r="K41" i="30"/>
  <c r="L41" i="30"/>
  <c r="M41" i="30"/>
  <c r="N41" i="30"/>
  <c r="O41" i="30"/>
  <c r="P41" i="30"/>
  <c r="Q41" i="30"/>
  <c r="R41" i="30"/>
  <c r="S41" i="30"/>
  <c r="U41" i="30"/>
  <c r="V41" i="30"/>
  <c r="W41" i="30"/>
  <c r="X41" i="30"/>
  <c r="Y41" i="30"/>
  <c r="Z41" i="30"/>
  <c r="AA41" i="30"/>
  <c r="AB41" i="30"/>
  <c r="AC41" i="30"/>
  <c r="AE41" i="30"/>
  <c r="AF41" i="30"/>
  <c r="AG41" i="30"/>
  <c r="AH41" i="30"/>
  <c r="AI41" i="30"/>
  <c r="AJ41" i="30"/>
  <c r="AK41" i="30"/>
  <c r="AL41" i="30"/>
  <c r="AM41" i="30"/>
  <c r="F42" i="30"/>
  <c r="G42" i="30"/>
  <c r="H42" i="30"/>
  <c r="I42" i="30"/>
  <c r="K42" i="30"/>
  <c r="L42" i="30"/>
  <c r="M42" i="30"/>
  <c r="N42" i="30"/>
  <c r="O42" i="30"/>
  <c r="P42" i="30"/>
  <c r="Q42" i="30"/>
  <c r="R42" i="30"/>
  <c r="S42" i="30"/>
  <c r="U42" i="30"/>
  <c r="V42" i="30"/>
  <c r="W42" i="30"/>
  <c r="X42" i="30"/>
  <c r="Y42" i="30"/>
  <c r="Z42" i="30"/>
  <c r="AA42" i="30"/>
  <c r="AB42" i="30"/>
  <c r="AC42" i="30"/>
  <c r="AE42" i="30"/>
  <c r="AF42" i="30"/>
  <c r="AG42" i="30"/>
  <c r="AH42" i="30"/>
  <c r="AI42" i="30"/>
  <c r="AJ42" i="30"/>
  <c r="AK42" i="30"/>
  <c r="AL42" i="30"/>
  <c r="AM42" i="30"/>
  <c r="F43" i="30"/>
  <c r="G43" i="30"/>
  <c r="H43" i="30"/>
  <c r="I43" i="30"/>
  <c r="K43" i="30"/>
  <c r="L43" i="30"/>
  <c r="M43" i="30"/>
  <c r="N43" i="30"/>
  <c r="O43" i="30"/>
  <c r="P43" i="30"/>
  <c r="Q43" i="30"/>
  <c r="R43" i="30"/>
  <c r="S43" i="30"/>
  <c r="U43" i="30"/>
  <c r="V43" i="30"/>
  <c r="W43" i="30"/>
  <c r="X43" i="30"/>
  <c r="Y43" i="30"/>
  <c r="Z43" i="30"/>
  <c r="AA43" i="30"/>
  <c r="AB43" i="30"/>
  <c r="AC43" i="30"/>
  <c r="AE43" i="30"/>
  <c r="AF43" i="30"/>
  <c r="AG43" i="30"/>
  <c r="AH43" i="30"/>
  <c r="AI43" i="30"/>
  <c r="AJ43" i="30"/>
  <c r="AK43" i="30"/>
  <c r="AL43" i="30"/>
  <c r="AM43" i="30"/>
  <c r="F44" i="30"/>
  <c r="G44" i="30"/>
  <c r="H44" i="30"/>
  <c r="I44" i="30"/>
  <c r="K44" i="30"/>
  <c r="L44" i="30"/>
  <c r="M44" i="30"/>
  <c r="N44" i="30"/>
  <c r="O44" i="30"/>
  <c r="P44" i="30"/>
  <c r="Q44" i="30"/>
  <c r="R44" i="30"/>
  <c r="S44" i="30"/>
  <c r="U44" i="30"/>
  <c r="V44" i="30"/>
  <c r="W44" i="30"/>
  <c r="X44" i="30"/>
  <c r="Y44" i="30"/>
  <c r="Z44" i="30"/>
  <c r="AA44" i="30"/>
  <c r="AB44" i="30"/>
  <c r="AC44" i="30"/>
  <c r="AE44" i="30"/>
  <c r="AF44" i="30"/>
  <c r="AG44" i="30"/>
  <c r="AH44" i="30"/>
  <c r="AI44" i="30"/>
  <c r="AJ44" i="30"/>
  <c r="AK44" i="30"/>
  <c r="AL44" i="30"/>
  <c r="AM44" i="30"/>
  <c r="F47" i="30"/>
  <c r="G47" i="30"/>
  <c r="H47" i="30"/>
  <c r="I47" i="30"/>
  <c r="K47" i="30"/>
  <c r="L47" i="30"/>
  <c r="M47" i="30"/>
  <c r="N47" i="30"/>
  <c r="O47" i="30"/>
  <c r="P47" i="30"/>
  <c r="Q47" i="30"/>
  <c r="R47" i="30"/>
  <c r="S47" i="30"/>
  <c r="U47" i="30"/>
  <c r="V47" i="30"/>
  <c r="W47" i="30"/>
  <c r="X47" i="30"/>
  <c r="Y47" i="30"/>
  <c r="Z47" i="30"/>
  <c r="AA47" i="30"/>
  <c r="AB47" i="30"/>
  <c r="AC47" i="30"/>
  <c r="AE47" i="30"/>
  <c r="AF47" i="30"/>
  <c r="AG47" i="30"/>
  <c r="AH47" i="30"/>
  <c r="AI47" i="30"/>
  <c r="AJ47" i="30"/>
  <c r="AK47" i="30"/>
  <c r="AL47" i="30"/>
  <c r="AM47" i="30"/>
  <c r="F48" i="30"/>
  <c r="G48" i="30"/>
  <c r="H48" i="30"/>
  <c r="I48" i="30"/>
  <c r="K48" i="30"/>
  <c r="L48" i="30"/>
  <c r="M48" i="30"/>
  <c r="N48" i="30"/>
  <c r="O48" i="30"/>
  <c r="P48" i="30"/>
  <c r="Q48" i="30"/>
  <c r="R48" i="30"/>
  <c r="S48" i="30"/>
  <c r="U48" i="30"/>
  <c r="V48" i="30"/>
  <c r="W48" i="30"/>
  <c r="X48" i="30"/>
  <c r="Y48" i="30"/>
  <c r="Z48" i="30"/>
  <c r="AA48" i="30"/>
  <c r="AB48" i="30"/>
  <c r="AC48" i="30"/>
  <c r="AE48" i="30"/>
  <c r="AF48" i="30"/>
  <c r="AG48" i="30"/>
  <c r="AH48" i="30"/>
  <c r="AI48" i="30"/>
  <c r="AJ48" i="30"/>
  <c r="AK48" i="30"/>
  <c r="AL48" i="30"/>
  <c r="AM48" i="30"/>
  <c r="F54" i="30"/>
  <c r="H54" i="30"/>
  <c r="I54" i="30"/>
  <c r="U54" i="30"/>
  <c r="V54" i="30"/>
  <c r="W54" i="30"/>
  <c r="X54" i="30"/>
  <c r="Y54" i="30"/>
  <c r="Z54" i="30"/>
  <c r="AA54" i="30"/>
  <c r="AB54" i="30"/>
  <c r="AC54" i="30"/>
  <c r="AE54" i="30"/>
  <c r="AF54" i="30"/>
  <c r="AG54" i="30"/>
  <c r="AH54" i="30"/>
  <c r="AI54" i="30"/>
  <c r="AJ54" i="30"/>
  <c r="AK54" i="30"/>
  <c r="AL54" i="30"/>
  <c r="AM54" i="30"/>
  <c r="F55" i="30"/>
  <c r="G55" i="30"/>
  <c r="H55" i="30"/>
  <c r="I55" i="30"/>
  <c r="K55" i="30"/>
  <c r="L55" i="30"/>
  <c r="M55" i="30"/>
  <c r="N55" i="30"/>
  <c r="O55" i="30"/>
  <c r="P55" i="30"/>
  <c r="Q55" i="30"/>
  <c r="R55" i="30"/>
  <c r="S55" i="30"/>
  <c r="U55" i="30"/>
  <c r="V55" i="30"/>
  <c r="W55" i="30"/>
  <c r="X55" i="30"/>
  <c r="Y55" i="30"/>
  <c r="Z55" i="30"/>
  <c r="AA55" i="30"/>
  <c r="AB55" i="30"/>
  <c r="AC55" i="30"/>
  <c r="AE55" i="30"/>
  <c r="AF55" i="30"/>
  <c r="AG55" i="30"/>
  <c r="AH55" i="30"/>
  <c r="AI55" i="30"/>
  <c r="AJ55" i="30"/>
  <c r="AK55" i="30"/>
  <c r="AL55" i="30"/>
  <c r="AM55" i="30"/>
  <c r="F63" i="30"/>
  <c r="G63" i="30"/>
  <c r="H63" i="30"/>
  <c r="I63" i="30"/>
  <c r="K63" i="30"/>
  <c r="L63" i="30"/>
  <c r="M63" i="30"/>
  <c r="N63" i="30"/>
  <c r="O63" i="30"/>
  <c r="P63" i="30"/>
  <c r="Q63" i="30"/>
  <c r="R63" i="30"/>
  <c r="S63" i="30"/>
  <c r="U63" i="30"/>
  <c r="V63" i="30"/>
  <c r="W63" i="30"/>
  <c r="X63" i="30"/>
  <c r="Y63" i="30"/>
  <c r="Z63" i="30"/>
  <c r="AA63" i="30"/>
  <c r="AB63" i="30"/>
  <c r="AC63" i="30"/>
  <c r="AE63" i="30"/>
  <c r="AF63" i="30"/>
  <c r="AG63" i="30"/>
  <c r="AH63" i="30"/>
  <c r="AI63" i="30"/>
  <c r="AJ63" i="30"/>
  <c r="AK63" i="30"/>
  <c r="AL63" i="30"/>
  <c r="AM63" i="30"/>
  <c r="F64" i="30"/>
  <c r="G64" i="30"/>
  <c r="H64" i="30"/>
  <c r="I64" i="30"/>
  <c r="K64" i="30"/>
  <c r="L64" i="30"/>
  <c r="M64" i="30"/>
  <c r="N64" i="30"/>
  <c r="O64" i="30"/>
  <c r="P64" i="30"/>
  <c r="Q64" i="30"/>
  <c r="R64" i="30"/>
  <c r="S64" i="30"/>
  <c r="U64" i="30"/>
  <c r="V64" i="30"/>
  <c r="W64" i="30"/>
  <c r="X64" i="30"/>
  <c r="Y64" i="30"/>
  <c r="Z64" i="30"/>
  <c r="AA64" i="30"/>
  <c r="AB64" i="30"/>
  <c r="AC64" i="30"/>
  <c r="AE64" i="30"/>
  <c r="AF64" i="30"/>
  <c r="AG64" i="30"/>
  <c r="AH64" i="30"/>
  <c r="AI64" i="30"/>
  <c r="AJ64" i="30"/>
  <c r="AK64" i="30"/>
  <c r="AL64" i="30"/>
  <c r="AM64" i="30"/>
  <c r="F66" i="30"/>
  <c r="G66" i="30"/>
  <c r="H66" i="30"/>
  <c r="I66" i="30"/>
  <c r="K66" i="30"/>
  <c r="L66" i="30"/>
  <c r="M66" i="30"/>
  <c r="N66" i="30"/>
  <c r="O66" i="30"/>
  <c r="P66" i="30"/>
  <c r="Q66" i="30"/>
  <c r="R66" i="30"/>
  <c r="S66" i="30"/>
  <c r="U66" i="30"/>
  <c r="V66" i="30"/>
  <c r="W66" i="30"/>
  <c r="X66" i="30"/>
  <c r="Y66" i="30"/>
  <c r="Z66" i="30"/>
  <c r="AA66" i="30"/>
  <c r="AB66" i="30"/>
  <c r="AC66" i="30"/>
  <c r="AE66" i="30"/>
  <c r="AF66" i="30"/>
  <c r="AG66" i="30"/>
  <c r="AH66" i="30"/>
  <c r="AI66" i="30"/>
  <c r="AJ66" i="30"/>
  <c r="AK66" i="30"/>
  <c r="AL66" i="30"/>
  <c r="AM66" i="30"/>
  <c r="C3" i="37"/>
  <c r="D3" i="37"/>
  <c r="E3" i="37"/>
  <c r="F3" i="37"/>
  <c r="C4" i="37"/>
  <c r="D4" i="37"/>
  <c r="E4" i="37"/>
  <c r="F4" i="37"/>
  <c r="C10" i="37"/>
  <c r="E10" i="37"/>
  <c r="F10" i="37"/>
  <c r="C11" i="37"/>
  <c r="D11" i="37"/>
  <c r="E11" i="37"/>
  <c r="F11" i="37"/>
  <c r="C3" i="35"/>
  <c r="D3" i="35"/>
  <c r="E3" i="35"/>
  <c r="F3" i="35"/>
  <c r="C5" i="35"/>
  <c r="D5" i="35"/>
  <c r="E5" i="35"/>
  <c r="F5" i="35"/>
  <c r="C6" i="35"/>
  <c r="E6" i="35"/>
  <c r="F6" i="35"/>
  <c r="E9" i="35"/>
  <c r="F9" i="35"/>
  <c r="E11" i="35"/>
  <c r="F11" i="35"/>
  <c r="E13" i="35"/>
  <c r="F13" i="35"/>
  <c r="E15" i="35"/>
  <c r="F15" i="35"/>
  <c r="C18" i="35"/>
  <c r="E18" i="35"/>
  <c r="F18" i="35"/>
  <c r="G23" i="28"/>
  <c r="H23" i="28"/>
  <c r="G24" i="28"/>
  <c r="H24" i="28"/>
  <c r="C25" i="28"/>
  <c r="D25" i="28"/>
  <c r="E25" i="28"/>
  <c r="F25" i="28"/>
  <c r="H25" i="28"/>
  <c r="I25" i="28"/>
  <c r="C26" i="28"/>
  <c r="D26" i="28"/>
  <c r="E26" i="28"/>
  <c r="F26" i="28"/>
  <c r="G26" i="28"/>
  <c r="H26" i="28"/>
  <c r="C27" i="28"/>
  <c r="D27" i="28"/>
  <c r="E27" i="28"/>
  <c r="F27" i="28"/>
  <c r="G27" i="28"/>
  <c r="H27" i="28"/>
  <c r="C28" i="28"/>
  <c r="D28" i="28"/>
  <c r="E28" i="28"/>
  <c r="F28" i="28"/>
  <c r="G28" i="28"/>
  <c r="H28" i="28"/>
  <c r="G29" i="28"/>
  <c r="H29" i="28"/>
  <c r="G30" i="28"/>
  <c r="H30" i="28"/>
  <c r="C32" i="28"/>
  <c r="D32" i="28"/>
  <c r="E32" i="28"/>
  <c r="F32" i="28"/>
  <c r="G32" i="28"/>
  <c r="H32" i="28"/>
  <c r="C34" i="28"/>
  <c r="D34" i="28"/>
  <c r="E34" i="28"/>
  <c r="F34" i="28"/>
  <c r="G34" i="28"/>
  <c r="H34" i="28"/>
  <c r="C39" i="28"/>
  <c r="D39" i="28"/>
  <c r="E39" i="28"/>
  <c r="F39" i="28"/>
  <c r="G39" i="28"/>
  <c r="H39" i="28"/>
  <c r="C45" i="28"/>
  <c r="D45" i="28"/>
  <c r="E45" i="28"/>
  <c r="F45" i="28"/>
  <c r="G45" i="28"/>
  <c r="H45" i="28"/>
  <c r="C46" i="28"/>
  <c r="D46" i="28"/>
  <c r="E46" i="28"/>
  <c r="F46" i="28"/>
  <c r="G46" i="28"/>
  <c r="H46" i="28"/>
  <c r="C47" i="28"/>
  <c r="D47" i="28"/>
  <c r="E47" i="28"/>
  <c r="F47" i="28"/>
  <c r="G47" i="28"/>
  <c r="H47" i="28"/>
  <c r="C48" i="28"/>
  <c r="D48" i="28"/>
  <c r="E48" i="28"/>
  <c r="F48" i="28"/>
  <c r="G48" i="28"/>
  <c r="H48" i="28"/>
  <c r="C49" i="28"/>
  <c r="C51" i="28"/>
  <c r="C52" i="28"/>
  <c r="C75" i="28"/>
  <c r="E75" i="28"/>
  <c r="C76" i="28"/>
  <c r="E76" i="28"/>
  <c r="L76" i="28"/>
  <c r="M76" i="28"/>
  <c r="C77" i="28"/>
  <c r="E77" i="28"/>
  <c r="L77" i="28"/>
  <c r="C78" i="28"/>
  <c r="E78" i="28"/>
  <c r="C79" i="28"/>
  <c r="E79" i="28"/>
  <c r="C80" i="28"/>
  <c r="E80" i="28"/>
  <c r="C81" i="28"/>
  <c r="E81" i="28"/>
  <c r="C82" i="28"/>
  <c r="E82" i="28"/>
  <c r="L82" i="28"/>
  <c r="M83" i="28"/>
  <c r="L89" i="28"/>
  <c r="M89" i="28"/>
  <c r="E91" i="28"/>
  <c r="L97" i="28"/>
  <c r="M97" i="28"/>
  <c r="D31" i="31"/>
  <c r="E31" i="31"/>
  <c r="F31" i="31"/>
  <c r="G31" i="31"/>
  <c r="H31" i="31"/>
  <c r="I31" i="31"/>
  <c r="J31" i="31"/>
  <c r="K31" i="31"/>
  <c r="E32" i="31"/>
  <c r="G32" i="31"/>
  <c r="I32" i="31"/>
  <c r="K32" i="31"/>
  <c r="E33" i="31"/>
  <c r="G33" i="31"/>
  <c r="I33" i="31"/>
  <c r="K33" i="31"/>
  <c r="D34" i="31"/>
  <c r="E34" i="31"/>
  <c r="G34" i="31"/>
  <c r="H34" i="31"/>
  <c r="I34" i="31"/>
  <c r="J34" i="31"/>
  <c r="K34" i="31"/>
  <c r="E35" i="31"/>
  <c r="G35" i="31"/>
  <c r="I35" i="31"/>
  <c r="K35" i="31"/>
  <c r="E36" i="31"/>
  <c r="G36" i="31"/>
  <c r="I36" i="31"/>
  <c r="K36" i="31"/>
  <c r="D37" i="31"/>
  <c r="E37" i="31"/>
  <c r="G37" i="31"/>
  <c r="H37" i="31"/>
  <c r="I37" i="31"/>
  <c r="K37" i="31"/>
  <c r="D38" i="31"/>
  <c r="E38" i="31"/>
  <c r="F38" i="31"/>
  <c r="G38" i="31"/>
  <c r="I38" i="31"/>
  <c r="J38" i="31"/>
  <c r="K38" i="31"/>
  <c r="D39" i="31"/>
  <c r="F39" i="31"/>
  <c r="H39" i="31"/>
  <c r="J39" i="31"/>
  <c r="E42" i="31"/>
  <c r="G42" i="31"/>
  <c r="I42" i="31"/>
  <c r="K42" i="31"/>
  <c r="E43" i="31"/>
  <c r="G43" i="31"/>
  <c r="I43" i="31"/>
  <c r="K43" i="31"/>
  <c r="D44" i="31"/>
  <c r="E44" i="31"/>
  <c r="F44" i="31"/>
  <c r="G44" i="31"/>
  <c r="I44" i="31"/>
  <c r="K44" i="31"/>
  <c r="D45" i="31"/>
  <c r="E45" i="31"/>
  <c r="F45" i="31"/>
  <c r="G45" i="31"/>
  <c r="H45" i="31"/>
  <c r="I45" i="31"/>
  <c r="J45" i="31"/>
  <c r="K45" i="31"/>
  <c r="D46" i="31"/>
  <c r="E46" i="31"/>
  <c r="F46" i="31"/>
  <c r="G46" i="31"/>
  <c r="H46" i="31"/>
  <c r="I46" i="31"/>
  <c r="J46" i="31"/>
  <c r="K46" i="31"/>
  <c r="E47" i="31"/>
  <c r="G47" i="31"/>
  <c r="I47" i="31"/>
  <c r="K47" i="31"/>
  <c r="D48" i="31"/>
  <c r="E48" i="31"/>
  <c r="F48" i="31"/>
  <c r="G48" i="31"/>
  <c r="H48" i="31"/>
  <c r="I48" i="31"/>
  <c r="J48" i="31"/>
  <c r="K48" i="31"/>
  <c r="D49" i="31"/>
  <c r="F49" i="31"/>
  <c r="H49" i="31"/>
  <c r="J49" i="31"/>
  <c r="D54" i="31"/>
  <c r="E54" i="31"/>
  <c r="G54" i="31"/>
  <c r="H54" i="31"/>
  <c r="I54" i="31"/>
  <c r="J54" i="31"/>
  <c r="K54" i="31"/>
  <c r="E55" i="31"/>
  <c r="G55" i="31"/>
  <c r="I55" i="31"/>
  <c r="K55" i="31"/>
  <c r="E56" i="31"/>
  <c r="G56" i="31"/>
  <c r="I56" i="31"/>
  <c r="K56" i="31"/>
  <c r="E57" i="31"/>
  <c r="G57" i="31"/>
  <c r="I57" i="31"/>
  <c r="K57" i="31"/>
  <c r="D58" i="31"/>
  <c r="E58" i="31"/>
  <c r="G58" i="31"/>
  <c r="H58" i="31"/>
  <c r="I58" i="31"/>
  <c r="J58" i="31"/>
  <c r="K58" i="31"/>
  <c r="E59" i="31"/>
  <c r="G59" i="31"/>
  <c r="I59" i="31"/>
  <c r="K59" i="31"/>
  <c r="E60" i="31"/>
  <c r="G60" i="31"/>
  <c r="I60" i="31"/>
  <c r="K60" i="31"/>
  <c r="E61" i="31"/>
  <c r="G61" i="31"/>
  <c r="I61" i="31"/>
  <c r="K61" i="31"/>
  <c r="E62" i="31"/>
  <c r="G62" i="31"/>
  <c r="I62" i="31"/>
  <c r="K62" i="31"/>
  <c r="E63" i="31"/>
  <c r="G63" i="31"/>
  <c r="I63" i="31"/>
  <c r="K63" i="31"/>
  <c r="D64" i="31"/>
  <c r="E64" i="31"/>
  <c r="F64" i="31"/>
  <c r="G64" i="31"/>
  <c r="I64" i="31"/>
  <c r="K64" i="31"/>
  <c r="E65" i="31"/>
  <c r="G65" i="31"/>
  <c r="I65" i="31"/>
  <c r="K65" i="31"/>
  <c r="D66" i="31"/>
  <c r="F66" i="31"/>
  <c r="H66" i="31"/>
  <c r="J66" i="31"/>
  <c r="E69" i="31"/>
  <c r="G69" i="31"/>
  <c r="I69" i="31"/>
  <c r="K69" i="31"/>
  <c r="E70" i="31"/>
  <c r="G70" i="31"/>
  <c r="I70" i="31"/>
  <c r="K70" i="31"/>
  <c r="D71" i="31"/>
  <c r="E71" i="31"/>
  <c r="F71" i="31"/>
  <c r="G71" i="31"/>
  <c r="I71" i="31"/>
  <c r="K71" i="31"/>
  <c r="D72" i="31"/>
  <c r="E72" i="31"/>
  <c r="F72" i="31"/>
  <c r="G72" i="31"/>
  <c r="H72" i="31"/>
  <c r="I72" i="31"/>
  <c r="J72" i="31"/>
  <c r="K72" i="31"/>
  <c r="D73" i="31"/>
  <c r="E73" i="31"/>
  <c r="F73" i="31"/>
  <c r="G73" i="31"/>
  <c r="H73" i="31"/>
  <c r="I73" i="31"/>
  <c r="J73" i="31"/>
  <c r="K73" i="31"/>
  <c r="E74" i="31"/>
  <c r="G74" i="31"/>
  <c r="I74" i="31"/>
  <c r="K74" i="31"/>
  <c r="D75" i="31"/>
  <c r="E75" i="31"/>
  <c r="F75" i="31"/>
  <c r="G75" i="31"/>
  <c r="H75" i="31"/>
  <c r="I75" i="31"/>
  <c r="J75" i="31"/>
  <c r="K75" i="31"/>
  <c r="D76" i="31"/>
  <c r="F76" i="31"/>
  <c r="H76" i="31"/>
  <c r="J76" i="31"/>
</calcChain>
</file>

<file path=xl/sharedStrings.xml><?xml version="1.0" encoding="utf-8"?>
<sst xmlns="http://schemas.openxmlformats.org/spreadsheetml/2006/main" count="1651" uniqueCount="656">
  <si>
    <t>1. Summary Pro Forma</t>
  </si>
  <si>
    <t>Team Number</t>
  </si>
  <si>
    <t>2019-557</t>
  </si>
  <si>
    <t>Year 0</t>
  </si>
  <si>
    <t>Phase I</t>
  </si>
  <si>
    <t>Phase II</t>
  </si>
  <si>
    <t>Phase III</t>
  </si>
  <si>
    <t>Sale</t>
  </si>
  <si>
    <t>2020-2021</t>
  </si>
  <si>
    <t xml:space="preserve">Net Operating Income </t>
  </si>
  <si>
    <t>Affordable</t>
  </si>
  <si>
    <t>Office/Commercial</t>
  </si>
  <si>
    <t>Community facilities</t>
  </si>
  <si>
    <t>Affordable Artist Space</t>
  </si>
  <si>
    <t>Market-rate Retail</t>
  </si>
  <si>
    <t>Hotel</t>
  </si>
  <si>
    <t>Structured Parking</t>
  </si>
  <si>
    <t>Total Net Operating Income</t>
  </si>
  <si>
    <t>Income from Sales Proceeds</t>
  </si>
  <si>
    <t>Total Income</t>
  </si>
  <si>
    <t>Development Costs</t>
  </si>
  <si>
    <t>Hard costs</t>
  </si>
  <si>
    <t>Retail (ALL)</t>
  </si>
  <si>
    <t>Industrial</t>
  </si>
  <si>
    <t>Infrastructure</t>
  </si>
  <si>
    <t>Soft costs</t>
  </si>
  <si>
    <t>Reserves</t>
  </si>
  <si>
    <t>Developer fee</t>
  </si>
  <si>
    <t>Acquisition costs</t>
  </si>
  <si>
    <t>Infrastructure Costs</t>
  </si>
  <si>
    <t>Demolition</t>
  </si>
  <si>
    <t>Remediation</t>
  </si>
  <si>
    <t>Total Development Costs</t>
  </si>
  <si>
    <t>Annual Cash Flow</t>
  </si>
  <si>
    <t>Net Operating Income</t>
  </si>
  <si>
    <t xml:space="preserve">Total Asset Value </t>
  </si>
  <si>
    <t>Total Costs of Sale</t>
  </si>
  <si>
    <t>Net Cash Flow</t>
  </si>
  <si>
    <t>Debt Service</t>
  </si>
  <si>
    <t>Leveraged Net Cash Flow</t>
  </si>
  <si>
    <t>Net Present Value</t>
  </si>
  <si>
    <t>Loan to Value Ratio (LVR)</t>
  </si>
  <si>
    <t>Unleveraged IRR Before Taxes</t>
  </si>
  <si>
    <t>Current Site Value (start of Year 0)</t>
  </si>
  <si>
    <t>Leveraged IRR Before Taxes</t>
  </si>
  <si>
    <t>Projected Site Value (end of Year 10)</t>
  </si>
  <si>
    <t>2. Multiyear Development Program</t>
  </si>
  <si>
    <t>Year-by-Year Cumulative Absorption</t>
  </si>
  <si>
    <t>Total Buildout</t>
  </si>
  <si>
    <t>Project Buildout by Development Units</t>
  </si>
  <si>
    <t>(units)</t>
  </si>
  <si>
    <t>(rooms)</t>
  </si>
  <si>
    <t>(spaces)</t>
  </si>
  <si>
    <t>Project Buildout by Area</t>
  </si>
  <si>
    <t>(s.f.)</t>
  </si>
  <si>
    <t>Total</t>
  </si>
  <si>
    <t>3. Unit Development and Infrastructure Costs</t>
  </si>
  <si>
    <t>4. Equity and Financing Sources</t>
  </si>
  <si>
    <t>Unit Cost</t>
  </si>
  <si>
    <t>Total Costs</t>
  </si>
  <si>
    <t>Amount</t>
  </si>
  <si>
    <t>($ per unit)</t>
  </si>
  <si>
    <t>Equity Sources (total)</t>
  </si>
  <si>
    <t>Construction Phase</t>
  </si>
  <si>
    <t>Permanent Phase</t>
  </si>
  <si>
    <t>Opportunity Zone Fund Equity</t>
  </si>
  <si>
    <t>Developer Equity</t>
  </si>
  <si>
    <t>($ per s.f.)</t>
  </si>
  <si>
    <t>Financing Sources (total)</t>
  </si>
  <si>
    <t>($ per room)</t>
  </si>
  <si>
    <t>Construction Loan</t>
  </si>
  <si>
    <t>Permanent Bank Loan</t>
  </si>
  <si>
    <t>EB-5 Senior Loan</t>
  </si>
  <si>
    <t>($ per space)</t>
  </si>
  <si>
    <t>RRIF</t>
  </si>
  <si>
    <t>Private</t>
  </si>
  <si>
    <t>Public Subsidies (total, if any)</t>
  </si>
  <si>
    <t>Roads</t>
  </si>
  <si>
    <t>TIF Loan</t>
  </si>
  <si>
    <t>Utilities</t>
  </si>
  <si>
    <t>RRIF Loan</t>
  </si>
  <si>
    <t>Other Hardscaping (not incl. surf. pkg.)</t>
  </si>
  <si>
    <t>Low-Income Housing Tax Credit Equity</t>
  </si>
  <si>
    <t>Landscaping/Parks</t>
  </si>
  <si>
    <t>New Markets Tax Credit Equity</t>
  </si>
  <si>
    <t>New Transit Station</t>
  </si>
  <si>
    <t>Florida Capital Investment Tax Credit Equity</t>
  </si>
  <si>
    <t>Acquisition Taxes and Fees</t>
  </si>
  <si>
    <t>High Impact Performance Incentive Equity</t>
  </si>
  <si>
    <t>Total Infrastructure Costs</t>
  </si>
  <si>
    <t>City of Miami Brownfields Bonus</t>
  </si>
  <si>
    <t>City of Miami HOME/CDBG Funds</t>
  </si>
  <si>
    <t>HUD Section 202</t>
  </si>
  <si>
    <t>Phase</t>
  </si>
  <si>
    <t>factors</t>
  </si>
  <si>
    <t>Infrastructure Worksheet</t>
  </si>
  <si>
    <t>Source</t>
  </si>
  <si>
    <t>I</t>
  </si>
  <si>
    <t>II</t>
  </si>
  <si>
    <t>III</t>
  </si>
  <si>
    <t>Inflation Factor</t>
  </si>
  <si>
    <t>Public Landscape &amp; Park</t>
  </si>
  <si>
    <t xml:space="preserve">Commercial Infrastructure </t>
  </si>
  <si>
    <t>San Juan Park West</t>
  </si>
  <si>
    <t>San Juan Park East</t>
  </si>
  <si>
    <t>Gallery Walk</t>
  </si>
  <si>
    <t>NW Gateway</t>
  </si>
  <si>
    <t>RR Greenway/Loop</t>
  </si>
  <si>
    <t>Roads/Transit</t>
  </si>
  <si>
    <t>Retail</t>
  </si>
  <si>
    <t>Roadway Bridge over Tracks</t>
  </si>
  <si>
    <t>Existing Street Rebuilds</t>
  </si>
  <si>
    <t>Existing Street Streetscape Improvements</t>
  </si>
  <si>
    <t>New Streets</t>
  </si>
  <si>
    <t>Transit Station Enhancements</t>
  </si>
  <si>
    <t>Subtotal</t>
  </si>
  <si>
    <t>Bikeshare</t>
  </si>
  <si>
    <t xml:space="preserve">Other Infrastructure </t>
  </si>
  <si>
    <t>Utilities Connection</t>
  </si>
  <si>
    <t>Train Station Improvements</t>
  </si>
  <si>
    <t xml:space="preserve">Storm Water </t>
  </si>
  <si>
    <t>Roadway Rebuilds</t>
  </si>
  <si>
    <t>Cisterns (Pumping Included)</t>
  </si>
  <si>
    <t>Roadway Bridge</t>
  </si>
  <si>
    <t xml:space="preserve">Storm Water and Gray Water Pipe </t>
  </si>
  <si>
    <t>Streetscape</t>
  </si>
  <si>
    <t>Brownwater Living Machines</t>
  </si>
  <si>
    <t>Bikeshare Stations</t>
  </si>
  <si>
    <t xml:space="preserve">Brownwater Pipe </t>
  </si>
  <si>
    <t>Curbside Bioswales</t>
  </si>
  <si>
    <t>Park/Landscaping</t>
  </si>
  <si>
    <t>Park-scale Rain Garden</t>
  </si>
  <si>
    <t>Infrastructure Cost - Private</t>
  </si>
  <si>
    <t>Infrastructure Cost - RRIF</t>
  </si>
  <si>
    <t xml:space="preserve">Total Infrastructure Costs </t>
  </si>
  <si>
    <t>Net Present Value of Costs</t>
  </si>
  <si>
    <t>Park and Landscape total</t>
  </si>
  <si>
    <t>Road and transit total</t>
  </si>
  <si>
    <t>Stormwater/Utility total</t>
  </si>
  <si>
    <t>Total Infrastructure</t>
  </si>
  <si>
    <t>Unit Assumptions</t>
  </si>
  <si>
    <t>Factors</t>
  </si>
  <si>
    <t>Studio units</t>
  </si>
  <si>
    <t>1 bedroom units</t>
  </si>
  <si>
    <t>2 bedroom units</t>
  </si>
  <si>
    <t>3 bedroom units</t>
  </si>
  <si>
    <t>4 bedroom units</t>
  </si>
  <si>
    <t>Total units</t>
  </si>
  <si>
    <t>Total Squarefootage</t>
  </si>
  <si>
    <t>Revenue Assumptions</t>
  </si>
  <si>
    <t>Phase 1 residential income</t>
  </si>
  <si>
    <t>Phase 2 residential income</t>
  </si>
  <si>
    <t>Phase 3 residential income</t>
  </si>
  <si>
    <t>Residential income</t>
  </si>
  <si>
    <t>Monthly Rent per s.f.</t>
  </si>
  <si>
    <t>Vacancy</t>
  </si>
  <si>
    <t>Solar Energy Savings</t>
  </si>
  <si>
    <t>Effective Annual Income</t>
  </si>
  <si>
    <t>Annual Operating Expenses per s.f.(8.2)</t>
  </si>
  <si>
    <t>Percent Built by Year</t>
  </si>
  <si>
    <t>Hard Costs</t>
  </si>
  <si>
    <t>Soft Costs</t>
  </si>
  <si>
    <t>Asset Value</t>
  </si>
  <si>
    <t>Costs of Sale</t>
  </si>
  <si>
    <t>Equity Cash Flows</t>
  </si>
  <si>
    <t>1 bedroom units (60% AMI)</t>
  </si>
  <si>
    <t>2 bedroom units (60% AMI)</t>
  </si>
  <si>
    <t>3 bedroom units (60% AMI)</t>
  </si>
  <si>
    <t>1 bedroom (HUD Section 8)</t>
  </si>
  <si>
    <t>1 bedroom (HUD Section 811)</t>
  </si>
  <si>
    <t>Revenue</t>
  </si>
  <si>
    <t>Annual Operating Expenses per s.f.(7.9)</t>
  </si>
  <si>
    <t>Equity</t>
  </si>
  <si>
    <t>Equity Cash Flow</t>
  </si>
  <si>
    <t>Assumptions</t>
  </si>
  <si>
    <t>Built</t>
  </si>
  <si>
    <t>GLA Absorbed</t>
  </si>
  <si>
    <t>Net Rentable Area</t>
  </si>
  <si>
    <t>Vacancy Factor</t>
  </si>
  <si>
    <t>Effective Gross Income</t>
  </si>
  <si>
    <t>Leasing Revenues</t>
  </si>
  <si>
    <t>Operations and Maintenance Expenser per s.f.</t>
  </si>
  <si>
    <t>Square Footage by Phase</t>
  </si>
  <si>
    <t>Total SQFT</t>
  </si>
  <si>
    <t>Absorption</t>
  </si>
  <si>
    <t>TDC</t>
  </si>
  <si>
    <t>Phase I DC</t>
  </si>
  <si>
    <t>Phase II DC</t>
  </si>
  <si>
    <t>Phase I Infra</t>
  </si>
  <si>
    <t>Phase II Infra</t>
  </si>
  <si>
    <t>Phase III Infra</t>
  </si>
  <si>
    <t>Traditional retail</t>
  </si>
  <si>
    <t>Net Lease Revenue per s.f.</t>
  </si>
  <si>
    <t>Food Hall</t>
  </si>
  <si>
    <t>Ph I</t>
  </si>
  <si>
    <t>Ph II</t>
  </si>
  <si>
    <t>Ph III</t>
  </si>
  <si>
    <t>Square footage</t>
  </si>
  <si>
    <t>Boutique</t>
  </si>
  <si>
    <t>Standard</t>
  </si>
  <si>
    <t>Boutique Rooms Completed</t>
  </si>
  <si>
    <t>Standard Rooms Completed</t>
  </si>
  <si>
    <t>Occupancy Factor</t>
  </si>
  <si>
    <t>Average Daily Room Rate</t>
  </si>
  <si>
    <t>Room Revenues</t>
  </si>
  <si>
    <t>Other Revenues</t>
  </si>
  <si>
    <t>Total Revenues</t>
  </si>
  <si>
    <t>Parcel Use</t>
  </si>
  <si>
    <t>Parcel</t>
  </si>
  <si>
    <t>Affordable Residential</t>
  </si>
  <si>
    <t>Market Rate and WF Residential</t>
  </si>
  <si>
    <t>Community Facility</t>
  </si>
  <si>
    <t>Office</t>
  </si>
  <si>
    <t>Structural Parking</t>
  </si>
  <si>
    <t>Spaces</t>
  </si>
  <si>
    <t>Costs</t>
  </si>
  <si>
    <t>Structured Parking Spaces</t>
  </si>
  <si>
    <t>Monthly Fees</t>
  </si>
  <si>
    <t>Monthly Parking Fee</t>
  </si>
  <si>
    <t>Allocation to Monthly Use</t>
  </si>
  <si>
    <t>Percent Occupancy by Monthly Contracts</t>
  </si>
  <si>
    <t>Hourly Fees</t>
  </si>
  <si>
    <t>Number of Spaces</t>
  </si>
  <si>
    <t>Nonwork Days</t>
  </si>
  <si>
    <t>Daily Parking Hours</t>
  </si>
  <si>
    <t>Percent Utilization</t>
  </si>
  <si>
    <t>Work Days</t>
  </si>
  <si>
    <t>Hourly Parking Rate</t>
  </si>
  <si>
    <t>Expenses</t>
  </si>
  <si>
    <t>Operating Expenses (Percent of Gross Revenue)</t>
  </si>
  <si>
    <t>Parking Revenue</t>
  </si>
  <si>
    <t>Monthly Parking</t>
  </si>
  <si>
    <t>Hourly Parking</t>
  </si>
  <si>
    <t>Total Parking Revenue</t>
  </si>
  <si>
    <t xml:space="preserve">Equity Cash Flows </t>
  </si>
  <si>
    <t>Wynwood and Midtown comps</t>
  </si>
  <si>
    <t>Location</t>
  </si>
  <si>
    <t>Rating</t>
  </si>
  <si>
    <t>Total Square feet</t>
  </si>
  <si>
    <t>Lease ype</t>
  </si>
  <si>
    <t>$/sf/yr</t>
  </si>
  <si>
    <t xml:space="preserve">Office </t>
  </si>
  <si>
    <t>Comparable 1</t>
  </si>
  <si>
    <t>Comparable 2</t>
  </si>
  <si>
    <t>Comparable 3</t>
  </si>
  <si>
    <t>Comparable 4</t>
  </si>
  <si>
    <t>Comparable 5</t>
  </si>
  <si>
    <t>Average</t>
  </si>
  <si>
    <t>545 NW 26th St</t>
  </si>
  <si>
    <t>298,599 SF</t>
  </si>
  <si>
    <t>Lease rate does not include utilities, property expenses or building services</t>
  </si>
  <si>
    <t>Project Name</t>
  </si>
  <si>
    <t>Midtown 29</t>
  </si>
  <si>
    <t>Yard 8</t>
  </si>
  <si>
    <t>Gio Midtown</t>
  </si>
  <si>
    <t>Wynwood 25</t>
  </si>
  <si>
    <t>Midtown 5</t>
  </si>
  <si>
    <t>222 NW 24th St - CUBE Wynwd</t>
  </si>
  <si>
    <t>1,500-10,976sf</t>
  </si>
  <si>
    <t>Address</t>
  </si>
  <si>
    <t>180 Ne 29th St, Miami, FL 33137</t>
  </si>
  <si>
    <t>2901 Ne 1st Ave, Miami, FL 33137</t>
  </si>
  <si>
    <t>3101 Ne 1st Ave, Miami, FL 33137</t>
  </si>
  <si>
    <t>240 Nw 25th St, Miami, FL 33127</t>
  </si>
  <si>
    <t>125 Ne 32nd St, Miami, FL 33137</t>
  </si>
  <si>
    <t>2509 N Miami Ave - The Print Shop</t>
  </si>
  <si>
    <t>4-star</t>
  </si>
  <si>
    <t>Distance (miles)</t>
  </si>
  <si>
    <t>51 NE 24th St - The Atrium - Trackside Wynwood</t>
  </si>
  <si>
    <t>4-Star Office Space</t>
  </si>
  <si>
    <t>1,000-15,000sf</t>
  </si>
  <si>
    <t>Listed rate may not include certain utilities, building services and property expenses</t>
  </si>
  <si>
    <t>Year Built</t>
  </si>
  <si>
    <t>New / Rehab</t>
  </si>
  <si>
    <t>New</t>
  </si>
  <si>
    <t>Number of Units</t>
  </si>
  <si>
    <t>Studio Monthly Rent</t>
  </si>
  <si>
    <t>0 BR</t>
  </si>
  <si>
    <t>1 BR</t>
  </si>
  <si>
    <t>2 BR</t>
  </si>
  <si>
    <t>3 BR</t>
  </si>
  <si>
    <t>4 BR</t>
  </si>
  <si>
    <t>3401 NE 1st Ave - 1st Floor, Suite 112</t>
  </si>
  <si>
    <t>1,786sf</t>
  </si>
  <si>
    <t>$60.00/sf/yr</t>
  </si>
  <si>
    <t>SF</t>
  </si>
  <si>
    <t>Fair Market Rent</t>
  </si>
  <si>
    <t>3401 NE 1st Ave - Hyde Midtown -- 1st Fl-Ste Space H</t>
  </si>
  <si>
    <t>1,834 SF of 4-Star Retail Space</t>
  </si>
  <si>
    <t>Annual Rent PSF</t>
  </si>
  <si>
    <t>2610-2630 NW 5th Ave - The Campus on 5th Wynwood</t>
  </si>
  <si>
    <t>3,200sf</t>
  </si>
  <si>
    <t>1 BR Monthly Rent</t>
  </si>
  <si>
    <t>180 NE 29th St - Midtown 29 </t>
  </si>
  <si>
    <t>2,000sf</t>
  </si>
  <si>
    <t>2701 Biscayne Blvd - blu27 -- 1st Fl-Ste Suite 4 (5-star retail)</t>
  </si>
  <si>
    <t>1,886sf</t>
  </si>
  <si>
    <t>2021 NW 2nd Ave - Wynwood Retail / Restaurant Space</t>
  </si>
  <si>
    <t>1,416sf</t>
  </si>
  <si>
    <t>2 BR Monthly Rent</t>
  </si>
  <si>
    <t>Industrial/studio space</t>
  </si>
  <si>
    <t>3 BR Monthly Rent</t>
  </si>
  <si>
    <t>-</t>
  </si>
  <si>
    <t>2534 N Miami Ave - 2534 NMA</t>
  </si>
  <si>
    <t>10,000sf</t>
  </si>
  <si>
    <t>47 NE 25th St</t>
  </si>
  <si>
    <t>8,000 SF </t>
  </si>
  <si>
    <t>25 NW 34th St - Midtown Miami</t>
  </si>
  <si>
    <t>6,592 SF</t>
  </si>
  <si>
    <r>
      <rPr>
        <b/>
        <sz val="10"/>
        <color theme="1"/>
        <rFont val="Century Gothic"/>
        <family val="1"/>
      </rPr>
      <t>Source</t>
    </r>
    <r>
      <rPr>
        <sz val="10"/>
        <color theme="1"/>
        <rFont val="Century Gothic"/>
        <family val="1"/>
      </rPr>
      <t>: loopnet.com</t>
    </r>
  </si>
  <si>
    <t>Miami-Dade Payment Standard</t>
  </si>
  <si>
    <t>Rate</t>
  </si>
  <si>
    <t>60% AMI Rent</t>
  </si>
  <si>
    <t>Hyde Midtown Miami</t>
  </si>
  <si>
    <t>AC Hotel by Marriott Miami Midtown</t>
  </si>
  <si>
    <t>Hilton Miami Downtown</t>
  </si>
  <si>
    <t>DoubleTree by Hilton Grand Hotel Biscayne Bay</t>
  </si>
  <si>
    <t>Solar</t>
  </si>
  <si>
    <t>Total Roof area</t>
  </si>
  <si>
    <t>50% coverage ratio</t>
  </si>
  <si>
    <t>Courtyard by Marriott Miami Downtown/Brickell Area</t>
  </si>
  <si>
    <t>Fortuna House</t>
  </si>
  <si>
    <t>Cost/KW</t>
  </si>
  <si>
    <t>Wynwood Place</t>
  </si>
  <si>
    <t>Yearly KWh/KW</t>
  </si>
  <si>
    <t>SqFt/KW</t>
  </si>
  <si>
    <t>Total KW</t>
  </si>
  <si>
    <t>Construction Cost Estimate</t>
  </si>
  <si>
    <t>Total Cost</t>
  </si>
  <si>
    <t>Use</t>
  </si>
  <si>
    <t>Materials</t>
  </si>
  <si>
    <t>Stories</t>
  </si>
  <si>
    <t>Gross Square Footage</t>
  </si>
  <si>
    <t>Estimate (psf) (2011)</t>
  </si>
  <si>
    <t>2020 Estimate</t>
  </si>
  <si>
    <t>Yearly KWh</t>
  </si>
  <si>
    <t>Residential</t>
  </si>
  <si>
    <t>Face Brick with Concrete Block /R/ Concrete frame</t>
  </si>
  <si>
    <t>Savings/KWh</t>
  </si>
  <si>
    <t>Glass and Metal Curtain Wall /R/ Concrete Frame</t>
  </si>
  <si>
    <t>Yearly Savings</t>
  </si>
  <si>
    <t>Double Glazed Heat Absorbing Tinted Plate glass /R/ Concrete Frame</t>
  </si>
  <si>
    <t>ITC Credit</t>
  </si>
  <si>
    <t>Parking garage</t>
  </si>
  <si>
    <t>Source: Tampa Electric Solar Calculator (https://www.tampaelectric.com/company/solar-energy/connectingyoursolar/solarcalculator/)</t>
  </si>
  <si>
    <t>Restaurant</t>
  </si>
  <si>
    <t>Stucco on Concrete block</t>
  </si>
  <si>
    <t>Medical Offices</t>
  </si>
  <si>
    <t>Concrete blocks</t>
  </si>
  <si>
    <t>Community Center</t>
  </si>
  <si>
    <t>Warehouse</t>
  </si>
  <si>
    <t>Concrete blocks/bearing walls</t>
  </si>
  <si>
    <t>Construction index change</t>
  </si>
  <si>
    <t>Acquisition Cost - Summary</t>
  </si>
  <si>
    <t>Parcel #</t>
  </si>
  <si>
    <t>Assessed</t>
  </si>
  <si>
    <t>Taxes</t>
  </si>
  <si>
    <t xml:space="preserve">Note: </t>
  </si>
  <si>
    <t>Acquisiton costs based on market value of non-owned properties in the project area (29th St - Miami Ave - 26th St - 2nd Ave), per City of Miami tax assessor portal.</t>
  </si>
  <si>
    <t>Federal LIHTC 9% and 4% credit</t>
  </si>
  <si>
    <t>LIHTC Eligible Basis</t>
  </si>
  <si>
    <t>Basis Per Unit</t>
  </si>
  <si>
    <t>Public Source Summary</t>
  </si>
  <si>
    <t>Difficult to Develop Area 130% Boost</t>
  </si>
  <si>
    <t>Source Used</t>
  </si>
  <si>
    <t>Level</t>
  </si>
  <si>
    <t>Description</t>
  </si>
  <si>
    <t>Community Redevelopment Agency Tax Increment Financing (TIF)</t>
  </si>
  <si>
    <t>City/County</t>
  </si>
  <si>
    <t>Tax increment financing to support infrastructure, acquisition, and remediation activities. Creation of CRA required.</t>
  </si>
  <si>
    <t>Tax Credit %</t>
  </si>
  <si>
    <t>USDOT Railroad Rehabilitation and Improvement Financing (RRIF) Loan</t>
  </si>
  <si>
    <t>Federal</t>
  </si>
  <si>
    <t xml:space="preserve">Provides loans for railroad improvement projects like train stations. </t>
  </si>
  <si>
    <t>Annual Tax Credit</t>
  </si>
  <si>
    <t>HUD Bownfield Grant</t>
  </si>
  <si>
    <t>Provides funding for brownfield remediation</t>
  </si>
  <si>
    <t>Years of Tax Credit</t>
  </si>
  <si>
    <t>EPA Brownfield Grant</t>
  </si>
  <si>
    <t>Provides funding for redevelopment of brownfields</t>
  </si>
  <si>
    <t>Total Tax Credits</t>
  </si>
  <si>
    <t>Low-Income Housing Tax Credit (LIHTC) Equity</t>
  </si>
  <si>
    <t>Federal/State</t>
  </si>
  <si>
    <t>Equity from sale of LIHTC credits for affordable housing development</t>
  </si>
  <si>
    <t>% of Project Sold to Tax Credit Investors</t>
  </si>
  <si>
    <t>New Markets Tax Credit (NMTC) Equity</t>
  </si>
  <si>
    <t>Equity from sale of New Markets credits for job-creating developments</t>
  </si>
  <si>
    <t>Tax Credits Allocated to Tax Credit Investors</t>
  </si>
  <si>
    <t>Capital Investment Tax Credit</t>
  </si>
  <si>
    <t>State</t>
  </si>
  <si>
    <t>Equity from benefits of Florida tax credit that rewards investments in priority Florida industries</t>
  </si>
  <si>
    <t>Tax Credit Investor Equity Contribution Per $ of Tax Credit*</t>
  </si>
  <si>
    <t>University of Miami Hospital Grant</t>
  </si>
  <si>
    <t>Private Non-Profit</t>
  </si>
  <si>
    <t>Community grant consistent with hospital's needs assessment</t>
  </si>
  <si>
    <t>Tax Creditor Investor Equity Payment</t>
  </si>
  <si>
    <t>City</t>
  </si>
  <si>
    <t>Additional tax credit provided for creating jobs in brownfield area</t>
  </si>
  <si>
    <t>High Impact Perfomance Incentive Grant</t>
  </si>
  <si>
    <t>HIPI provides grants to businesses for creation of priority sector jobs</t>
  </si>
  <si>
    <t>City of Miami HOME/CDBG</t>
  </si>
  <si>
    <t>Federal/City</t>
  </si>
  <si>
    <t>Grants to support housing development</t>
  </si>
  <si>
    <t>Total Federal LIHTC Equity</t>
  </si>
  <si>
    <t>Grant to support senior housing</t>
  </si>
  <si>
    <t>*Source: https://www.novoco.com/resource-centers/affordable-housing-tax-credits/data-tools/lihtc-pricing-trends</t>
  </si>
  <si>
    <t>Federal New Markets Tax Credit</t>
  </si>
  <si>
    <t>Allocation</t>
  </si>
  <si>
    <t>Credits</t>
  </si>
  <si>
    <t>Pricing</t>
  </si>
  <si>
    <t>Total New Markets Tax Credit Equity</t>
  </si>
  <si>
    <t>Loan Sizing</t>
  </si>
  <si>
    <t>Affordable Value</t>
  </si>
  <si>
    <t>Market Resi Value</t>
  </si>
  <si>
    <t>Retail Value</t>
  </si>
  <si>
    <t>Office Value</t>
  </si>
  <si>
    <t>Parking Value</t>
  </si>
  <si>
    <t>LTV</t>
  </si>
  <si>
    <t>LTV Constraint Max. Proceeds</t>
  </si>
  <si>
    <t>Affordable NOI</t>
  </si>
  <si>
    <t>Market Resi NOI</t>
  </si>
  <si>
    <t>Retail NOI</t>
  </si>
  <si>
    <t>Office NOI</t>
  </si>
  <si>
    <t>Parking NOI</t>
  </si>
  <si>
    <t>DSCR</t>
  </si>
  <si>
    <t>1.25x</t>
  </si>
  <si>
    <t>Max Annual Payment</t>
  </si>
  <si>
    <t>Amortization</t>
  </si>
  <si>
    <t>30 years</t>
  </si>
  <si>
    <t>DSCR Constraint Max. Proceeds</t>
  </si>
  <si>
    <t>Max Permanent Loan Proceeds</t>
  </si>
  <si>
    <t>EB-5 Loan</t>
  </si>
  <si>
    <t>Hotel Value</t>
  </si>
  <si>
    <t>Hotel Cash Flow after Reserves</t>
  </si>
  <si>
    <t>1.30x</t>
  </si>
  <si>
    <t>IO</t>
  </si>
  <si>
    <t>Achievable Proceeds</t>
  </si>
  <si>
    <t>GAP</t>
  </si>
  <si>
    <t>Brownfield Programs</t>
  </si>
  <si>
    <t>Brownfield Investments?</t>
  </si>
  <si>
    <t>Yes</t>
  </si>
  <si>
    <t>Cost of Remediation</t>
  </si>
  <si>
    <t>EPA Brownfield Grant (Remediation)</t>
  </si>
  <si>
    <t>HUD Brownfield Grant (Development)</t>
  </si>
  <si>
    <t>City of Miami Brownfields Grant Bonus</t>
  </si>
  <si>
    <t>Office Square Footage</t>
  </si>
  <si>
    <t>Jobs Created @ 300sf/job</t>
  </si>
  <si>
    <t>Brownfield Bonus @ $2,500/job</t>
  </si>
  <si>
    <t>Housing/Health Public Grants</t>
  </si>
  <si>
    <t>City of Miami HOME/CDBG Grant Estimate (2 LIHTC Projects)</t>
  </si>
  <si>
    <t>HUD Section 202 Grant (1 senior-focused LIHTC)</t>
  </si>
  <si>
    <t>University of Miami Hospital Grant for PACE</t>
  </si>
  <si>
    <t xml:space="preserve">Hospital Grant will meet federal requirements to provide resources to meet identified community health needs. </t>
  </si>
  <si>
    <t>State Economic Development/Tax Credit Programs</t>
  </si>
  <si>
    <t>NOI from Qualifying Office Development</t>
  </si>
  <si>
    <t>Tax Rate</t>
  </si>
  <si>
    <t>Annual Obligation</t>
  </si>
  <si>
    <t>Over Twenty Years</t>
  </si>
  <si>
    <t>Equity at 85% Rate</t>
  </si>
  <si>
    <t>HIPI-Eligible Investment</t>
  </si>
  <si>
    <t>FAR</t>
  </si>
  <si>
    <t>Hard Cost Total</t>
  </si>
  <si>
    <t>PGSF</t>
  </si>
  <si>
    <t>Gross Square Footages</t>
  </si>
  <si>
    <t>Efficiency</t>
  </si>
  <si>
    <t>Net Square Footages</t>
  </si>
  <si>
    <t>Original Site or Developable</t>
  </si>
  <si>
    <t>Site Area</t>
  </si>
  <si>
    <t>Podium Square Footage</t>
  </si>
  <si>
    <t>Podium stories</t>
  </si>
  <si>
    <t>Tower 1 Square Footage</t>
  </si>
  <si>
    <t>Tower 1 stories</t>
  </si>
  <si>
    <t>Tower 2 Square Footage</t>
  </si>
  <si>
    <t>Tower 2 stories</t>
  </si>
  <si>
    <t>Parking Square Footage</t>
  </si>
  <si>
    <t>Total GSF</t>
  </si>
  <si>
    <t>Affordable Art Space</t>
  </si>
  <si>
    <t>Blended</t>
  </si>
  <si>
    <t>(-) Parking</t>
  </si>
  <si>
    <t>Check</t>
  </si>
  <si>
    <t>Resi</t>
  </si>
  <si>
    <t>Blend excl. Parking</t>
  </si>
  <si>
    <t>Total NSF</t>
  </si>
  <si>
    <t>+</t>
  </si>
  <si>
    <t>Parcel 1</t>
  </si>
  <si>
    <t>Original Site</t>
  </si>
  <si>
    <t>Parcel 2</t>
  </si>
  <si>
    <t>Parcel 3</t>
  </si>
  <si>
    <t>Parcel 4</t>
  </si>
  <si>
    <t>Parcel 5</t>
  </si>
  <si>
    <t>Parcel 6</t>
  </si>
  <si>
    <t>Parcel 7</t>
  </si>
  <si>
    <t>Parcel 8</t>
  </si>
  <si>
    <t>Parcel 9</t>
  </si>
  <si>
    <t>Parcel 10</t>
  </si>
  <si>
    <t>Parcel 11</t>
  </si>
  <si>
    <t>Developable</t>
  </si>
  <si>
    <t>Parcel 12</t>
  </si>
  <si>
    <t>Studio</t>
  </si>
  <si>
    <t>Market</t>
  </si>
  <si>
    <t>Phase 1</t>
  </si>
  <si>
    <t>Phase 2</t>
  </si>
  <si>
    <t>Phase 3</t>
  </si>
  <si>
    <t>Global</t>
  </si>
  <si>
    <t>1 bedroom</t>
  </si>
  <si>
    <t>2 bedroom</t>
  </si>
  <si>
    <t>3 bedroom</t>
  </si>
  <si>
    <t>4 bedroom</t>
  </si>
  <si>
    <t>total revenue</t>
  </si>
  <si>
    <t>Keys</t>
  </si>
  <si>
    <t>Structural</t>
  </si>
  <si>
    <t>Parking</t>
  </si>
  <si>
    <t>Sources &amp; Uses</t>
  </si>
  <si>
    <t>Predevelopment</t>
  </si>
  <si>
    <t>%</t>
  </si>
  <si>
    <t>Sources</t>
  </si>
  <si>
    <t>HUD Brownfield Grant</t>
  </si>
  <si>
    <t>Total Sources</t>
  </si>
  <si>
    <t>Uses</t>
  </si>
  <si>
    <t>Acquisition Costs</t>
  </si>
  <si>
    <t>Demolition Costs</t>
  </si>
  <si>
    <t>Remediation Costs</t>
  </si>
  <si>
    <t>Financing Costs</t>
  </si>
  <si>
    <t>Developer Fee</t>
  </si>
  <si>
    <t>Total Uses</t>
  </si>
  <si>
    <t>Construction</t>
  </si>
  <si>
    <t>Senior Construction Loan</t>
  </si>
  <si>
    <t>CITC Equity</t>
  </si>
  <si>
    <t>Permanent</t>
  </si>
  <si>
    <t>Senior Permanent Bank Loan</t>
  </si>
  <si>
    <t>City Brownfield Bonus</t>
  </si>
  <si>
    <t>University of Miami Grant</t>
  </si>
  <si>
    <t>City of Miami Grants</t>
  </si>
  <si>
    <t>HUD Section 202 Funds</t>
  </si>
  <si>
    <t>HIPI-Qualifying Equity</t>
  </si>
  <si>
    <t xml:space="preserve"> Phase 1 </t>
  </si>
  <si>
    <t xml:space="preserve"> Phase 2 </t>
  </si>
  <si>
    <t xml:space="preserve"> Phase 3 </t>
  </si>
  <si>
    <t xml:space="preserve"> Total Uses </t>
  </si>
  <si>
    <t>Demolition Area (sqft)</t>
  </si>
  <si>
    <t>Gross square footage</t>
  </si>
  <si>
    <t>Percentage of GSF</t>
  </si>
  <si>
    <t>Net square footage</t>
  </si>
  <si>
    <t>Acquisition Costs:</t>
  </si>
  <si>
    <t>Acquisition: Land</t>
  </si>
  <si>
    <t>SUBTOTAL: ACQUISITION COST</t>
  </si>
  <si>
    <t>Storm water total</t>
  </si>
  <si>
    <t>Total Infrastructure costs</t>
  </si>
  <si>
    <t>Construction Costs:</t>
  </si>
  <si>
    <t>New construction</t>
  </si>
  <si>
    <t>Solar Cost</t>
  </si>
  <si>
    <t>5% Construction Contingency</t>
  </si>
  <si>
    <t>SUBTOTAL: CONSTRUCTION COST</t>
  </si>
  <si>
    <t>Market Rate</t>
  </si>
  <si>
    <t>Accounting &amp; Cost Certificat.</t>
  </si>
  <si>
    <t>Appraisal</t>
  </si>
  <si>
    <t>Architecture &amp; Engineering (5%)</t>
  </si>
  <si>
    <t>Clerk of the Works</t>
  </si>
  <si>
    <t>Construction Bond</t>
  </si>
  <si>
    <t>LEED Certification Fee</t>
  </si>
  <si>
    <t>Environmental Engineer</t>
  </si>
  <si>
    <t>Inspecting Engineer</t>
  </si>
  <si>
    <t>Insurance</t>
  </si>
  <si>
    <t>Legal</t>
  </si>
  <si>
    <t>Lender Legal</t>
  </si>
  <si>
    <t>Marketing and Rent Up</t>
  </si>
  <si>
    <t>Real Estate Taxes</t>
  </si>
  <si>
    <t>Survey and Permits</t>
  </si>
  <si>
    <t>Title and Recording</t>
  </si>
  <si>
    <t>5% Soft Cost Contingency</t>
  </si>
  <si>
    <t>SUBTOTAL: SOFT COSTS</t>
  </si>
  <si>
    <t>Construction Senior Loan Origination Fee</t>
  </si>
  <si>
    <t>Construction Senior Loan Capitalized Interest</t>
  </si>
  <si>
    <t>TIF Loan Origination Fee</t>
  </si>
  <si>
    <t>TIF Loan Capitalized Interest</t>
  </si>
  <si>
    <t>RRIF Loan Origination Fee</t>
  </si>
  <si>
    <t>RRIF Loan Capitalized Interest</t>
  </si>
  <si>
    <t>RRIF Loan Credit Enhancement</t>
  </si>
  <si>
    <t>LIHTC &amp; DHCD Origination Fees</t>
  </si>
  <si>
    <t>Total financing costs</t>
  </si>
  <si>
    <t>Capitalized Reserves</t>
  </si>
  <si>
    <t>Lease up reserve</t>
  </si>
  <si>
    <t>Total reserves</t>
  </si>
  <si>
    <t>Total Other costs</t>
  </si>
  <si>
    <t>Total  DEVELOPMENT COST</t>
  </si>
  <si>
    <t>Program</t>
  </si>
  <si>
    <t>Square Footage</t>
  </si>
  <si>
    <t>Per Unit Conversion</t>
  </si>
  <si>
    <t>Units</t>
  </si>
  <si>
    <t>Parking Rate (Zoning)</t>
  </si>
  <si>
    <t>Parking Required (Zoning)</t>
  </si>
  <si>
    <t>Parking Rate (TOD Waiver)</t>
  </si>
  <si>
    <t>Parking Required (TOD Waiver)</t>
  </si>
  <si>
    <t>Parking Variance Rate</t>
  </si>
  <si>
    <t>Resulting Parking Requirement</t>
  </si>
  <si>
    <t>Commercial</t>
  </si>
  <si>
    <t>Note:</t>
  </si>
  <si>
    <t xml:space="preserve">The required parking program under the zoning code creates an unreasonable parking requirement for a transit-oriented site. Even with the permitted reductions in parking allowed as a transit-accessible development under the zoning code, such a parking program would still require too many parking spaces. As a result, we propose a market-driven program achieved through a variance process. To meet the "Transit Payment" goal, the Project will contribute over $8 million in train station improvements, financed through a Railroad Infrastructure Finance (RRIF) loan from USDOT. </t>
  </si>
  <si>
    <t>Date</t>
  </si>
  <si>
    <t>Year</t>
  </si>
  <si>
    <t>Assesable Base</t>
  </si>
  <si>
    <t>Incremental Value</t>
  </si>
  <si>
    <t>City Increment</t>
  </si>
  <si>
    <t>County Increment</t>
  </si>
  <si>
    <t>95% Factor</t>
  </si>
  <si>
    <t>Max DSCR</t>
  </si>
  <si>
    <t>City Mill</t>
  </si>
  <si>
    <t>County Mill</t>
  </si>
  <si>
    <t>Assessment Rate</t>
  </si>
  <si>
    <t>School Percentage</t>
  </si>
  <si>
    <t>Fully Loaded Cap Rate1</t>
  </si>
  <si>
    <t>Every</t>
  </si>
  <si>
    <t>3 years</t>
  </si>
  <si>
    <t>Minimum DSCR</t>
  </si>
  <si>
    <t>Initial Valuation</t>
  </si>
  <si>
    <t>Existing</t>
  </si>
  <si>
    <t>Acquired Properties</t>
  </si>
  <si>
    <t>Phase I Valuation</t>
  </si>
  <si>
    <t>New Value of Properties</t>
  </si>
  <si>
    <t>Phase II Valuation</t>
  </si>
  <si>
    <t>Phase III Valuation</t>
  </si>
  <si>
    <t>NPV</t>
  </si>
  <si>
    <t>Financing</t>
  </si>
  <si>
    <t>LIBOR (one-year)</t>
  </si>
  <si>
    <t>LTC</t>
  </si>
  <si>
    <t>L + 375</t>
  </si>
  <si>
    <t>All-in Rate</t>
  </si>
  <si>
    <t>LIHTC Origination Fee</t>
  </si>
  <si>
    <t>Origination Fee</t>
  </si>
  <si>
    <t>Financing Costs Subtotal</t>
  </si>
  <si>
    <t>Average Utilization (Draw)</t>
  </si>
  <si>
    <t>Permanent Senior Bank Loan</t>
  </si>
  <si>
    <t>Average Utilization</t>
  </si>
  <si>
    <t>Credit Premium</t>
  </si>
  <si>
    <t>Market-rate Rental Housing</t>
  </si>
  <si>
    <t>Market Rental Housing</t>
  </si>
  <si>
    <t>Affordable Rental Housing</t>
  </si>
  <si>
    <t xml:space="preserve"> Affordable Rental Housing</t>
  </si>
  <si>
    <t>University of Miami Hospital Grant (non-profit grant)</t>
  </si>
  <si>
    <t>Team Number: 2019-557</t>
  </si>
  <si>
    <t>3-Bedroom</t>
  </si>
  <si>
    <t>4-Bedroom</t>
  </si>
  <si>
    <t>2-Bedroom</t>
  </si>
  <si>
    <t>1-Bedrom</t>
  </si>
  <si>
    <t>Market Rate Rental Comparables</t>
  </si>
  <si>
    <t>Source: https://www.miamidade.gov/global/housing/fair-market-rents.page</t>
  </si>
  <si>
    <t>Value</t>
  </si>
  <si>
    <t xml:space="preserve">Price index </t>
  </si>
  <si>
    <t>Source: edzarenski.com construction inflation analytics</t>
  </si>
  <si>
    <r>
      <t>Source:</t>
    </r>
    <r>
      <rPr>
        <sz val="10"/>
        <color theme="1"/>
        <rFont val="Century Gothic"/>
        <family val="1"/>
      </rPr>
      <t xml:space="preserve"> zillow.com</t>
    </r>
  </si>
  <si>
    <t>Gross Square feet</t>
  </si>
  <si>
    <t>Residential Unit Estimation</t>
  </si>
  <si>
    <t>Factor</t>
  </si>
  <si>
    <r>
      <rPr>
        <b/>
        <sz val="10"/>
        <color theme="1"/>
        <rFont val="Century Gothic"/>
        <family val="1"/>
      </rPr>
      <t>Source</t>
    </r>
    <r>
      <rPr>
        <sz val="10"/>
        <color theme="1"/>
        <rFont val="Century Gothic"/>
        <family val="1"/>
      </rPr>
      <t>: Hotels.com</t>
    </r>
  </si>
  <si>
    <r>
      <rPr>
        <b/>
        <sz val="10"/>
        <color theme="1"/>
        <rFont val="Century Gothic"/>
        <family val="1"/>
      </rPr>
      <t>Source</t>
    </r>
    <r>
      <rPr>
        <sz val="10"/>
        <color theme="1"/>
        <rFont val="Century Gothic"/>
        <family val="1"/>
      </rPr>
      <t>: rsmeans.com estimates (2011) for Miami-Dade County</t>
    </r>
  </si>
  <si>
    <t>Construction Inflation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</si>
</sst>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.00_);_([$$-409]* \(#,##0.00\);_([$$-409]* &quot;-&quot;??_);_(@_)"/>
    <numFmt numFmtId="165" formatCode="&quot;$&quot;#,##0.0_);[Red]\(&quot;$&quot;#,##0.0\)"/>
    <numFmt numFmtId="166" formatCode="0.0%"/>
    <numFmt numFmtId="167" formatCode="_([$$-409]* #,##0_);_([$$-409]* \(#,##0\);_([$$-409]* &quot;-&quot;??_);_(@_)"/>
    <numFmt numFmtId="168" formatCode="_(* #,##0_);_(* \(#,##0\);_(* &quot;-&quot;??_);_(@_)"/>
    <numFmt numFmtId="169" formatCode="_(&quot;$&quot;* #,##0_);_(&quot;$&quot;* \(#,##0\);_(&quot;$&quot;* &quot;-&quot;??_);_(@_)"/>
    <numFmt numFmtId="170" formatCode="0.0"/>
    <numFmt numFmtId="171" formatCode="&quot;Comparable&quot;\ 0"/>
    <numFmt numFmtId="172" formatCode="&quot;$&quot;#,##0.0_);\(&quot;$&quot;#,##0.0\)"/>
    <numFmt numFmtId="173" formatCode="_(* #,##0.0_);_(* \(#,##0.0\);_(* &quot;-&quot;?_);_(@_)"/>
    <numFmt numFmtId="174" formatCode="0.000"/>
  </numFmts>
  <fonts count="4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sz val="10"/>
      <name val="Century Gothic"/>
      <family val="1"/>
    </font>
    <font>
      <b/>
      <sz val="10"/>
      <name val="Century Gothic"/>
      <family val="1"/>
    </font>
    <font>
      <b/>
      <sz val="10"/>
      <color theme="0"/>
      <name val="Century Gothic"/>
      <family val="1"/>
    </font>
    <font>
      <sz val="10"/>
      <color theme="0"/>
      <name val="Century Gothic"/>
      <family val="1"/>
    </font>
    <font>
      <b/>
      <sz val="10"/>
      <color rgb="FFFFFFFF"/>
      <name val="Century Gothic"/>
      <family val="1"/>
    </font>
    <font>
      <sz val="10"/>
      <color rgb="FF000000"/>
      <name val="Century Gothic"/>
      <family val="1"/>
    </font>
    <font>
      <b/>
      <sz val="10"/>
      <color rgb="FF000000"/>
      <name val="Century Gothic"/>
      <family val="1"/>
    </font>
    <font>
      <i/>
      <sz val="10"/>
      <name val="Century Gothic"/>
      <family val="1"/>
    </font>
    <font>
      <sz val="10"/>
      <color rgb="FFFFFFFF"/>
      <name val="Century Gothic"/>
      <family val="1"/>
    </font>
    <font>
      <sz val="12"/>
      <name val="Century Gothic"/>
      <family val="1"/>
    </font>
    <font>
      <sz val="12"/>
      <color rgb="FFFF0000"/>
      <name val="Century Gothic"/>
      <family val="1"/>
    </font>
    <font>
      <sz val="12"/>
      <color rgb="FF0000FF"/>
      <name val="Century Gothic"/>
      <family val="1"/>
    </font>
    <font>
      <b/>
      <sz val="12"/>
      <name val="Century Gothic"/>
      <family val="1"/>
    </font>
    <font>
      <b/>
      <sz val="12"/>
      <color theme="0"/>
      <name val="Century Gothic"/>
      <family val="1"/>
    </font>
    <font>
      <b/>
      <sz val="10"/>
      <color indexed="9"/>
      <name val="Century Gothic"/>
      <family val="1"/>
    </font>
    <font>
      <sz val="10"/>
      <color indexed="9"/>
      <name val="Century Gothic"/>
      <family val="1"/>
    </font>
    <font>
      <sz val="10"/>
      <color indexed="12"/>
      <name val="Century Gothic"/>
      <family val="1"/>
    </font>
    <font>
      <sz val="9"/>
      <name val="Century Gothic"/>
      <family val="1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Century Gothic"/>
      <family val="1"/>
    </font>
    <font>
      <u/>
      <sz val="10"/>
      <color theme="1"/>
      <name val="Century Gothic"/>
      <family val="1"/>
    </font>
    <font>
      <b/>
      <sz val="10"/>
      <color theme="1"/>
      <name val="Century Gothic"/>
      <family val="1"/>
    </font>
    <font>
      <sz val="10"/>
      <color rgb="FF333333"/>
      <name val="Tahoma"/>
      <family val="2"/>
    </font>
    <font>
      <b/>
      <sz val="12"/>
      <color indexed="9"/>
      <name val="Century Gothic"/>
      <family val="1"/>
    </font>
    <font>
      <i/>
      <sz val="10"/>
      <color rgb="FF00B050"/>
      <name val="Century Gothic"/>
      <family val="1"/>
    </font>
    <font>
      <b/>
      <i/>
      <sz val="10"/>
      <color theme="0"/>
      <name val="Century Gothic"/>
      <family val="1"/>
    </font>
    <font>
      <b/>
      <sz val="10"/>
      <color rgb="FF0000FF"/>
      <name val="Century Gothic"/>
      <family val="1"/>
    </font>
    <font>
      <sz val="10"/>
      <color rgb="FF0000FF"/>
      <name val="Century Gothic"/>
      <family val="1"/>
    </font>
    <font>
      <i/>
      <sz val="10"/>
      <color rgb="FF0000FF"/>
      <name val="Century Gothic"/>
      <family val="1"/>
    </font>
    <font>
      <b/>
      <i/>
      <sz val="10"/>
      <color rgb="FFFF0000"/>
      <name val="Century Gothic"/>
      <family val="1"/>
    </font>
    <font>
      <sz val="10"/>
      <color rgb="FF00B050"/>
      <name val="Century Gothic"/>
      <family val="1"/>
    </font>
    <font>
      <i/>
      <sz val="10"/>
      <color theme="1"/>
      <name val="Century Gothic"/>
      <family val="1"/>
    </font>
    <font>
      <sz val="10"/>
      <color rgb="FF1B75BC"/>
      <name val="Century Gothic"/>
      <family val="1"/>
    </font>
    <font>
      <sz val="10"/>
      <color rgb="FF203764"/>
      <name val="Century Gothic"/>
      <family val="1"/>
    </font>
  </fonts>
  <fills count="1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1B75BC"/>
        <bgColor indexed="64"/>
      </patternFill>
    </fill>
    <fill>
      <patternFill patternType="solid">
        <fgColor rgb="FFDA1C5C"/>
        <bgColor indexed="64"/>
      </patternFill>
    </fill>
    <fill>
      <patternFill patternType="solid">
        <fgColor rgb="FF00A74B"/>
        <bgColor indexed="64"/>
      </patternFill>
    </fill>
    <fill>
      <patternFill patternType="solid">
        <fgColor rgb="FFEFECE0"/>
        <bgColor indexed="64"/>
      </patternFill>
    </fill>
  </fills>
  <borders count="10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thin">
        <color rgb="FF000000"/>
      </bottom>
      <diagonal/>
    </border>
    <border>
      <left/>
      <right style="medium">
        <color auto="1"/>
      </right>
      <top/>
      <bottom style="thin">
        <color rgb="FF000000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/>
      <right style="medium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tted">
        <color indexed="64"/>
      </bottom>
      <diagonal/>
    </border>
    <border>
      <left/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medium">
        <color auto="1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</borders>
  <cellStyleXfs count="6">
    <xf numFmtId="0" fontId="0" fillId="0" borderId="0"/>
    <xf numFmtId="0" fontId="1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1202">
    <xf numFmtId="0" fontId="0" fillId="0" borderId="0" xfId="0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37" fontId="6" fillId="0" borderId="0" xfId="0" applyNumberFormat="1" applyFont="1"/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0" applyFont="1" applyBorder="1"/>
    <xf numFmtId="0" fontId="6" fillId="0" borderId="0" xfId="0" applyFont="1" applyFill="1" applyBorder="1" applyAlignment="1">
      <alignment horizontal="center"/>
    </xf>
    <xf numFmtId="0" fontId="7" fillId="0" borderId="0" xfId="0" applyFont="1"/>
    <xf numFmtId="10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9" fontId="6" fillId="0" borderId="5" xfId="0" applyNumberFormat="1" applyFont="1" applyFill="1" applyBorder="1" applyAlignment="1">
      <alignment horizontal="center"/>
    </xf>
    <xf numFmtId="43" fontId="6" fillId="0" borderId="0" xfId="0" applyNumberFormat="1" applyFont="1"/>
    <xf numFmtId="0" fontId="6" fillId="13" borderId="0" xfId="0" applyFont="1" applyFill="1" applyBorder="1" applyAlignment="1">
      <alignment horizontal="center"/>
    </xf>
    <xf numFmtId="0" fontId="6" fillId="13" borderId="0" xfId="0" applyFont="1" applyFill="1" applyBorder="1"/>
    <xf numFmtId="0" fontId="9" fillId="13" borderId="0" xfId="0" applyFont="1" applyFill="1" applyBorder="1"/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/>
    </xf>
    <xf numFmtId="0" fontId="6" fillId="0" borderId="0" xfId="0" applyFont="1" applyAlignment="1">
      <alignment wrapText="1"/>
    </xf>
    <xf numFmtId="9" fontId="6" fillId="0" borderId="0" xfId="0" applyNumberFormat="1" applyFont="1" applyAlignment="1">
      <alignment horizontal="center"/>
    </xf>
    <xf numFmtId="6" fontId="6" fillId="0" borderId="0" xfId="0" applyNumberFormat="1" applyFont="1"/>
    <xf numFmtId="3" fontId="6" fillId="0" borderId="0" xfId="0" applyNumberFormat="1" applyFont="1" applyAlignment="1">
      <alignment horizontal="center"/>
    </xf>
    <xf numFmtId="0" fontId="6" fillId="0" borderId="0" xfId="0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7" fontId="6" fillId="0" borderId="0" xfId="0" applyNumberFormat="1" applyFont="1" applyBorder="1"/>
    <xf numFmtId="0" fontId="8" fillId="13" borderId="0" xfId="0" applyFont="1" applyFill="1" applyBorder="1"/>
    <xf numFmtId="6" fontId="6" fillId="0" borderId="1" xfId="0" applyNumberFormat="1" applyFont="1" applyFill="1" applyBorder="1" applyAlignment="1">
      <alignment horizontal="right"/>
    </xf>
    <xf numFmtId="0" fontId="7" fillId="6" borderId="0" xfId="0" applyFont="1" applyFill="1" applyBorder="1"/>
    <xf numFmtId="0" fontId="6" fillId="6" borderId="0" xfId="0" applyFont="1" applyFill="1" applyBorder="1" applyAlignment="1">
      <alignment horizontal="center"/>
    </xf>
    <xf numFmtId="0" fontId="6" fillId="6" borderId="0" xfId="0" applyFont="1" applyFill="1" applyBorder="1"/>
    <xf numFmtId="0" fontId="6" fillId="6" borderId="0" xfId="0" applyFont="1" applyFill="1" applyBorder="1" applyAlignment="1">
      <alignment horizontal="right"/>
    </xf>
    <xf numFmtId="9" fontId="6" fillId="6" borderId="0" xfId="0" applyNumberFormat="1" applyFont="1" applyFill="1" applyBorder="1" applyAlignment="1">
      <alignment horizontal="center"/>
    </xf>
    <xf numFmtId="2" fontId="6" fillId="6" borderId="0" xfId="0" applyNumberFormat="1" applyFont="1" applyFill="1" applyBorder="1" applyAlignment="1">
      <alignment horizontal="center"/>
    </xf>
    <xf numFmtId="3" fontId="6" fillId="6" borderId="0" xfId="0" applyNumberFormat="1" applyFont="1" applyFill="1" applyBorder="1" applyAlignment="1">
      <alignment horizontal="right"/>
    </xf>
    <xf numFmtId="6" fontId="6" fillId="6" borderId="0" xfId="0" applyNumberFormat="1" applyFont="1" applyFill="1" applyBorder="1" applyAlignment="1">
      <alignment horizontal="right"/>
    </xf>
    <xf numFmtId="0" fontId="6" fillId="6" borderId="0" xfId="0" applyFont="1" applyFill="1" applyBorder="1" applyAlignment="1">
      <alignment horizontal="right" wrapText="1"/>
    </xf>
    <xf numFmtId="9" fontId="6" fillId="6" borderId="0" xfId="0" applyNumberFormat="1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/>
    </xf>
    <xf numFmtId="6" fontId="6" fillId="6" borderId="1" xfId="0" applyNumberFormat="1" applyFont="1" applyFill="1" applyBorder="1" applyAlignment="1">
      <alignment horizontal="right"/>
    </xf>
    <xf numFmtId="9" fontId="6" fillId="6" borderId="0" xfId="0" applyNumberFormat="1" applyFont="1" applyFill="1" applyBorder="1" applyAlignment="1">
      <alignment horizontal="right"/>
    </xf>
    <xf numFmtId="10" fontId="6" fillId="6" borderId="0" xfId="0" applyNumberFormat="1" applyFont="1" applyFill="1" applyBorder="1" applyAlignment="1">
      <alignment horizontal="right"/>
    </xf>
    <xf numFmtId="164" fontId="6" fillId="6" borderId="0" xfId="0" applyNumberFormat="1" applyFont="1" applyFill="1" applyBorder="1" applyAlignment="1">
      <alignment horizontal="right"/>
    </xf>
    <xf numFmtId="167" fontId="6" fillId="6" borderId="0" xfId="0" applyNumberFormat="1" applyFont="1" applyFill="1" applyBorder="1"/>
    <xf numFmtId="0" fontId="6" fillId="6" borderId="1" xfId="0" applyFont="1" applyFill="1" applyBorder="1"/>
    <xf numFmtId="0" fontId="6" fillId="6" borderId="2" xfId="0" applyFont="1" applyFill="1" applyBorder="1" applyAlignment="1">
      <alignment horizontal="right"/>
    </xf>
    <xf numFmtId="9" fontId="6" fillId="6" borderId="5" xfId="0" applyNumberFormat="1" applyFont="1" applyFill="1" applyBorder="1" applyAlignment="1">
      <alignment horizontal="center"/>
    </xf>
    <xf numFmtId="164" fontId="6" fillId="6" borderId="2" xfId="0" applyNumberFormat="1" applyFont="1" applyFill="1" applyBorder="1" applyAlignment="1">
      <alignment horizontal="center"/>
    </xf>
    <xf numFmtId="9" fontId="6" fillId="6" borderId="2" xfId="0" applyNumberFormat="1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6" fontId="6" fillId="6" borderId="0" xfId="0" applyNumberFormat="1" applyFont="1" applyFill="1" applyBorder="1" applyAlignment="1">
      <alignment horizontal="center"/>
    </xf>
    <xf numFmtId="0" fontId="6" fillId="6" borderId="1" xfId="0" applyFont="1" applyFill="1" applyBorder="1" applyAlignment="1">
      <alignment horizontal="right"/>
    </xf>
    <xf numFmtId="9" fontId="6" fillId="6" borderId="1" xfId="0" applyNumberFormat="1" applyFont="1" applyFill="1" applyBorder="1" applyAlignment="1">
      <alignment horizontal="center"/>
    </xf>
    <xf numFmtId="164" fontId="6" fillId="6" borderId="0" xfId="0" applyNumberFormat="1" applyFont="1" applyFill="1" applyBorder="1" applyAlignment="1">
      <alignment horizontal="center"/>
    </xf>
    <xf numFmtId="44" fontId="6" fillId="6" borderId="0" xfId="3" applyFont="1" applyFill="1" applyBorder="1" applyAlignment="1">
      <alignment horizontal="center"/>
    </xf>
    <xf numFmtId="164" fontId="6" fillId="6" borderId="1" xfId="0" applyNumberFormat="1" applyFont="1" applyFill="1" applyBorder="1" applyAlignment="1">
      <alignment horizontal="right"/>
    </xf>
    <xf numFmtId="167" fontId="6" fillId="6" borderId="1" xfId="0" applyNumberFormat="1" applyFont="1" applyFill="1" applyBorder="1"/>
    <xf numFmtId="0" fontId="6" fillId="13" borderId="0" xfId="0" applyFont="1" applyFill="1" applyBorder="1" applyAlignment="1">
      <alignment horizontal="right"/>
    </xf>
    <xf numFmtId="0" fontId="9" fillId="13" borderId="0" xfId="0" applyFont="1" applyFill="1" applyBorder="1" applyAlignment="1">
      <alignment horizontal="center"/>
    </xf>
    <xf numFmtId="0" fontId="9" fillId="13" borderId="0" xfId="0" applyFont="1" applyFill="1" applyBorder="1" applyAlignment="1">
      <alignment horizontal="right"/>
    </xf>
    <xf numFmtId="0" fontId="6" fillId="6" borderId="0" xfId="0" applyNumberFormat="1" applyFont="1" applyFill="1" applyBorder="1" applyAlignment="1">
      <alignment horizontal="center"/>
    </xf>
    <xf numFmtId="6" fontId="6" fillId="0" borderId="0" xfId="0" applyNumberFormat="1" applyFont="1" applyFill="1" applyBorder="1" applyAlignment="1">
      <alignment horizontal="center"/>
    </xf>
    <xf numFmtId="6" fontId="9" fillId="13" borderId="0" xfId="0" applyNumberFormat="1" applyFont="1" applyFill="1" applyBorder="1" applyAlignment="1">
      <alignment horizontal="right"/>
    </xf>
    <xf numFmtId="169" fontId="3" fillId="6" borderId="0" xfId="3" applyNumberFormat="1" applyFont="1" applyFill="1" applyBorder="1" applyAlignment="1">
      <alignment horizontal="center"/>
    </xf>
    <xf numFmtId="169" fontId="6" fillId="0" borderId="0" xfId="0" applyNumberFormat="1" applyFont="1"/>
    <xf numFmtId="10" fontId="6" fillId="0" borderId="0" xfId="0" applyNumberFormat="1" applyFont="1"/>
    <xf numFmtId="169" fontId="6" fillId="6" borderId="0" xfId="0" applyNumberFormat="1" applyFont="1" applyFill="1" applyBorder="1"/>
    <xf numFmtId="10" fontId="6" fillId="6" borderId="0" xfId="0" applyNumberFormat="1" applyFont="1" applyFill="1" applyBorder="1"/>
    <xf numFmtId="169" fontId="6" fillId="6" borderId="1" xfId="0" applyNumberFormat="1" applyFont="1" applyFill="1" applyBorder="1"/>
    <xf numFmtId="0" fontId="6" fillId="6" borderId="0" xfId="0" applyFont="1" applyFill="1"/>
    <xf numFmtId="169" fontId="6" fillId="6" borderId="0" xfId="0" applyNumberFormat="1" applyFont="1" applyFill="1"/>
    <xf numFmtId="0" fontId="11" fillId="0" borderId="0" xfId="0" applyFont="1" applyFill="1"/>
    <xf numFmtId="0" fontId="13" fillId="0" borderId="0" xfId="0" applyFont="1"/>
    <xf numFmtId="6" fontId="7" fillId="0" borderId="0" xfId="0" applyNumberFormat="1" applyFont="1"/>
    <xf numFmtId="5" fontId="6" fillId="0" borderId="0" xfId="0" applyNumberFormat="1" applyFont="1"/>
    <xf numFmtId="6" fontId="6" fillId="0" borderId="0" xfId="0" applyNumberFormat="1" applyFont="1" applyBorder="1"/>
    <xf numFmtId="37" fontId="6" fillId="0" borderId="0" xfId="0" applyNumberFormat="1" applyFont="1" applyBorder="1"/>
    <xf numFmtId="8" fontId="6" fillId="0" borderId="0" xfId="0" applyNumberFormat="1" applyFont="1"/>
    <xf numFmtId="6" fontId="6" fillId="10" borderId="1" xfId="0" applyNumberFormat="1" applyFont="1" applyFill="1" applyBorder="1"/>
    <xf numFmtId="6" fontId="6" fillId="6" borderId="0" xfId="0" applyNumberFormat="1" applyFont="1" applyFill="1" applyBorder="1"/>
    <xf numFmtId="5" fontId="6" fillId="6" borderId="0" xfId="0" applyNumberFormat="1" applyFont="1" applyFill="1" applyBorder="1"/>
    <xf numFmtId="8" fontId="6" fillId="6" borderId="0" xfId="0" applyNumberFormat="1" applyFont="1" applyFill="1" applyBorder="1"/>
    <xf numFmtId="37" fontId="6" fillId="6" borderId="1" xfId="0" applyNumberFormat="1" applyFont="1" applyFill="1" applyBorder="1"/>
    <xf numFmtId="6" fontId="6" fillId="6" borderId="0" xfId="0" applyNumberFormat="1" applyFont="1" applyFill="1"/>
    <xf numFmtId="8" fontId="6" fillId="6" borderId="1" xfId="0" applyNumberFormat="1" applyFont="1" applyFill="1" applyBorder="1"/>
    <xf numFmtId="0" fontId="7" fillId="6" borderId="0" xfId="0" applyFont="1" applyFill="1" applyBorder="1" applyAlignment="1">
      <alignment horizontal="center"/>
    </xf>
    <xf numFmtId="37" fontId="6" fillId="6" borderId="0" xfId="0" applyNumberFormat="1" applyFont="1" applyFill="1" applyBorder="1" applyAlignment="1">
      <alignment horizontal="center" vertical="center"/>
    </xf>
    <xf numFmtId="37" fontId="7" fillId="6" borderId="0" xfId="0" applyNumberFormat="1" applyFont="1" applyFill="1" applyBorder="1" applyAlignment="1">
      <alignment horizontal="center"/>
    </xf>
    <xf numFmtId="167" fontId="6" fillId="6" borderId="0" xfId="0" applyNumberFormat="1" applyFont="1" applyFill="1" applyBorder="1" applyAlignment="1">
      <alignment horizontal="center"/>
    </xf>
    <xf numFmtId="167" fontId="6" fillId="6" borderId="0" xfId="0" applyNumberFormat="1" applyFont="1" applyFill="1" applyBorder="1" applyAlignment="1">
      <alignment horizontal="right"/>
    </xf>
    <xf numFmtId="10" fontId="6" fillId="6" borderId="0" xfId="0" applyNumberFormat="1" applyFont="1" applyFill="1" applyBorder="1" applyAlignment="1">
      <alignment horizontal="center"/>
    </xf>
    <xf numFmtId="10" fontId="6" fillId="6" borderId="1" xfId="0" applyNumberFormat="1" applyFont="1" applyFill="1" applyBorder="1" applyAlignment="1">
      <alignment horizontal="center"/>
    </xf>
    <xf numFmtId="164" fontId="6" fillId="6" borderId="1" xfId="0" applyNumberFormat="1" applyFont="1" applyFill="1" applyBorder="1" applyAlignment="1">
      <alignment horizontal="center"/>
    </xf>
    <xf numFmtId="0" fontId="9" fillId="13" borderId="2" xfId="0" applyFont="1" applyFill="1" applyBorder="1" applyAlignment="1">
      <alignment horizontal="center"/>
    </xf>
    <xf numFmtId="0" fontId="9" fillId="13" borderId="2" xfId="0" applyFont="1" applyFill="1" applyBorder="1" applyAlignment="1">
      <alignment horizontal="right"/>
    </xf>
    <xf numFmtId="169" fontId="7" fillId="6" borderId="0" xfId="0" applyNumberFormat="1" applyFont="1" applyFill="1" applyBorder="1"/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37" fontId="6" fillId="6" borderId="0" xfId="0" applyNumberFormat="1" applyFont="1" applyFill="1" applyBorder="1" applyAlignment="1">
      <alignment horizontal="center"/>
    </xf>
    <xf numFmtId="37" fontId="6" fillId="6" borderId="0" xfId="0" applyNumberFormat="1" applyFont="1" applyFill="1" applyBorder="1"/>
    <xf numFmtId="8" fontId="6" fillId="0" borderId="1" xfId="0" applyNumberFormat="1" applyFont="1" applyFill="1" applyBorder="1" applyAlignment="1">
      <alignment horizontal="center"/>
    </xf>
    <xf numFmtId="8" fontId="6" fillId="6" borderId="0" xfId="0" applyNumberFormat="1" applyFont="1" applyFill="1" applyBorder="1" applyAlignment="1">
      <alignment horizontal="center"/>
    </xf>
    <xf numFmtId="2" fontId="6" fillId="6" borderId="0" xfId="0" applyNumberFormat="1" applyFont="1" applyFill="1" applyBorder="1" applyAlignment="1">
      <alignment horizontal="center" wrapText="1"/>
    </xf>
    <xf numFmtId="8" fontId="6" fillId="0" borderId="0" xfId="0" applyNumberFormat="1" applyFont="1" applyFill="1" applyBorder="1" applyAlignment="1">
      <alignment horizontal="center"/>
    </xf>
    <xf numFmtId="8" fontId="9" fillId="13" borderId="0" xfId="0" applyNumberFormat="1" applyFont="1" applyFill="1" applyBorder="1" applyAlignment="1">
      <alignment horizontal="right"/>
    </xf>
    <xf numFmtId="169" fontId="6" fillId="6" borderId="1" xfId="3" applyNumberFormat="1" applyFont="1" applyFill="1" applyBorder="1" applyAlignment="1">
      <alignment horizontal="center"/>
    </xf>
    <xf numFmtId="169" fontId="6" fillId="0" borderId="1" xfId="3" applyNumberFormat="1" applyFont="1" applyBorder="1" applyAlignment="1">
      <alignment horizontal="center"/>
    </xf>
    <xf numFmtId="44" fontId="6" fillId="0" borderId="0" xfId="3" applyFont="1" applyFill="1" applyBorder="1" applyAlignment="1">
      <alignment horizontal="center"/>
    </xf>
    <xf numFmtId="0" fontId="15" fillId="2" borderId="0" xfId="0" applyFont="1" applyFill="1" applyAlignment="1">
      <alignment horizontal="right"/>
    </xf>
    <xf numFmtId="37" fontId="15" fillId="2" borderId="0" xfId="0" applyNumberFormat="1" applyFont="1" applyFill="1"/>
    <xf numFmtId="37" fontId="16" fillId="2" borderId="0" xfId="0" applyNumberFormat="1" applyFont="1" applyFill="1"/>
    <xf numFmtId="37" fontId="17" fillId="2" borderId="0" xfId="0" applyNumberFormat="1" applyFont="1" applyFill="1"/>
    <xf numFmtId="0" fontId="6" fillId="6" borderId="0" xfId="0" applyNumberFormat="1" applyFont="1" applyFill="1" applyBorder="1"/>
    <xf numFmtId="37" fontId="16" fillId="3" borderId="0" xfId="0" applyNumberFormat="1" applyFont="1" applyFill="1"/>
    <xf numFmtId="1" fontId="6" fillId="0" borderId="0" xfId="0" applyNumberFormat="1" applyFont="1"/>
    <xf numFmtId="0" fontId="15" fillId="4" borderId="0" xfId="0" applyFont="1" applyFill="1" applyAlignment="1">
      <alignment horizontal="right"/>
    </xf>
    <xf numFmtId="37" fontId="15" fillId="4" borderId="0" xfId="0" applyNumberFormat="1" applyFont="1" applyFill="1"/>
    <xf numFmtId="37" fontId="16" fillId="4" borderId="0" xfId="0" applyNumberFormat="1" applyFont="1" applyFill="1"/>
    <xf numFmtId="37" fontId="17" fillId="4" borderId="0" xfId="0" applyNumberFormat="1" applyFont="1" applyFill="1"/>
    <xf numFmtId="1" fontId="6" fillId="6" borderId="0" xfId="0" applyNumberFormat="1" applyFont="1" applyFill="1" applyBorder="1" applyAlignment="1">
      <alignment horizontal="center"/>
    </xf>
    <xf numFmtId="0" fontId="15" fillId="5" borderId="0" xfId="0" applyFont="1" applyFill="1" applyAlignment="1">
      <alignment horizontal="right"/>
    </xf>
    <xf numFmtId="37" fontId="15" fillId="5" borderId="0" xfId="0" applyNumberFormat="1" applyFont="1" applyFill="1"/>
    <xf numFmtId="37" fontId="17" fillId="5" borderId="0" xfId="0" applyNumberFormat="1" applyFont="1" applyFill="1"/>
    <xf numFmtId="37" fontId="16" fillId="5" borderId="0" xfId="0" applyNumberFormat="1" applyFont="1" applyFill="1"/>
    <xf numFmtId="1" fontId="6" fillId="6" borderId="0" xfId="0" applyNumberFormat="1" applyFont="1" applyFill="1" applyBorder="1"/>
    <xf numFmtId="6" fontId="9" fillId="13" borderId="0" xfId="0" applyNumberFormat="1" applyFont="1" applyFill="1" applyBorder="1" applyAlignment="1">
      <alignment horizontal="center"/>
    </xf>
    <xf numFmtId="6" fontId="9" fillId="13" borderId="0" xfId="0" applyNumberFormat="1" applyFont="1" applyFill="1" applyBorder="1"/>
    <xf numFmtId="37" fontId="18" fillId="7" borderId="6" xfId="0" applyNumberFormat="1" applyFont="1" applyFill="1" applyBorder="1"/>
    <xf numFmtId="10" fontId="18" fillId="7" borderId="6" xfId="0" applyNumberFormat="1" applyFont="1" applyFill="1" applyBorder="1"/>
    <xf numFmtId="37" fontId="18" fillId="7" borderId="0" xfId="0" applyNumberFormat="1" applyFont="1" applyFill="1" applyBorder="1"/>
    <xf numFmtId="0" fontId="6" fillId="6" borderId="10" xfId="0" applyFont="1" applyFill="1" applyBorder="1" applyAlignment="1">
      <alignment horizontal="center"/>
    </xf>
    <xf numFmtId="6" fontId="6" fillId="6" borderId="10" xfId="0" applyNumberFormat="1" applyFont="1" applyFill="1" applyBorder="1" applyAlignment="1">
      <alignment horizontal="center"/>
    </xf>
    <xf numFmtId="5" fontId="15" fillId="6" borderId="20" xfId="0" applyNumberFormat="1" applyFont="1" applyFill="1" applyBorder="1"/>
    <xf numFmtId="5" fontId="15" fillId="6" borderId="21" xfId="0" applyNumberFormat="1" applyFont="1" applyFill="1" applyBorder="1"/>
    <xf numFmtId="9" fontId="6" fillId="6" borderId="0" xfId="0" applyNumberFormat="1" applyFont="1" applyFill="1" applyAlignment="1">
      <alignment horizontal="center"/>
    </xf>
    <xf numFmtId="0" fontId="6" fillId="6" borderId="0" xfId="0" applyFont="1" applyFill="1" applyAlignment="1">
      <alignment horizontal="center"/>
    </xf>
    <xf numFmtId="168" fontId="6" fillId="6" borderId="0" xfId="2" applyNumberFormat="1" applyFont="1" applyFill="1" applyBorder="1" applyAlignment="1">
      <alignment horizontal="left" indent="3"/>
    </xf>
    <xf numFmtId="169" fontId="3" fillId="6" borderId="0" xfId="3" applyNumberFormat="1" applyFont="1" applyFill="1" applyBorder="1" applyAlignment="1">
      <alignment horizontal="right"/>
    </xf>
    <xf numFmtId="9" fontId="6" fillId="6" borderId="1" xfId="0" applyNumberFormat="1" applyFont="1" applyFill="1" applyBorder="1" applyAlignment="1">
      <alignment horizontal="center" wrapText="1"/>
    </xf>
    <xf numFmtId="8" fontId="6" fillId="6" borderId="1" xfId="0" applyNumberFormat="1" applyFont="1" applyFill="1" applyBorder="1" applyAlignment="1">
      <alignment horizontal="center" wrapText="1"/>
    </xf>
    <xf numFmtId="43" fontId="6" fillId="6" borderId="0" xfId="0" applyNumberFormat="1" applyFont="1" applyFill="1"/>
    <xf numFmtId="0" fontId="6" fillId="0" borderId="37" xfId="0" applyFont="1" applyBorder="1"/>
    <xf numFmtId="0" fontId="6" fillId="0" borderId="38" xfId="0" applyFont="1" applyBorder="1"/>
    <xf numFmtId="0" fontId="6" fillId="0" borderId="22" xfId="0" applyFont="1" applyBorder="1"/>
    <xf numFmtId="0" fontId="6" fillId="0" borderId="23" xfId="0" applyFont="1" applyBorder="1"/>
    <xf numFmtId="0" fontId="6" fillId="0" borderId="39" xfId="0" applyFont="1" applyBorder="1"/>
    <xf numFmtId="6" fontId="6" fillId="0" borderId="23" xfId="0" applyNumberFormat="1" applyFont="1" applyBorder="1"/>
    <xf numFmtId="0" fontId="7" fillId="0" borderId="22" xfId="0" applyFont="1" applyBorder="1"/>
    <xf numFmtId="6" fontId="6" fillId="0" borderId="21" xfId="0" applyNumberFormat="1" applyFont="1" applyBorder="1"/>
    <xf numFmtId="0" fontId="6" fillId="0" borderId="0" xfId="1" applyFont="1" applyAlignment="1">
      <alignment vertical="center"/>
    </xf>
    <xf numFmtId="0" fontId="6" fillId="0" borderId="0" xfId="1" applyFont="1"/>
    <xf numFmtId="0" fontId="7" fillId="0" borderId="2" xfId="1" applyFont="1" applyBorder="1"/>
    <xf numFmtId="0" fontId="7" fillId="0" borderId="0" xfId="1" applyFont="1" applyBorder="1" applyAlignment="1">
      <alignment horizontal="left"/>
    </xf>
    <xf numFmtId="0" fontId="6" fillId="0" borderId="0" xfId="1" applyFont="1" applyBorder="1"/>
    <xf numFmtId="0" fontId="7" fillId="0" borderId="4" xfId="1" applyFont="1" applyBorder="1"/>
    <xf numFmtId="0" fontId="7" fillId="0" borderId="1" xfId="1" applyFont="1" applyBorder="1" applyAlignment="1">
      <alignment horizontal="right"/>
    </xf>
    <xf numFmtId="0" fontId="7" fillId="0" borderId="6" xfId="1" applyFont="1" applyBorder="1"/>
    <xf numFmtId="0" fontId="7" fillId="0" borderId="1" xfId="1" applyFont="1" applyBorder="1"/>
    <xf numFmtId="0" fontId="6" fillId="0" borderId="12" xfId="1" applyFont="1" applyFill="1" applyBorder="1"/>
    <xf numFmtId="0" fontId="6" fillId="0" borderId="1" xfId="1" applyFont="1" applyFill="1" applyBorder="1"/>
    <xf numFmtId="0" fontId="6" fillId="0" borderId="6" xfId="1" applyFont="1" applyFill="1" applyBorder="1" applyAlignment="1"/>
    <xf numFmtId="0" fontId="7" fillId="0" borderId="8" xfId="1" applyFont="1" applyFill="1" applyBorder="1"/>
    <xf numFmtId="0" fontId="6" fillId="0" borderId="0" xfId="1" applyFont="1" applyFill="1"/>
    <xf numFmtId="0" fontId="6" fillId="0" borderId="0" xfId="1" applyFont="1" applyAlignment="1">
      <alignment horizontal="center"/>
    </xf>
    <xf numFmtId="0" fontId="6" fillId="0" borderId="13" xfId="1" applyFont="1" applyBorder="1"/>
    <xf numFmtId="0" fontId="6" fillId="0" borderId="2" xfId="1" applyFont="1" applyBorder="1"/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14" xfId="1" applyFont="1" applyFill="1" applyBorder="1"/>
    <xf numFmtId="37" fontId="6" fillId="0" borderId="14" xfId="1" applyNumberFormat="1" applyFont="1" applyFill="1" applyBorder="1"/>
    <xf numFmtId="0" fontId="6" fillId="0" borderId="14" xfId="1" applyNumberFormat="1" applyFont="1" applyFill="1" applyBorder="1"/>
    <xf numFmtId="1" fontId="6" fillId="0" borderId="14" xfId="1" applyNumberFormat="1" applyFont="1" applyFill="1" applyBorder="1"/>
    <xf numFmtId="0" fontId="6" fillId="0" borderId="5" xfId="1" applyFont="1" applyBorder="1" applyAlignment="1">
      <alignment horizontal="center"/>
    </xf>
    <xf numFmtId="0" fontId="6" fillId="0" borderId="13" xfId="1" applyFont="1" applyFill="1" applyBorder="1"/>
    <xf numFmtId="0" fontId="6" fillId="0" borderId="2" xfId="1" applyFont="1" applyFill="1" applyBorder="1"/>
    <xf numFmtId="168" fontId="6" fillId="0" borderId="14" xfId="2" applyNumberFormat="1" applyFont="1" applyFill="1" applyBorder="1"/>
    <xf numFmtId="0" fontId="6" fillId="0" borderId="0" xfId="1" applyFont="1" applyBorder="1" applyAlignment="1">
      <alignment vertical="center"/>
    </xf>
    <xf numFmtId="0" fontId="6" fillId="0" borderId="0" xfId="1" applyFont="1" applyAlignment="1">
      <alignment wrapText="1"/>
    </xf>
    <xf numFmtId="0" fontId="6" fillId="0" borderId="4" xfId="1" applyFont="1" applyBorder="1"/>
    <xf numFmtId="0" fontId="6" fillId="0" borderId="3" xfId="1" applyFont="1" applyFill="1" applyBorder="1" applyAlignment="1">
      <alignment horizontal="left"/>
    </xf>
    <xf numFmtId="0" fontId="23" fillId="0" borderId="3" xfId="1" applyFont="1" applyBorder="1" applyAlignment="1">
      <alignment horizontal="right"/>
    </xf>
    <xf numFmtId="0" fontId="6" fillId="0" borderId="0" xfId="1" applyFont="1" applyFill="1" applyAlignment="1">
      <alignment horizontal="center"/>
    </xf>
    <xf numFmtId="169" fontId="7" fillId="0" borderId="2" xfId="1" applyNumberFormat="1" applyFont="1" applyBorder="1" applyAlignment="1">
      <alignment horizontal="center"/>
    </xf>
    <xf numFmtId="169" fontId="6" fillId="8" borderId="2" xfId="1" applyNumberFormat="1" applyFont="1" applyFill="1" applyBorder="1"/>
    <xf numFmtId="169" fontId="6" fillId="0" borderId="2" xfId="1" applyNumberFormat="1" applyFont="1" applyBorder="1"/>
    <xf numFmtId="169" fontId="6" fillId="4" borderId="2" xfId="1" applyNumberFormat="1" applyFont="1" applyFill="1" applyBorder="1"/>
    <xf numFmtId="169" fontId="6" fillId="12" borderId="2" xfId="1" applyNumberFormat="1" applyFont="1" applyFill="1" applyBorder="1"/>
    <xf numFmtId="169" fontId="6" fillId="0" borderId="4" xfId="1" applyNumberFormat="1" applyFont="1" applyBorder="1" applyAlignment="1"/>
    <xf numFmtId="169" fontId="6" fillId="0" borderId="3" xfId="1" applyNumberFormat="1" applyFont="1" applyBorder="1" applyAlignment="1">
      <alignment horizontal="center"/>
    </xf>
    <xf numFmtId="169" fontId="6" fillId="12" borderId="3" xfId="1" applyNumberFormat="1" applyFont="1" applyFill="1" applyBorder="1" applyAlignment="1">
      <alignment horizontal="center"/>
    </xf>
    <xf numFmtId="169" fontId="6" fillId="4" borderId="3" xfId="1" applyNumberFormat="1" applyFont="1" applyFill="1" applyBorder="1" applyAlignment="1">
      <alignment horizontal="center"/>
    </xf>
    <xf numFmtId="169" fontId="6" fillId="0" borderId="14" xfId="1" applyNumberFormat="1" applyFont="1" applyFill="1" applyBorder="1"/>
    <xf numFmtId="169" fontId="6" fillId="12" borderId="3" xfId="1" applyNumberFormat="1" applyFont="1" applyFill="1" applyBorder="1"/>
    <xf numFmtId="169" fontId="6" fillId="0" borderId="3" xfId="1" applyNumberFormat="1" applyFont="1" applyFill="1" applyBorder="1"/>
    <xf numFmtId="169" fontId="6" fillId="4" borderId="3" xfId="1" applyNumberFormat="1" applyFont="1" applyFill="1" applyBorder="1"/>
    <xf numFmtId="169" fontId="6" fillId="8" borderId="3" xfId="1" applyNumberFormat="1" applyFont="1" applyFill="1" applyBorder="1"/>
    <xf numFmtId="169" fontId="6" fillId="8" borderId="3" xfId="1" applyNumberFormat="1" applyFont="1" applyFill="1" applyBorder="1" applyAlignment="1">
      <alignment horizontal="center"/>
    </xf>
    <xf numFmtId="169" fontId="6" fillId="0" borderId="1" xfId="1" applyNumberFormat="1" applyFont="1" applyBorder="1" applyAlignment="1">
      <alignment horizontal="center"/>
    </xf>
    <xf numFmtId="169" fontId="6" fillId="8" borderId="1" xfId="1" applyNumberFormat="1" applyFont="1" applyFill="1" applyBorder="1" applyAlignment="1">
      <alignment horizontal="center"/>
    </xf>
    <xf numFmtId="169" fontId="6" fillId="4" borderId="1" xfId="1" applyNumberFormat="1" applyFont="1" applyFill="1" applyBorder="1" applyAlignment="1">
      <alignment horizontal="center"/>
    </xf>
    <xf numFmtId="169" fontId="6" fillId="12" borderId="1" xfId="1" applyNumberFormat="1" applyFont="1" applyFill="1" applyBorder="1" applyAlignment="1">
      <alignment horizontal="center"/>
    </xf>
    <xf numFmtId="169" fontId="6" fillId="0" borderId="12" xfId="1" applyNumberFormat="1" applyFont="1" applyFill="1" applyBorder="1"/>
    <xf numFmtId="169" fontId="6" fillId="0" borderId="1" xfId="1" applyNumberFormat="1" applyFont="1" applyFill="1" applyBorder="1"/>
    <xf numFmtId="169" fontId="6" fillId="0" borderId="0" xfId="1" applyNumberFormat="1" applyFont="1" applyBorder="1" applyAlignment="1">
      <alignment horizontal="center"/>
    </xf>
    <xf numFmtId="169" fontId="6" fillId="4" borderId="0" xfId="1" applyNumberFormat="1" applyFont="1" applyFill="1" applyBorder="1" applyAlignment="1">
      <alignment horizontal="center"/>
    </xf>
    <xf numFmtId="169" fontId="6" fillId="12" borderId="0" xfId="1" applyNumberFormat="1" applyFont="1" applyFill="1" applyBorder="1" applyAlignment="1">
      <alignment horizontal="center"/>
    </xf>
    <xf numFmtId="169" fontId="6" fillId="0" borderId="2" xfId="1" applyNumberFormat="1" applyFont="1" applyBorder="1" applyAlignment="1">
      <alignment horizontal="center"/>
    </xf>
    <xf numFmtId="169" fontId="7" fillId="0" borderId="4" xfId="1" applyNumberFormat="1" applyFont="1" applyBorder="1" applyAlignment="1">
      <alignment horizontal="center"/>
    </xf>
    <xf numFmtId="169" fontId="6" fillId="0" borderId="11" xfId="1" applyNumberFormat="1" applyFont="1" applyFill="1" applyBorder="1"/>
    <xf numFmtId="169" fontId="6" fillId="8" borderId="4" xfId="1" applyNumberFormat="1" applyFont="1" applyFill="1" applyBorder="1"/>
    <xf numFmtId="169" fontId="6" fillId="0" borderId="4" xfId="1" applyNumberFormat="1" applyFont="1" applyFill="1" applyBorder="1"/>
    <xf numFmtId="169" fontId="6" fillId="4" borderId="4" xfId="1" applyNumberFormat="1" applyFont="1" applyFill="1" applyBorder="1"/>
    <xf numFmtId="169" fontId="6" fillId="12" borderId="4" xfId="1" applyNumberFormat="1" applyFont="1" applyFill="1" applyBorder="1"/>
    <xf numFmtId="169" fontId="6" fillId="0" borderId="4" xfId="1" applyNumberFormat="1" applyFont="1" applyFill="1" applyBorder="1" applyAlignment="1"/>
    <xf numFmtId="169" fontId="6" fillId="0" borderId="15" xfId="1" applyNumberFormat="1" applyFont="1" applyFill="1" applyBorder="1"/>
    <xf numFmtId="169" fontId="6" fillId="0" borderId="6" xfId="1" applyNumberFormat="1" applyFont="1" applyFill="1" applyBorder="1"/>
    <xf numFmtId="169" fontId="7" fillId="0" borderId="6" xfId="1" applyNumberFormat="1" applyFont="1" applyFill="1" applyBorder="1"/>
    <xf numFmtId="169" fontId="6" fillId="0" borderId="10" xfId="1" applyNumberFormat="1" applyFont="1" applyFill="1" applyBorder="1" applyAlignment="1"/>
    <xf numFmtId="169" fontId="7" fillId="0" borderId="16" xfId="1" applyNumberFormat="1" applyFont="1" applyFill="1" applyBorder="1"/>
    <xf numFmtId="169" fontId="6" fillId="0" borderId="6" xfId="1" applyNumberFormat="1" applyFont="1" applyFill="1" applyBorder="1" applyAlignment="1"/>
    <xf numFmtId="0" fontId="8" fillId="15" borderId="37" xfId="0" applyFont="1" applyFill="1" applyBorder="1"/>
    <xf numFmtId="0" fontId="8" fillId="15" borderId="40" xfId="0" applyFont="1" applyFill="1" applyBorder="1"/>
    <xf numFmtId="0" fontId="8" fillId="15" borderId="38" xfId="0" applyFont="1" applyFill="1" applyBorder="1"/>
    <xf numFmtId="0" fontId="6" fillId="6" borderId="22" xfId="0" applyFont="1" applyFill="1" applyBorder="1"/>
    <xf numFmtId="6" fontId="6" fillId="6" borderId="23" xfId="0" applyNumberFormat="1" applyFont="1" applyFill="1" applyBorder="1"/>
    <xf numFmtId="0" fontId="6" fillId="6" borderId="23" xfId="0" applyFont="1" applyFill="1" applyBorder="1"/>
    <xf numFmtId="10" fontId="6" fillId="6" borderId="23" xfId="0" applyNumberFormat="1" applyFont="1" applyFill="1" applyBorder="1"/>
    <xf numFmtId="8" fontId="6" fillId="6" borderId="23" xfId="0" applyNumberFormat="1" applyFont="1" applyFill="1" applyBorder="1"/>
    <xf numFmtId="0" fontId="6" fillId="6" borderId="41" xfId="0" applyFont="1" applyFill="1" applyBorder="1"/>
    <xf numFmtId="37" fontId="6" fillId="6" borderId="42" xfId="0" applyNumberFormat="1" applyFont="1" applyFill="1" applyBorder="1"/>
    <xf numFmtId="0" fontId="7" fillId="6" borderId="39" xfId="0" applyFont="1" applyFill="1" applyBorder="1"/>
    <xf numFmtId="6" fontId="6" fillId="6" borderId="20" xfId="0" applyNumberFormat="1" applyFont="1" applyFill="1" applyBorder="1"/>
    <xf numFmtId="6" fontId="6" fillId="6" borderId="21" xfId="0" applyNumberFormat="1" applyFont="1" applyFill="1" applyBorder="1"/>
    <xf numFmtId="0" fontId="6" fillId="6" borderId="42" xfId="0" applyFont="1" applyFill="1" applyBorder="1"/>
    <xf numFmtId="0" fontId="6" fillId="6" borderId="39" xfId="0" applyFont="1" applyFill="1" applyBorder="1"/>
    <xf numFmtId="167" fontId="6" fillId="6" borderId="20" xfId="0" applyNumberFormat="1" applyFont="1" applyFill="1" applyBorder="1"/>
    <xf numFmtId="0" fontId="6" fillId="6" borderId="20" xfId="0" applyFont="1" applyFill="1" applyBorder="1"/>
    <xf numFmtId="0" fontId="6" fillId="6" borderId="21" xfId="0" applyFont="1" applyFill="1" applyBorder="1"/>
    <xf numFmtId="43" fontId="6" fillId="6" borderId="0" xfId="0" applyNumberFormat="1" applyFont="1" applyFill="1" applyBorder="1"/>
    <xf numFmtId="43" fontId="6" fillId="6" borderId="23" xfId="0" applyNumberFormat="1" applyFont="1" applyFill="1" applyBorder="1"/>
    <xf numFmtId="9" fontId="6" fillId="6" borderId="0" xfId="0" applyNumberFormat="1" applyFont="1" applyFill="1" applyBorder="1"/>
    <xf numFmtId="9" fontId="6" fillId="6" borderId="23" xfId="0" applyNumberFormat="1" applyFont="1" applyFill="1" applyBorder="1"/>
    <xf numFmtId="0" fontId="8" fillId="15" borderId="37" xfId="0" applyFont="1" applyFill="1" applyBorder="1" applyAlignment="1">
      <alignment horizontal="left" vertical="center"/>
    </xf>
    <xf numFmtId="0" fontId="6" fillId="10" borderId="22" xfId="0" applyFont="1" applyFill="1" applyBorder="1"/>
    <xf numFmtId="6" fontId="6" fillId="10" borderId="0" xfId="0" applyNumberFormat="1" applyFont="1" applyFill="1" applyBorder="1"/>
    <xf numFmtId="0" fontId="6" fillId="10" borderId="0" xfId="0" applyFont="1" applyFill="1" applyBorder="1"/>
    <xf numFmtId="6" fontId="6" fillId="10" borderId="23" xfId="0" applyNumberFormat="1" applyFont="1" applyFill="1" applyBorder="1"/>
    <xf numFmtId="0" fontId="6" fillId="10" borderId="23" xfId="0" applyFont="1" applyFill="1" applyBorder="1"/>
    <xf numFmtId="9" fontId="6" fillId="10" borderId="0" xfId="0" applyNumberFormat="1" applyFont="1" applyFill="1" applyBorder="1"/>
    <xf numFmtId="9" fontId="6" fillId="10" borderId="23" xfId="0" applyNumberFormat="1" applyFont="1" applyFill="1" applyBorder="1"/>
    <xf numFmtId="10" fontId="6" fillId="10" borderId="0" xfId="0" applyNumberFormat="1" applyFont="1" applyFill="1" applyBorder="1"/>
    <xf numFmtId="10" fontId="6" fillId="10" borderId="23" xfId="0" applyNumberFormat="1" applyFont="1" applyFill="1" applyBorder="1"/>
    <xf numFmtId="0" fontId="6" fillId="10" borderId="41" xfId="0" applyFont="1" applyFill="1" applyBorder="1"/>
    <xf numFmtId="6" fontId="6" fillId="10" borderId="42" xfId="0" applyNumberFormat="1" applyFont="1" applyFill="1" applyBorder="1"/>
    <xf numFmtId="0" fontId="6" fillId="0" borderId="20" xfId="0" applyFont="1" applyBorder="1"/>
    <xf numFmtId="6" fontId="6" fillId="0" borderId="20" xfId="0" applyNumberFormat="1" applyFont="1" applyBorder="1"/>
    <xf numFmtId="164" fontId="6" fillId="6" borderId="5" xfId="0" applyNumberFormat="1" applyFont="1" applyFill="1" applyBorder="1" applyAlignment="1">
      <alignment horizontal="center"/>
    </xf>
    <xf numFmtId="43" fontId="6" fillId="6" borderId="2" xfId="0" applyNumberFormat="1" applyFont="1" applyFill="1" applyBorder="1" applyAlignment="1">
      <alignment horizontal="center"/>
    </xf>
    <xf numFmtId="9" fontId="6" fillId="6" borderId="3" xfId="0" applyNumberFormat="1" applyFont="1" applyFill="1" applyBorder="1" applyAlignment="1">
      <alignment horizontal="center"/>
    </xf>
    <xf numFmtId="169" fontId="6" fillId="6" borderId="2" xfId="3" applyNumberFormat="1" applyFont="1" applyFill="1" applyBorder="1" applyAlignment="1">
      <alignment horizontal="center"/>
    </xf>
    <xf numFmtId="167" fontId="6" fillId="6" borderId="0" xfId="3" applyNumberFormat="1" applyFont="1" applyFill="1" applyBorder="1" applyAlignment="1">
      <alignment horizontal="center"/>
    </xf>
    <xf numFmtId="167" fontId="6" fillId="6" borderId="1" xfId="3" applyNumberFormat="1" applyFont="1" applyFill="1" applyBorder="1" applyAlignment="1">
      <alignment horizontal="center"/>
    </xf>
    <xf numFmtId="169" fontId="6" fillId="6" borderId="0" xfId="3" applyNumberFormat="1" applyFont="1" applyFill="1" applyBorder="1" applyAlignment="1">
      <alignment horizontal="center"/>
    </xf>
    <xf numFmtId="169" fontId="6" fillId="6" borderId="0" xfId="3" applyNumberFormat="1" applyFont="1" applyFill="1" applyBorder="1" applyAlignment="1">
      <alignment horizontal="right"/>
    </xf>
    <xf numFmtId="0" fontId="6" fillId="6" borderId="20" xfId="0" applyFont="1" applyFill="1" applyBorder="1" applyAlignment="1">
      <alignment horizontal="right"/>
    </xf>
    <xf numFmtId="44" fontId="6" fillId="6" borderId="0" xfId="3" applyFont="1" applyFill="1" applyBorder="1" applyAlignment="1">
      <alignment horizontal="center" vertical="center"/>
    </xf>
    <xf numFmtId="0" fontId="26" fillId="0" borderId="0" xfId="0" applyFont="1"/>
    <xf numFmtId="6" fontId="26" fillId="0" borderId="0" xfId="0" applyNumberFormat="1" applyFont="1"/>
    <xf numFmtId="0" fontId="27" fillId="0" borderId="0" xfId="5" applyFont="1"/>
    <xf numFmtId="8" fontId="26" fillId="0" borderId="0" xfId="0" applyNumberFormat="1" applyFont="1"/>
    <xf numFmtId="37" fontId="26" fillId="0" borderId="1" xfId="0" applyNumberFormat="1" applyFont="1" applyBorder="1" applyAlignment="1">
      <alignment horizontal="center" vertical="center"/>
    </xf>
    <xf numFmtId="5" fontId="26" fillId="0" borderId="10" xfId="0" applyNumberFormat="1" applyFont="1" applyBorder="1" applyAlignment="1">
      <alignment horizontal="center" vertical="center"/>
    </xf>
    <xf numFmtId="172" fontId="26" fillId="0" borderId="1" xfId="0" applyNumberFormat="1" applyFont="1" applyBorder="1" applyAlignment="1">
      <alignment horizontal="center" vertical="center"/>
    </xf>
    <xf numFmtId="0" fontId="26" fillId="0" borderId="20" xfId="0" applyFont="1" applyBorder="1"/>
    <xf numFmtId="0" fontId="8" fillId="13" borderId="1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164" fontId="6" fillId="6" borderId="5" xfId="0" applyNumberFormat="1" applyFont="1" applyFill="1" applyBorder="1" applyAlignment="1">
      <alignment horizontal="right"/>
    </xf>
    <xf numFmtId="0" fontId="9" fillId="13" borderId="6" xfId="0" applyFont="1" applyFill="1" applyBorder="1" applyAlignment="1">
      <alignment horizontal="center"/>
    </xf>
    <xf numFmtId="0" fontId="9" fillId="13" borderId="6" xfId="0" applyFont="1" applyFill="1" applyBorder="1" applyAlignment="1">
      <alignment horizontal="right"/>
    </xf>
    <xf numFmtId="0" fontId="6" fillId="6" borderId="6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right"/>
    </xf>
    <xf numFmtId="9" fontId="6" fillId="6" borderId="1" xfId="0" applyNumberFormat="1" applyFont="1" applyFill="1" applyBorder="1" applyAlignment="1">
      <alignment horizontal="right"/>
    </xf>
    <xf numFmtId="9" fontId="7" fillId="6" borderId="0" xfId="0" applyNumberFormat="1" applyFont="1" applyFill="1" applyBorder="1" applyAlignment="1">
      <alignment horizontal="center"/>
    </xf>
    <xf numFmtId="169" fontId="7" fillId="6" borderId="0" xfId="3" applyNumberFormat="1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37" fontId="6" fillId="6" borderId="1" xfId="0" applyNumberFormat="1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/>
    </xf>
    <xf numFmtId="37" fontId="7" fillId="6" borderId="6" xfId="0" applyNumberFormat="1" applyFont="1" applyFill="1" applyBorder="1" applyAlignment="1">
      <alignment horizontal="center"/>
    </xf>
    <xf numFmtId="168" fontId="6" fillId="6" borderId="0" xfId="2" applyNumberFormat="1" applyFont="1" applyFill="1" applyBorder="1" applyAlignment="1">
      <alignment horizontal="center"/>
    </xf>
    <xf numFmtId="168" fontId="6" fillId="6" borderId="0" xfId="2" applyNumberFormat="1" applyFont="1" applyFill="1" applyBorder="1" applyAlignment="1">
      <alignment horizontal="right"/>
    </xf>
    <xf numFmtId="44" fontId="6" fillId="6" borderId="0" xfId="3" applyFont="1" applyFill="1" applyBorder="1" applyAlignment="1">
      <alignment horizontal="right"/>
    </xf>
    <xf numFmtId="169" fontId="6" fillId="6" borderId="27" xfId="3" applyNumberFormat="1" applyFont="1" applyFill="1" applyBorder="1" applyAlignment="1">
      <alignment horizontal="center"/>
    </xf>
    <xf numFmtId="44" fontId="6" fillId="6" borderId="20" xfId="3" applyFont="1" applyFill="1" applyBorder="1" applyAlignment="1">
      <alignment horizontal="center"/>
    </xf>
    <xf numFmtId="44" fontId="6" fillId="6" borderId="20" xfId="3" applyFont="1" applyFill="1" applyBorder="1" applyAlignment="1">
      <alignment horizontal="right"/>
    </xf>
    <xf numFmtId="0" fontId="6" fillId="0" borderId="2" xfId="1" applyFont="1" applyBorder="1" applyAlignment="1"/>
    <xf numFmtId="0" fontId="6" fillId="0" borderId="2" xfId="1" applyFont="1" applyBorder="1" applyAlignment="1">
      <alignment horizontal="right"/>
    </xf>
    <xf numFmtId="0" fontId="8" fillId="0" borderId="0" xfId="0" applyFont="1" applyFill="1"/>
    <xf numFmtId="0" fontId="7" fillId="6" borderId="43" xfId="0" applyFont="1" applyFill="1" applyBorder="1" applyAlignment="1">
      <alignment horizontal="left" vertical="center"/>
    </xf>
    <xf numFmtId="0" fontId="7" fillId="6" borderId="44" xfId="0" applyFont="1" applyFill="1" applyBorder="1" applyAlignment="1">
      <alignment horizontal="left" vertical="center"/>
    </xf>
    <xf numFmtId="8" fontId="6" fillId="6" borderId="20" xfId="0" applyNumberFormat="1" applyFont="1" applyFill="1" applyBorder="1"/>
    <xf numFmtId="169" fontId="6" fillId="0" borderId="2" xfId="1" applyNumberFormat="1" applyFont="1" applyBorder="1" applyAlignment="1">
      <alignment horizontal="right"/>
    </xf>
    <xf numFmtId="0" fontId="7" fillId="6" borderId="35" xfId="0" applyFont="1" applyFill="1" applyBorder="1" applyAlignment="1">
      <alignment horizontal="center"/>
    </xf>
    <xf numFmtId="37" fontId="6" fillId="6" borderId="35" xfId="0" applyNumberFormat="1" applyFont="1" applyFill="1" applyBorder="1" applyAlignment="1">
      <alignment horizontal="center" vertical="center"/>
    </xf>
    <xf numFmtId="10" fontId="6" fillId="6" borderId="35" xfId="0" applyNumberFormat="1" applyFont="1" applyFill="1" applyBorder="1" applyAlignment="1">
      <alignment horizontal="center"/>
    </xf>
    <xf numFmtId="164" fontId="6" fillId="6" borderId="35" xfId="0" applyNumberFormat="1" applyFont="1" applyFill="1" applyBorder="1" applyAlignment="1">
      <alignment horizontal="center"/>
    </xf>
    <xf numFmtId="164" fontId="13" fillId="6" borderId="0" xfId="0" applyNumberFormat="1" applyFont="1" applyFill="1" applyBorder="1" applyAlignment="1">
      <alignment horizontal="center"/>
    </xf>
    <xf numFmtId="10" fontId="6" fillId="6" borderId="30" xfId="0" applyNumberFormat="1" applyFont="1" applyFill="1" applyBorder="1" applyAlignment="1">
      <alignment horizontal="center"/>
    </xf>
    <xf numFmtId="164" fontId="6" fillId="6" borderId="30" xfId="0" applyNumberFormat="1" applyFont="1" applyFill="1" applyBorder="1" applyAlignment="1">
      <alignment horizontal="center"/>
    </xf>
    <xf numFmtId="169" fontId="6" fillId="10" borderId="0" xfId="0" applyNumberFormat="1" applyFont="1" applyFill="1" applyBorder="1"/>
    <xf numFmtId="169" fontId="6" fillId="10" borderId="23" xfId="0" applyNumberFormat="1" applyFont="1" applyFill="1" applyBorder="1"/>
    <xf numFmtId="168" fontId="6" fillId="6" borderId="0" xfId="0" applyNumberFormat="1" applyFont="1" applyFill="1" applyBorder="1" applyAlignment="1">
      <alignment horizontal="right"/>
    </xf>
    <xf numFmtId="37" fontId="6" fillId="10" borderId="0" xfId="0" applyNumberFormat="1" applyFont="1" applyFill="1" applyBorder="1"/>
    <xf numFmtId="1" fontId="6" fillId="10" borderId="0" xfId="0" applyNumberFormat="1" applyFont="1" applyFill="1" applyBorder="1"/>
    <xf numFmtId="0" fontId="6" fillId="10" borderId="45" xfId="0" applyFont="1" applyFill="1" applyBorder="1"/>
    <xf numFmtId="169" fontId="6" fillId="10" borderId="35" xfId="0" applyNumberFormat="1" applyFont="1" applyFill="1" applyBorder="1"/>
    <xf numFmtId="6" fontId="6" fillId="10" borderId="46" xfId="0" applyNumberFormat="1" applyFont="1" applyFill="1" applyBorder="1"/>
    <xf numFmtId="169" fontId="6" fillId="10" borderId="46" xfId="0" applyNumberFormat="1" applyFont="1" applyFill="1" applyBorder="1"/>
    <xf numFmtId="173" fontId="6" fillId="6" borderId="0" xfId="0" applyNumberFormat="1" applyFont="1" applyFill="1" applyBorder="1" applyAlignment="1">
      <alignment horizontal="right"/>
    </xf>
    <xf numFmtId="6" fontId="6" fillId="10" borderId="35" xfId="0" applyNumberFormat="1" applyFont="1" applyFill="1" applyBorder="1"/>
    <xf numFmtId="0" fontId="6" fillId="10" borderId="29" xfId="0" applyFont="1" applyFill="1" applyBorder="1"/>
    <xf numFmtId="169" fontId="6" fillId="10" borderId="30" xfId="0" applyNumberFormat="1" applyFont="1" applyFill="1" applyBorder="1"/>
    <xf numFmtId="169" fontId="6" fillId="10" borderId="31" xfId="0" applyNumberFormat="1" applyFont="1" applyFill="1" applyBorder="1"/>
    <xf numFmtId="0" fontId="6" fillId="10" borderId="32" xfId="0" applyFont="1" applyFill="1" applyBorder="1"/>
    <xf numFmtId="169" fontId="6" fillId="10" borderId="33" xfId="0" applyNumberFormat="1" applyFont="1" applyFill="1" applyBorder="1"/>
    <xf numFmtId="0" fontId="6" fillId="0" borderId="32" xfId="0" applyFont="1" applyBorder="1"/>
    <xf numFmtId="0" fontId="6" fillId="10" borderId="33" xfId="0" applyFont="1" applyFill="1" applyBorder="1"/>
    <xf numFmtId="0" fontId="6" fillId="10" borderId="34" xfId="0" applyFont="1" applyFill="1" applyBorder="1"/>
    <xf numFmtId="6" fontId="6" fillId="10" borderId="36" xfId="0" applyNumberFormat="1" applyFont="1" applyFill="1" applyBorder="1"/>
    <xf numFmtId="0" fontId="6" fillId="0" borderId="3" xfId="1" applyFont="1" applyBorder="1" applyAlignment="1">
      <alignment horizontal="right"/>
    </xf>
    <xf numFmtId="0" fontId="6" fillId="0" borderId="5" xfId="1" applyFont="1" applyBorder="1" applyAlignment="1">
      <alignment horizontal="right"/>
    </xf>
    <xf numFmtId="0" fontId="6" fillId="0" borderId="4" xfId="1" applyFont="1" applyBorder="1" applyAlignment="1"/>
    <xf numFmtId="0" fontId="7" fillId="0" borderId="6" xfId="1" applyFont="1" applyBorder="1" applyAlignment="1">
      <alignment horizontal="right"/>
    </xf>
    <xf numFmtId="169" fontId="6" fillId="0" borderId="3" xfId="1" applyNumberFormat="1" applyFont="1" applyFill="1" applyBorder="1" applyAlignment="1"/>
    <xf numFmtId="169" fontId="6" fillId="0" borderId="3" xfId="1" applyNumberFormat="1" applyFont="1" applyBorder="1" applyAlignment="1"/>
    <xf numFmtId="169" fontId="6" fillId="0" borderId="2" xfId="1" applyNumberFormat="1" applyFont="1" applyBorder="1" applyAlignment="1"/>
    <xf numFmtId="44" fontId="6" fillId="6" borderId="5" xfId="0" applyNumberFormat="1" applyFont="1" applyFill="1" applyBorder="1" applyAlignment="1">
      <alignment horizontal="center"/>
    </xf>
    <xf numFmtId="167" fontId="6" fillId="6" borderId="5" xfId="0" applyNumberFormat="1" applyFont="1" applyFill="1" applyBorder="1" applyAlignment="1">
      <alignment horizontal="center"/>
    </xf>
    <xf numFmtId="0" fontId="8" fillId="13" borderId="0" xfId="0" applyFont="1" applyFill="1" applyBorder="1" applyAlignment="1">
      <alignment horizontal="center"/>
    </xf>
    <xf numFmtId="44" fontId="6" fillId="0" borderId="0" xfId="1" applyNumberFormat="1" applyFont="1" applyFill="1" applyBorder="1"/>
    <xf numFmtId="44" fontId="6" fillId="0" borderId="0" xfId="1" applyNumberFormat="1" applyFont="1" applyFill="1" applyBorder="1" applyAlignment="1"/>
    <xf numFmtId="0" fontId="6" fillId="0" borderId="0" xfId="1" applyFont="1" applyFill="1" applyBorder="1"/>
    <xf numFmtId="0" fontId="7" fillId="16" borderId="6" xfId="1" applyFont="1" applyFill="1" applyBorder="1" applyAlignment="1">
      <alignment horizontal="left"/>
    </xf>
    <xf numFmtId="44" fontId="6" fillId="16" borderId="6" xfId="1" applyNumberFormat="1" applyFont="1" applyFill="1" applyBorder="1" applyAlignment="1">
      <alignment horizontal="center"/>
    </xf>
    <xf numFmtId="44" fontId="6" fillId="16" borderId="6" xfId="1" applyNumberFormat="1" applyFont="1" applyFill="1" applyBorder="1"/>
    <xf numFmtId="44" fontId="6" fillId="16" borderId="6" xfId="1" applyNumberFormat="1" applyFont="1" applyFill="1" applyBorder="1" applyAlignment="1"/>
    <xf numFmtId="0" fontId="6" fillId="0" borderId="0" xfId="1" applyFont="1" applyFill="1" applyBorder="1" applyAlignment="1">
      <alignment vertical="center"/>
    </xf>
    <xf numFmtId="2" fontId="6" fillId="0" borderId="0" xfId="1" applyNumberFormat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wrapText="1"/>
    </xf>
    <xf numFmtId="44" fontId="6" fillId="16" borderId="15" xfId="1" applyNumberFormat="1" applyFont="1" applyFill="1" applyBorder="1"/>
    <xf numFmtId="169" fontId="6" fillId="0" borderId="7" xfId="1" applyNumberFormat="1" applyFont="1" applyBorder="1" applyAlignment="1">
      <alignment horizontal="center"/>
    </xf>
    <xf numFmtId="169" fontId="6" fillId="0" borderId="0" xfId="1" applyNumberFormat="1" applyFont="1" applyBorder="1"/>
    <xf numFmtId="169" fontId="6" fillId="12" borderId="2" xfId="1" applyNumberFormat="1" applyFont="1" applyFill="1" applyBorder="1" applyAlignment="1">
      <alignment horizontal="center"/>
    </xf>
    <xf numFmtId="169" fontId="6" fillId="4" borderId="2" xfId="1" applyNumberFormat="1" applyFont="1" applyFill="1" applyBorder="1" applyAlignment="1">
      <alignment horizontal="center"/>
    </xf>
    <xf numFmtId="169" fontId="6" fillId="0" borderId="48" xfId="1" applyNumberFormat="1" applyFont="1" applyBorder="1" applyAlignment="1">
      <alignment horizontal="center"/>
    </xf>
    <xf numFmtId="0" fontId="6" fillId="0" borderId="48" xfId="1" applyFont="1" applyBorder="1" applyAlignment="1">
      <alignment horizontal="right"/>
    </xf>
    <xf numFmtId="169" fontId="6" fillId="12" borderId="48" xfId="1" applyNumberFormat="1" applyFont="1" applyFill="1" applyBorder="1" applyAlignment="1">
      <alignment horizontal="center"/>
    </xf>
    <xf numFmtId="169" fontId="6" fillId="4" borderId="48" xfId="1" applyNumberFormat="1" applyFont="1" applyFill="1" applyBorder="1" applyAlignment="1">
      <alignment horizontal="center"/>
    </xf>
    <xf numFmtId="169" fontId="6" fillId="0" borderId="50" xfId="1" applyNumberFormat="1" applyFont="1" applyBorder="1" applyAlignment="1">
      <alignment horizontal="center"/>
    </xf>
    <xf numFmtId="169" fontId="6" fillId="0" borderId="48" xfId="1" applyNumberFormat="1" applyFont="1" applyFill="1" applyBorder="1"/>
    <xf numFmtId="169" fontId="6" fillId="0" borderId="48" xfId="1" applyNumberFormat="1" applyFont="1" applyFill="1" applyBorder="1" applyAlignment="1"/>
    <xf numFmtId="169" fontId="6" fillId="0" borderId="51" xfId="1" applyNumberFormat="1" applyFont="1" applyBorder="1" applyAlignment="1">
      <alignment horizontal="center"/>
    </xf>
    <xf numFmtId="169" fontId="6" fillId="0" borderId="51" xfId="1" applyNumberFormat="1" applyFont="1" applyFill="1" applyBorder="1" applyAlignment="1">
      <alignment horizontal="center"/>
    </xf>
    <xf numFmtId="169" fontId="6" fillId="12" borderId="51" xfId="1" applyNumberFormat="1" applyFont="1" applyFill="1" applyBorder="1" applyAlignment="1">
      <alignment horizontal="center"/>
    </xf>
    <xf numFmtId="169" fontId="6" fillId="4" borderId="52" xfId="1" applyNumberFormat="1" applyFont="1" applyFill="1" applyBorder="1"/>
    <xf numFmtId="169" fontId="6" fillId="0" borderId="47" xfId="1" applyNumberFormat="1" applyFont="1" applyBorder="1" applyAlignment="1">
      <alignment horizontal="center"/>
    </xf>
    <xf numFmtId="169" fontId="6" fillId="12" borderId="47" xfId="1" applyNumberFormat="1" applyFont="1" applyFill="1" applyBorder="1" applyAlignment="1">
      <alignment horizontal="center"/>
    </xf>
    <xf numFmtId="169" fontId="6" fillId="4" borderId="47" xfId="1" applyNumberFormat="1" applyFont="1" applyFill="1" applyBorder="1" applyAlignment="1">
      <alignment horizontal="center"/>
    </xf>
    <xf numFmtId="169" fontId="6" fillId="0" borderId="47" xfId="1" applyNumberFormat="1" applyFont="1" applyFill="1" applyBorder="1"/>
    <xf numFmtId="169" fontId="6" fillId="0" borderId="0" xfId="1" applyNumberFormat="1" applyFont="1" applyFill="1" applyBorder="1"/>
    <xf numFmtId="169" fontId="6" fillId="0" borderId="48" xfId="1" applyNumberFormat="1" applyFont="1" applyBorder="1"/>
    <xf numFmtId="169" fontId="6" fillId="12" borderId="48" xfId="1" applyNumberFormat="1" applyFont="1" applyFill="1" applyBorder="1"/>
    <xf numFmtId="169" fontId="6" fillId="4" borderId="48" xfId="3" applyNumberFormat="1" applyFont="1" applyFill="1" applyBorder="1"/>
    <xf numFmtId="44" fontId="7" fillId="0" borderId="0" xfId="1" applyNumberFormat="1" applyFont="1" applyBorder="1" applyAlignment="1">
      <alignment horizontal="center"/>
    </xf>
    <xf numFmtId="44" fontId="6" fillId="12" borderId="0" xfId="1" applyNumberFormat="1" applyFont="1" applyFill="1" applyBorder="1"/>
    <xf numFmtId="44" fontId="6" fillId="4" borderId="0" xfId="1" applyNumberFormat="1" applyFont="1" applyFill="1" applyBorder="1"/>
    <xf numFmtId="0" fontId="7" fillId="0" borderId="53" xfId="1" applyFont="1" applyBorder="1"/>
    <xf numFmtId="44" fontId="7" fillId="0" borderId="53" xfId="1" applyNumberFormat="1" applyFont="1" applyBorder="1" applyAlignment="1">
      <alignment horizontal="center"/>
    </xf>
    <xf numFmtId="44" fontId="6" fillId="12" borderId="53" xfId="1" applyNumberFormat="1" applyFont="1" applyFill="1" applyBorder="1"/>
    <xf numFmtId="44" fontId="6" fillId="0" borderId="53" xfId="1" applyNumberFormat="1" applyFont="1" applyFill="1" applyBorder="1"/>
    <xf numFmtId="44" fontId="6" fillId="4" borderId="53" xfId="1" applyNumberFormat="1" applyFont="1" applyFill="1" applyBorder="1"/>
    <xf numFmtId="44" fontId="6" fillId="0" borderId="53" xfId="1" applyNumberFormat="1" applyFont="1" applyFill="1" applyBorder="1" applyAlignment="1"/>
    <xf numFmtId="0" fontId="30" fillId="13" borderId="37" xfId="1" applyFont="1" applyFill="1" applyBorder="1" applyAlignment="1">
      <alignment vertical="center"/>
    </xf>
    <xf numFmtId="0" fontId="20" fillId="13" borderId="40" xfId="1" applyFont="1" applyFill="1" applyBorder="1" applyAlignment="1">
      <alignment vertical="center"/>
    </xf>
    <xf numFmtId="0" fontId="7" fillId="13" borderId="40" xfId="1" applyFont="1" applyFill="1" applyBorder="1" applyAlignment="1">
      <alignment vertical="center"/>
    </xf>
    <xf numFmtId="0" fontId="19" fillId="13" borderId="55" xfId="0" applyFont="1" applyFill="1" applyBorder="1" applyAlignment="1">
      <alignment horizontal="left" vertical="center"/>
    </xf>
    <xf numFmtId="0" fontId="19" fillId="13" borderId="25" xfId="0" applyFont="1" applyFill="1" applyBorder="1" applyAlignment="1">
      <alignment horizontal="left" vertical="center"/>
    </xf>
    <xf numFmtId="0" fontId="7" fillId="0" borderId="58" xfId="1" applyFont="1" applyBorder="1"/>
    <xf numFmtId="169" fontId="6" fillId="4" borderId="59" xfId="1" applyNumberFormat="1" applyFont="1" applyFill="1" applyBorder="1"/>
    <xf numFmtId="169" fontId="6" fillId="4" borderId="61" xfId="1" applyNumberFormat="1" applyFont="1" applyFill="1" applyBorder="1" applyAlignment="1">
      <alignment horizontal="center"/>
    </xf>
    <xf numFmtId="0" fontId="6" fillId="0" borderId="60" xfId="1" applyFont="1" applyBorder="1" applyAlignment="1">
      <alignment horizontal="right"/>
    </xf>
    <xf numFmtId="169" fontId="6" fillId="4" borderId="42" xfId="1" applyNumberFormat="1" applyFont="1" applyFill="1" applyBorder="1" applyAlignment="1">
      <alignment horizontal="center"/>
    </xf>
    <xf numFmtId="0" fontId="6" fillId="4" borderId="63" xfId="1" applyFont="1" applyFill="1" applyBorder="1"/>
    <xf numFmtId="0" fontId="7" fillId="0" borderId="22" xfId="1" applyFont="1" applyBorder="1" applyAlignment="1">
      <alignment horizontal="left"/>
    </xf>
    <xf numFmtId="169" fontId="6" fillId="4" borderId="23" xfId="1" applyNumberFormat="1" applyFont="1" applyFill="1" applyBorder="1" applyAlignment="1">
      <alignment horizontal="center"/>
    </xf>
    <xf numFmtId="0" fontId="7" fillId="16" borderId="64" xfId="1" applyFont="1" applyFill="1" applyBorder="1" applyAlignment="1">
      <alignment horizontal="left"/>
    </xf>
    <xf numFmtId="44" fontId="6" fillId="16" borderId="63" xfId="1" applyNumberFormat="1" applyFont="1" applyFill="1" applyBorder="1"/>
    <xf numFmtId="44" fontId="6" fillId="4" borderId="65" xfId="1" applyNumberFormat="1" applyFont="1" applyFill="1" applyBorder="1"/>
    <xf numFmtId="44" fontId="6" fillId="4" borderId="23" xfId="1" applyNumberFormat="1" applyFont="1" applyFill="1" applyBorder="1"/>
    <xf numFmtId="0" fontId="6" fillId="0" borderId="67" xfId="1" applyFont="1" applyBorder="1" applyAlignment="1">
      <alignment vertical="center"/>
    </xf>
    <xf numFmtId="169" fontId="6" fillId="4" borderId="68" xfId="1" applyNumberFormat="1" applyFont="1" applyFill="1" applyBorder="1" applyAlignment="1">
      <alignment horizontal="center"/>
    </xf>
    <xf numFmtId="169" fontId="6" fillId="4" borderId="68" xfId="1" applyNumberFormat="1" applyFont="1" applyFill="1" applyBorder="1"/>
    <xf numFmtId="169" fontId="6" fillId="4" borderId="71" xfId="1" applyNumberFormat="1" applyFont="1" applyFill="1" applyBorder="1" applyAlignment="1">
      <alignment horizontal="center"/>
    </xf>
    <xf numFmtId="169" fontId="6" fillId="4" borderId="73" xfId="1" applyNumberFormat="1" applyFont="1" applyFill="1" applyBorder="1" applyAlignment="1">
      <alignment horizontal="center"/>
    </xf>
    <xf numFmtId="169" fontId="6" fillId="4" borderId="59" xfId="1" applyNumberFormat="1" applyFont="1" applyFill="1" applyBorder="1" applyAlignment="1">
      <alignment horizontal="center"/>
    </xf>
    <xf numFmtId="0" fontId="7" fillId="0" borderId="74" xfId="1" applyFont="1" applyBorder="1"/>
    <xf numFmtId="169" fontId="6" fillId="4" borderId="57" xfId="1" applyNumberFormat="1" applyFont="1" applyFill="1" applyBorder="1"/>
    <xf numFmtId="0" fontId="7" fillId="0" borderId="41" xfId="1" applyFont="1" applyBorder="1" applyAlignment="1">
      <alignment horizontal="left"/>
    </xf>
    <xf numFmtId="169" fontId="6" fillId="0" borderId="42" xfId="1" applyNumberFormat="1" applyFont="1" applyFill="1" applyBorder="1"/>
    <xf numFmtId="169" fontId="6" fillId="0" borderId="23" xfId="1" applyNumberFormat="1" applyFont="1" applyBorder="1" applyAlignment="1">
      <alignment horizontal="center"/>
    </xf>
    <xf numFmtId="0" fontId="7" fillId="0" borderId="64" xfId="1" applyFont="1" applyBorder="1"/>
    <xf numFmtId="169" fontId="6" fillId="0" borderId="63" xfId="1" applyNumberFormat="1" applyFont="1" applyFill="1" applyBorder="1"/>
    <xf numFmtId="0" fontId="7" fillId="0" borderId="41" xfId="1" applyFont="1" applyBorder="1"/>
    <xf numFmtId="0" fontId="6" fillId="0" borderId="42" xfId="1" applyFont="1" applyFill="1" applyBorder="1"/>
    <xf numFmtId="0" fontId="6" fillId="0" borderId="22" xfId="1" applyFont="1" applyBorder="1"/>
    <xf numFmtId="0" fontId="7" fillId="0" borderId="23" xfId="1" applyFont="1" applyBorder="1" applyAlignment="1">
      <alignment horizontal="left" vertical="center"/>
    </xf>
    <xf numFmtId="0" fontId="6" fillId="0" borderId="59" xfId="1" applyFont="1" applyBorder="1"/>
    <xf numFmtId="0" fontId="7" fillId="0" borderId="22" xfId="1" applyFont="1" applyBorder="1"/>
    <xf numFmtId="37" fontId="6" fillId="0" borderId="75" xfId="1" applyNumberFormat="1" applyFont="1" applyFill="1" applyBorder="1"/>
    <xf numFmtId="0" fontId="6" fillId="0" borderId="75" xfId="1" applyNumberFormat="1" applyFont="1" applyFill="1" applyBorder="1"/>
    <xf numFmtId="1" fontId="6" fillId="0" borderId="75" xfId="1" applyNumberFormat="1" applyFont="1" applyFill="1" applyBorder="1"/>
    <xf numFmtId="0" fontId="6" fillId="0" borderId="59" xfId="1" applyFont="1" applyFill="1" applyBorder="1"/>
    <xf numFmtId="168" fontId="6" fillId="0" borderId="75" xfId="2" applyNumberFormat="1" applyFont="1" applyFill="1" applyBorder="1"/>
    <xf numFmtId="0" fontId="6" fillId="0" borderId="57" xfId="1" applyFont="1" applyBorder="1"/>
    <xf numFmtId="169" fontId="6" fillId="0" borderId="59" xfId="1" applyNumberFormat="1" applyFont="1" applyBorder="1" applyAlignment="1"/>
    <xf numFmtId="169" fontId="6" fillId="0" borderId="59" xfId="1" applyNumberFormat="1" applyFont="1" applyBorder="1" applyAlignment="1">
      <alignment horizontal="right"/>
    </xf>
    <xf numFmtId="169" fontId="6" fillId="0" borderId="61" xfId="1" applyNumberFormat="1" applyFont="1" applyBorder="1" applyAlignment="1"/>
    <xf numFmtId="0" fontId="6" fillId="0" borderId="60" xfId="1" applyFont="1" applyBorder="1"/>
    <xf numFmtId="0" fontId="6" fillId="0" borderId="62" xfId="1" applyFont="1" applyBorder="1"/>
    <xf numFmtId="169" fontId="6" fillId="0" borderId="23" xfId="1" applyNumberFormat="1" applyFont="1" applyBorder="1"/>
    <xf numFmtId="0" fontId="6" fillId="0" borderId="20" xfId="1" applyFont="1" applyBorder="1" applyAlignment="1">
      <alignment horizontal="center"/>
    </xf>
    <xf numFmtId="0" fontId="7" fillId="0" borderId="39" xfId="1" applyFont="1" applyBorder="1"/>
    <xf numFmtId="0" fontId="7" fillId="0" borderId="20" xfId="1" applyFont="1" applyBorder="1" applyAlignment="1">
      <alignment horizontal="right"/>
    </xf>
    <xf numFmtId="0" fontId="20" fillId="13" borderId="37" xfId="1" applyFont="1" applyFill="1" applyBorder="1" applyAlignment="1">
      <alignment vertical="center"/>
    </xf>
    <xf numFmtId="0" fontId="6" fillId="13" borderId="40" xfId="1" applyFont="1" applyFill="1" applyBorder="1" applyAlignment="1">
      <alignment vertical="center"/>
    </xf>
    <xf numFmtId="0" fontId="6" fillId="13" borderId="38" xfId="1" applyFont="1" applyFill="1" applyBorder="1" applyAlignment="1">
      <alignment vertical="center"/>
    </xf>
    <xf numFmtId="169" fontId="6" fillId="0" borderId="7" xfId="1" applyNumberFormat="1" applyFont="1" applyBorder="1" applyAlignment="1"/>
    <xf numFmtId="169" fontId="6" fillId="0" borderId="77" xfId="1" applyNumberFormat="1" applyFont="1" applyBorder="1" applyAlignment="1"/>
    <xf numFmtId="0" fontId="6" fillId="0" borderId="78" xfId="1" applyFont="1" applyBorder="1"/>
    <xf numFmtId="169" fontId="6" fillId="0" borderId="79" xfId="1" applyNumberFormat="1" applyFont="1" applyBorder="1"/>
    <xf numFmtId="169" fontId="6" fillId="0" borderId="50" xfId="1" applyNumberFormat="1" applyFont="1" applyBorder="1" applyAlignment="1"/>
    <xf numFmtId="169" fontId="6" fillId="0" borderId="68" xfId="1" applyNumberFormat="1" applyFont="1" applyBorder="1" applyAlignment="1"/>
    <xf numFmtId="169" fontId="6" fillId="0" borderId="68" xfId="1" applyNumberFormat="1" applyFont="1" applyBorder="1"/>
    <xf numFmtId="0" fontId="19" fillId="6" borderId="0" xfId="0" applyFont="1" applyFill="1"/>
    <xf numFmtId="0" fontId="8" fillId="15" borderId="0" xfId="0" applyFont="1" applyFill="1" applyBorder="1"/>
    <xf numFmtId="0" fontId="7" fillId="6" borderId="22" xfId="0" applyFont="1" applyFill="1" applyBorder="1"/>
    <xf numFmtId="169" fontId="6" fillId="6" borderId="23" xfId="0" applyNumberFormat="1" applyFont="1" applyFill="1" applyBorder="1"/>
    <xf numFmtId="0" fontId="7" fillId="6" borderId="39" xfId="0" applyFont="1" applyFill="1" applyBorder="1" applyAlignment="1">
      <alignment horizontal="right"/>
    </xf>
    <xf numFmtId="0" fontId="7" fillId="6" borderId="20" xfId="0" applyFont="1" applyFill="1" applyBorder="1" applyAlignment="1">
      <alignment horizontal="right"/>
    </xf>
    <xf numFmtId="169" fontId="7" fillId="6" borderId="20" xfId="0" applyNumberFormat="1" applyFont="1" applyFill="1" applyBorder="1" applyAlignment="1">
      <alignment horizontal="right"/>
    </xf>
    <xf numFmtId="169" fontId="7" fillId="6" borderId="21" xfId="0" applyNumberFormat="1" applyFont="1" applyFill="1" applyBorder="1" applyAlignment="1">
      <alignment horizontal="right"/>
    </xf>
    <xf numFmtId="0" fontId="7" fillId="6" borderId="20" xfId="0" applyFont="1" applyFill="1" applyBorder="1"/>
    <xf numFmtId="169" fontId="7" fillId="6" borderId="20" xfId="0" applyNumberFormat="1" applyFont="1" applyFill="1" applyBorder="1"/>
    <xf numFmtId="169" fontId="7" fillId="6" borderId="21" xfId="0" applyNumberFormat="1" applyFont="1" applyFill="1" applyBorder="1"/>
    <xf numFmtId="0" fontId="6" fillId="14" borderId="37" xfId="0" applyFont="1" applyFill="1" applyBorder="1"/>
    <xf numFmtId="0" fontId="6" fillId="14" borderId="40" xfId="0" applyFont="1" applyFill="1" applyBorder="1"/>
    <xf numFmtId="0" fontId="8" fillId="14" borderId="22" xfId="0" applyFont="1" applyFill="1" applyBorder="1"/>
    <xf numFmtId="0" fontId="6" fillId="14" borderId="0" xfId="0" applyFont="1" applyFill="1" applyBorder="1"/>
    <xf numFmtId="0" fontId="8" fillId="14" borderId="0" xfId="0" applyFont="1" applyFill="1" applyBorder="1"/>
    <xf numFmtId="0" fontId="9" fillId="14" borderId="0" xfId="0" applyFont="1" applyFill="1" applyBorder="1"/>
    <xf numFmtId="0" fontId="19" fillId="14" borderId="43" xfId="0" applyFont="1" applyFill="1" applyBorder="1"/>
    <xf numFmtId="0" fontId="6" fillId="14" borderId="81" xfId="0" applyFont="1" applyFill="1" applyBorder="1"/>
    <xf numFmtId="0" fontId="19" fillId="14" borderId="81" xfId="0" applyFont="1" applyFill="1" applyBorder="1"/>
    <xf numFmtId="0" fontId="19" fillId="14" borderId="44" xfId="0" applyFont="1" applyFill="1" applyBorder="1"/>
    <xf numFmtId="166" fontId="6" fillId="6" borderId="0" xfId="0" applyNumberFormat="1" applyFont="1" applyFill="1" applyBorder="1"/>
    <xf numFmtId="166" fontId="6" fillId="6" borderId="1" xfId="0" applyNumberFormat="1" applyFont="1" applyFill="1" applyBorder="1"/>
    <xf numFmtId="166" fontId="7" fillId="6" borderId="0" xfId="0" applyNumberFormat="1" applyFont="1" applyFill="1" applyBorder="1"/>
    <xf numFmtId="166" fontId="6" fillId="6" borderId="23" xfId="0" applyNumberFormat="1" applyFont="1" applyFill="1" applyBorder="1"/>
    <xf numFmtId="166" fontId="6" fillId="6" borderId="42" xfId="0" applyNumberFormat="1" applyFont="1" applyFill="1" applyBorder="1"/>
    <xf numFmtId="166" fontId="7" fillId="6" borderId="23" xfId="0" applyNumberFormat="1" applyFont="1" applyFill="1" applyBorder="1"/>
    <xf numFmtId="169" fontId="6" fillId="0" borderId="5" xfId="1" applyNumberFormat="1" applyFont="1" applyBorder="1" applyAlignment="1">
      <alignment horizontal="center"/>
    </xf>
    <xf numFmtId="169" fontId="6" fillId="8" borderId="5" xfId="1" applyNumberFormat="1" applyFont="1" applyFill="1" applyBorder="1" applyAlignment="1">
      <alignment horizontal="center"/>
    </xf>
    <xf numFmtId="169" fontId="6" fillId="4" borderId="5" xfId="1" applyNumberFormat="1" applyFont="1" applyFill="1" applyBorder="1" applyAlignment="1">
      <alignment horizontal="center"/>
    </xf>
    <xf numFmtId="169" fontId="6" fillId="12" borderId="5" xfId="1" applyNumberFormat="1" applyFont="1" applyFill="1" applyBorder="1" applyAlignment="1">
      <alignment horizontal="center"/>
    </xf>
    <xf numFmtId="169" fontId="6" fillId="4" borderId="82" xfId="1" applyNumberFormat="1" applyFont="1" applyFill="1" applyBorder="1" applyAlignment="1">
      <alignment horizontal="center"/>
    </xf>
    <xf numFmtId="169" fontId="6" fillId="0" borderId="83" xfId="1" applyNumberFormat="1" applyFont="1" applyBorder="1" applyAlignment="1">
      <alignment horizontal="center"/>
    </xf>
    <xf numFmtId="169" fontId="6" fillId="0" borderId="83" xfId="1" applyNumberFormat="1" applyFont="1" applyBorder="1"/>
    <xf numFmtId="169" fontId="6" fillId="12" borderId="83" xfId="1" applyNumberFormat="1" applyFont="1" applyFill="1" applyBorder="1"/>
    <xf numFmtId="169" fontId="6" fillId="4" borderId="83" xfId="3" applyNumberFormat="1" applyFont="1" applyFill="1" applyBorder="1"/>
    <xf numFmtId="169" fontId="6" fillId="12" borderId="83" xfId="1" applyNumberFormat="1" applyFont="1" applyFill="1" applyBorder="1" applyAlignment="1">
      <alignment horizontal="center"/>
    </xf>
    <xf numFmtId="169" fontId="6" fillId="0" borderId="83" xfId="1" applyNumberFormat="1" applyFont="1" applyFill="1" applyBorder="1"/>
    <xf numFmtId="169" fontId="6" fillId="4" borderId="84" xfId="1" applyNumberFormat="1" applyFont="1" applyFill="1" applyBorder="1" applyAlignment="1">
      <alignment horizontal="center"/>
    </xf>
    <xf numFmtId="168" fontId="7" fillId="0" borderId="86" xfId="2" applyNumberFormat="1" applyFont="1" applyFill="1" applyBorder="1"/>
    <xf numFmtId="168" fontId="7" fillId="0" borderId="87" xfId="2" applyNumberFormat="1" applyFont="1" applyFill="1" applyBorder="1"/>
    <xf numFmtId="168" fontId="6" fillId="0" borderId="18" xfId="2" applyNumberFormat="1" applyFont="1" applyFill="1" applyBorder="1"/>
    <xf numFmtId="168" fontId="6" fillId="0" borderId="76" xfId="2" applyNumberFormat="1" applyFont="1" applyFill="1" applyBorder="1"/>
    <xf numFmtId="0" fontId="6" fillId="0" borderId="2" xfId="1" applyFont="1" applyFill="1" applyBorder="1" applyAlignment="1">
      <alignment horizontal="left"/>
    </xf>
    <xf numFmtId="0" fontId="6" fillId="0" borderId="53" xfId="1" applyFont="1" applyFill="1" applyBorder="1" applyAlignment="1">
      <alignment horizontal="left"/>
    </xf>
    <xf numFmtId="169" fontId="6" fillId="0" borderId="52" xfId="1" applyNumberFormat="1" applyFont="1" applyBorder="1" applyAlignment="1"/>
    <xf numFmtId="169" fontId="6" fillId="0" borderId="48" xfId="1" applyNumberFormat="1" applyFont="1" applyBorder="1" applyAlignment="1"/>
    <xf numFmtId="0" fontId="6" fillId="0" borderId="19" xfId="1" applyFont="1" applyBorder="1" applyAlignment="1">
      <alignment horizontal="center"/>
    </xf>
    <xf numFmtId="0" fontId="7" fillId="0" borderId="3" xfId="1" applyFont="1" applyBorder="1"/>
    <xf numFmtId="0" fontId="6" fillId="0" borderId="54" xfId="1" applyFont="1" applyBorder="1" applyAlignment="1">
      <alignment horizontal="center"/>
    </xf>
    <xf numFmtId="169" fontId="7" fillId="0" borderId="1" xfId="1" applyNumberFormat="1" applyFont="1" applyBorder="1" applyAlignment="1">
      <alignment horizontal="center"/>
    </xf>
    <xf numFmtId="169" fontId="7" fillId="12" borderId="1" xfId="1" applyNumberFormat="1" applyFont="1" applyFill="1" applyBorder="1" applyAlignment="1">
      <alignment horizontal="center"/>
    </xf>
    <xf numFmtId="169" fontId="7" fillId="4" borderId="1" xfId="1" applyNumberFormat="1" applyFont="1" applyFill="1" applyBorder="1" applyAlignment="1">
      <alignment horizontal="center"/>
    </xf>
    <xf numFmtId="169" fontId="7" fillId="12" borderId="2" xfId="1" applyNumberFormat="1" applyFont="1" applyFill="1" applyBorder="1" applyAlignment="1">
      <alignment horizontal="center"/>
    </xf>
    <xf numFmtId="169" fontId="7" fillId="0" borderId="2" xfId="1" applyNumberFormat="1" applyFont="1" applyFill="1" applyBorder="1"/>
    <xf numFmtId="169" fontId="7" fillId="0" borderId="0" xfId="1" applyNumberFormat="1" applyFont="1" applyBorder="1" applyAlignment="1">
      <alignment horizontal="center"/>
    </xf>
    <xf numFmtId="169" fontId="7" fillId="4" borderId="59" xfId="1" applyNumberFormat="1" applyFont="1" applyFill="1" applyBorder="1" applyAlignment="1">
      <alignment horizontal="center"/>
    </xf>
    <xf numFmtId="10" fontId="7" fillId="0" borderId="1" xfId="4" applyNumberFormat="1" applyFont="1" applyBorder="1" applyAlignment="1">
      <alignment horizontal="center"/>
    </xf>
    <xf numFmtId="10" fontId="7" fillId="0" borderId="1" xfId="1" applyNumberFormat="1" applyFont="1" applyBorder="1" applyAlignment="1">
      <alignment horizontal="center"/>
    </xf>
    <xf numFmtId="169" fontId="7" fillId="0" borderId="6" xfId="1" applyNumberFormat="1" applyFont="1" applyBorder="1" applyAlignment="1">
      <alignment horizontal="center"/>
    </xf>
    <xf numFmtId="169" fontId="7" fillId="0" borderId="9" xfId="1" applyNumberFormat="1" applyFont="1" applyFill="1" applyBorder="1"/>
    <xf numFmtId="169" fontId="7" fillId="0" borderId="17" xfId="1" applyNumberFormat="1" applyFont="1" applyFill="1" applyBorder="1"/>
    <xf numFmtId="169" fontId="7" fillId="0" borderId="27" xfId="1" applyNumberFormat="1" applyFont="1" applyBorder="1" applyAlignment="1"/>
    <xf numFmtId="169" fontId="7" fillId="0" borderId="28" xfId="1" applyNumberFormat="1" applyFont="1" applyBorder="1" applyAlignment="1"/>
    <xf numFmtId="0" fontId="9" fillId="13" borderId="56" xfId="1" applyFont="1" applyFill="1" applyBorder="1"/>
    <xf numFmtId="0" fontId="9" fillId="13" borderId="10" xfId="1" applyFont="1" applyFill="1" applyBorder="1"/>
    <xf numFmtId="0" fontId="8" fillId="13" borderId="10" xfId="1" applyFont="1" applyFill="1" applyBorder="1" applyAlignment="1">
      <alignment horizontal="left"/>
    </xf>
    <xf numFmtId="0" fontId="9" fillId="13" borderId="41" xfId="1" applyFont="1" applyFill="1" applyBorder="1" applyAlignment="1">
      <alignment horizontal="center"/>
    </xf>
    <xf numFmtId="0" fontId="9" fillId="13" borderId="1" xfId="1" applyFont="1" applyFill="1" applyBorder="1" applyAlignment="1">
      <alignment horizontal="center"/>
    </xf>
    <xf numFmtId="0" fontId="8" fillId="13" borderId="1" xfId="1" applyFont="1" applyFill="1" applyBorder="1" applyAlignment="1">
      <alignment horizontal="center"/>
    </xf>
    <xf numFmtId="0" fontId="8" fillId="13" borderId="12" xfId="1" applyFont="1" applyFill="1" applyBorder="1" applyAlignment="1">
      <alignment horizontal="center"/>
    </xf>
    <xf numFmtId="0" fontId="8" fillId="13" borderId="5" xfId="1" applyFont="1" applyFill="1" applyBorder="1" applyAlignment="1">
      <alignment horizontal="center"/>
    </xf>
    <xf numFmtId="0" fontId="8" fillId="13" borderId="42" xfId="1" applyFont="1" applyFill="1" applyBorder="1" applyAlignment="1">
      <alignment horizontal="center"/>
    </xf>
    <xf numFmtId="0" fontId="8" fillId="13" borderId="10" xfId="1" applyFont="1" applyFill="1" applyBorder="1"/>
    <xf numFmtId="0" fontId="8" fillId="13" borderId="88" xfId="1" applyFont="1" applyFill="1" applyBorder="1"/>
    <xf numFmtId="169" fontId="6" fillId="0" borderId="4" xfId="1" applyNumberFormat="1" applyFont="1" applyBorder="1"/>
    <xf numFmtId="0" fontId="9" fillId="13" borderId="22" xfId="1" applyFont="1" applyFill="1" applyBorder="1"/>
    <xf numFmtId="0" fontId="9" fillId="13" borderId="0" xfId="1" applyFont="1" applyFill="1" applyBorder="1"/>
    <xf numFmtId="0" fontId="9" fillId="13" borderId="0" xfId="1" applyFont="1" applyFill="1" applyBorder="1" applyAlignment="1">
      <alignment horizontal="center"/>
    </xf>
    <xf numFmtId="0" fontId="9" fillId="13" borderId="13" xfId="1" applyFont="1" applyFill="1" applyBorder="1"/>
    <xf numFmtId="0" fontId="9" fillId="13" borderId="2" xfId="1" applyFont="1" applyFill="1" applyBorder="1"/>
    <xf numFmtId="0" fontId="9" fillId="13" borderId="59" xfId="1" applyFont="1" applyFill="1" applyBorder="1"/>
    <xf numFmtId="0" fontId="8" fillId="13" borderId="1" xfId="1" applyFont="1" applyFill="1" applyBorder="1" applyAlignment="1">
      <alignment horizontal="right"/>
    </xf>
    <xf numFmtId="0" fontId="6" fillId="0" borderId="58" xfId="1" applyFont="1" applyBorder="1"/>
    <xf numFmtId="169" fontId="6" fillId="4" borderId="77" xfId="1" applyNumberFormat="1" applyFont="1" applyFill="1" applyBorder="1" applyAlignment="1">
      <alignment horizontal="center"/>
    </xf>
    <xf numFmtId="169" fontId="6" fillId="4" borderId="71" xfId="1" applyNumberFormat="1" applyFont="1" applyFill="1" applyBorder="1"/>
    <xf numFmtId="169" fontId="6" fillId="4" borderId="7" xfId="1" applyNumberFormat="1" applyFont="1" applyFill="1" applyBorder="1" applyAlignment="1">
      <alignment horizontal="center"/>
    </xf>
    <xf numFmtId="169" fontId="6" fillId="4" borderId="51" xfId="1" applyNumberFormat="1" applyFont="1" applyFill="1" applyBorder="1" applyAlignment="1">
      <alignment horizontal="center"/>
    </xf>
    <xf numFmtId="0" fontId="8" fillId="14" borderId="0" xfId="0" applyFont="1" applyFill="1" applyBorder="1" applyAlignment="1">
      <alignment horizontal="right"/>
    </xf>
    <xf numFmtId="0" fontId="8" fillId="14" borderId="23" xfId="0" applyFont="1" applyFill="1" applyBorder="1" applyAlignment="1">
      <alignment horizontal="right"/>
    </xf>
    <xf numFmtId="0" fontId="6" fillId="6" borderId="0" xfId="1" applyFont="1" applyFill="1"/>
    <xf numFmtId="0" fontId="6" fillId="6" borderId="0" xfId="1" applyFont="1" applyFill="1" applyAlignment="1">
      <alignment horizontal="center"/>
    </xf>
    <xf numFmtId="44" fontId="6" fillId="0" borderId="48" xfId="3" applyFont="1" applyBorder="1"/>
    <xf numFmtId="169" fontId="7" fillId="8" borderId="0" xfId="1" applyNumberFormat="1" applyFont="1" applyFill="1" applyBorder="1" applyAlignment="1">
      <alignment horizontal="center"/>
    </xf>
    <xf numFmtId="169" fontId="7" fillId="4" borderId="0" xfId="1" applyNumberFormat="1" applyFont="1" applyFill="1" applyBorder="1" applyAlignment="1">
      <alignment horizontal="center"/>
    </xf>
    <xf numFmtId="169" fontId="7" fillId="12" borderId="0" xfId="1" applyNumberFormat="1" applyFont="1" applyFill="1" applyBorder="1" applyAlignment="1">
      <alignment horizontal="center"/>
    </xf>
    <xf numFmtId="169" fontId="7" fillId="4" borderId="23" xfId="1" applyNumberFormat="1" applyFont="1" applyFill="1" applyBorder="1" applyAlignment="1">
      <alignment horizontal="center"/>
    </xf>
    <xf numFmtId="9" fontId="8" fillId="0" borderId="0" xfId="1" applyNumberFormat="1" applyFont="1" applyBorder="1" applyAlignment="1">
      <alignment horizontal="center"/>
    </xf>
    <xf numFmtId="0" fontId="8" fillId="14" borderId="40" xfId="0" applyFont="1" applyFill="1" applyBorder="1" applyAlignment="1">
      <alignment horizontal="center"/>
    </xf>
    <xf numFmtId="166" fontId="7" fillId="6" borderId="10" xfId="0" applyNumberFormat="1" applyFont="1" applyFill="1" applyBorder="1"/>
    <xf numFmtId="169" fontId="7" fillId="6" borderId="27" xfId="0" applyNumberFormat="1" applyFont="1" applyFill="1" applyBorder="1"/>
    <xf numFmtId="169" fontId="7" fillId="6" borderId="27" xfId="0" applyNumberFormat="1" applyFont="1" applyFill="1" applyBorder="1" applyAlignment="1">
      <alignment horizontal="right"/>
    </xf>
    <xf numFmtId="44" fontId="9" fillId="13" borderId="0" xfId="3" applyFont="1" applyFill="1" applyBorder="1" applyAlignment="1">
      <alignment horizontal="center"/>
    </xf>
    <xf numFmtId="44" fontId="9" fillId="13" borderId="0" xfId="3" applyFont="1" applyFill="1" applyBorder="1" applyAlignment="1">
      <alignment horizontal="right"/>
    </xf>
    <xf numFmtId="44" fontId="6" fillId="6" borderId="1" xfId="3" applyFont="1" applyFill="1" applyBorder="1" applyAlignment="1">
      <alignment horizontal="right"/>
    </xf>
    <xf numFmtId="44" fontId="7" fillId="6" borderId="0" xfId="3" applyFont="1" applyFill="1" applyBorder="1" applyAlignment="1">
      <alignment horizontal="center"/>
    </xf>
    <xf numFmtId="44" fontId="7" fillId="6" borderId="0" xfId="3" applyFont="1" applyFill="1" applyBorder="1" applyAlignment="1">
      <alignment horizontal="right"/>
    </xf>
    <xf numFmtId="44" fontId="6" fillId="0" borderId="0" xfId="0" applyNumberFormat="1" applyFont="1" applyFill="1" applyBorder="1" applyAlignment="1">
      <alignment horizontal="center"/>
    </xf>
    <xf numFmtId="167" fontId="6" fillId="6" borderId="1" xfId="0" applyNumberFormat="1" applyFont="1" applyFill="1" applyBorder="1" applyAlignment="1">
      <alignment horizontal="right"/>
    </xf>
    <xf numFmtId="167" fontId="6" fillId="0" borderId="0" xfId="0" applyNumberFormat="1" applyFont="1" applyFill="1" applyBorder="1" applyAlignment="1">
      <alignment horizontal="center"/>
    </xf>
    <xf numFmtId="167" fontId="6" fillId="6" borderId="0" xfId="3" applyNumberFormat="1" applyFont="1" applyFill="1" applyBorder="1" applyAlignment="1">
      <alignment horizontal="right"/>
    </xf>
    <xf numFmtId="167" fontId="6" fillId="6" borderId="20" xfId="0" applyNumberFormat="1" applyFont="1" applyFill="1" applyBorder="1" applyAlignment="1">
      <alignment horizontal="center"/>
    </xf>
    <xf numFmtId="167" fontId="6" fillId="6" borderId="20" xfId="0" applyNumberFormat="1" applyFont="1" applyFill="1" applyBorder="1" applyAlignment="1">
      <alignment horizontal="right"/>
    </xf>
    <xf numFmtId="167" fontId="6" fillId="0" borderId="2" xfId="0" applyNumberFormat="1" applyFont="1" applyFill="1" applyBorder="1" applyAlignment="1">
      <alignment horizontal="center"/>
    </xf>
    <xf numFmtId="167" fontId="6" fillId="0" borderId="2" xfId="0" applyNumberFormat="1" applyFont="1" applyFill="1" applyBorder="1" applyAlignment="1">
      <alignment horizontal="right"/>
    </xf>
    <xf numFmtId="169" fontId="6" fillId="6" borderId="0" xfId="3" applyNumberFormat="1" applyFont="1" applyFill="1" applyBorder="1"/>
    <xf numFmtId="169" fontId="6" fillId="6" borderId="1" xfId="3" applyNumberFormat="1" applyFont="1" applyFill="1" applyBorder="1" applyAlignment="1">
      <alignment horizontal="right"/>
    </xf>
    <xf numFmtId="169" fontId="6" fillId="6" borderId="1" xfId="3" applyNumberFormat="1" applyFont="1" applyFill="1" applyBorder="1"/>
    <xf numFmtId="169" fontId="6" fillId="0" borderId="0" xfId="3" applyNumberFormat="1" applyFont="1" applyFill="1" applyBorder="1" applyAlignment="1">
      <alignment horizontal="center"/>
    </xf>
    <xf numFmtId="169" fontId="6" fillId="6" borderId="2" xfId="3" applyNumberFormat="1" applyFont="1" applyFill="1" applyBorder="1" applyAlignment="1">
      <alignment horizontal="right"/>
    </xf>
    <xf numFmtId="168" fontId="6" fillId="6" borderId="0" xfId="2" applyNumberFormat="1" applyFont="1" applyFill="1" applyBorder="1"/>
    <xf numFmtId="0" fontId="26" fillId="6" borderId="0" xfId="0" applyFont="1" applyFill="1"/>
    <xf numFmtId="0" fontId="26" fillId="0" borderId="0" xfId="0" applyFont="1" applyFill="1"/>
    <xf numFmtId="0" fontId="8" fillId="13" borderId="37" xfId="0" applyFont="1" applyFill="1" applyBorder="1"/>
    <xf numFmtId="0" fontId="8" fillId="13" borderId="40" xfId="0" applyFont="1" applyFill="1" applyBorder="1"/>
    <xf numFmtId="0" fontId="8" fillId="13" borderId="38" xfId="0" applyFont="1" applyFill="1" applyBorder="1"/>
    <xf numFmtId="0" fontId="8" fillId="13" borderId="22" xfId="0" applyFont="1" applyFill="1" applyBorder="1"/>
    <xf numFmtId="0" fontId="8" fillId="13" borderId="23" xfId="0" applyFont="1" applyFill="1" applyBorder="1"/>
    <xf numFmtId="0" fontId="26" fillId="0" borderId="22" xfId="0" applyFont="1" applyBorder="1"/>
    <xf numFmtId="0" fontId="26" fillId="0" borderId="0" xfId="0" applyFont="1" applyBorder="1"/>
    <xf numFmtId="44" fontId="26" fillId="0" borderId="23" xfId="3" applyFont="1" applyBorder="1"/>
    <xf numFmtId="6" fontId="26" fillId="0" borderId="23" xfId="0" applyNumberFormat="1" applyFont="1" applyBorder="1"/>
    <xf numFmtId="3" fontId="26" fillId="0" borderId="0" xfId="0" applyNumberFormat="1" applyFont="1" applyBorder="1"/>
    <xf numFmtId="0" fontId="26" fillId="0" borderId="39" xfId="0" applyFont="1" applyBorder="1"/>
    <xf numFmtId="8" fontId="26" fillId="0" borderId="21" xfId="0" applyNumberFormat="1" applyFont="1" applyBorder="1"/>
    <xf numFmtId="44" fontId="26" fillId="0" borderId="21" xfId="0" applyNumberFormat="1" applyFont="1" applyBorder="1"/>
    <xf numFmtId="0" fontId="26" fillId="0" borderId="23" xfId="0" applyFont="1" applyBorder="1"/>
    <xf numFmtId="6" fontId="26" fillId="0" borderId="21" xfId="0" applyNumberFormat="1" applyFont="1" applyBorder="1"/>
    <xf numFmtId="0" fontId="26" fillId="0" borderId="43" xfId="0" applyFont="1" applyBorder="1"/>
    <xf numFmtId="0" fontId="26" fillId="0" borderId="81" xfId="0" applyFont="1" applyBorder="1"/>
    <xf numFmtId="0" fontId="26" fillId="0" borderId="44" xfId="0" applyFont="1" applyBorder="1"/>
    <xf numFmtId="169" fontId="26" fillId="0" borderId="23" xfId="3" applyNumberFormat="1" applyFont="1" applyBorder="1"/>
    <xf numFmtId="169" fontId="26" fillId="0" borderId="21" xfId="3" applyNumberFormat="1" applyFont="1" applyBorder="1"/>
    <xf numFmtId="0" fontId="26" fillId="0" borderId="37" xfId="0" applyFont="1" applyBorder="1"/>
    <xf numFmtId="0" fontId="26" fillId="0" borderId="40" xfId="0" applyFont="1" applyBorder="1"/>
    <xf numFmtId="0" fontId="26" fillId="0" borderId="38" xfId="0" applyFont="1" applyBorder="1"/>
    <xf numFmtId="8" fontId="26" fillId="0" borderId="0" xfId="0" applyNumberFormat="1" applyFont="1" applyBorder="1"/>
    <xf numFmtId="1" fontId="6" fillId="0" borderId="0" xfId="0" applyNumberFormat="1" applyFont="1" applyBorder="1"/>
    <xf numFmtId="170" fontId="6" fillId="0" borderId="0" xfId="0" applyNumberFormat="1" applyFont="1" applyBorder="1"/>
    <xf numFmtId="1" fontId="6" fillId="0" borderId="23" xfId="0" applyNumberFormat="1" applyFont="1" applyBorder="1"/>
    <xf numFmtId="2" fontId="6" fillId="0" borderId="0" xfId="0" applyNumberFormat="1" applyFont="1" applyBorder="1"/>
    <xf numFmtId="0" fontId="7" fillId="0" borderId="39" xfId="0" applyFont="1" applyBorder="1"/>
    <xf numFmtId="37" fontId="7" fillId="0" borderId="20" xfId="0" applyNumberFormat="1" applyFont="1" applyBorder="1"/>
    <xf numFmtId="0" fontId="7" fillId="0" borderId="20" xfId="0" applyFont="1" applyBorder="1"/>
    <xf numFmtId="1" fontId="7" fillId="0" borderId="20" xfId="0" applyNumberFormat="1" applyFont="1" applyBorder="1"/>
    <xf numFmtId="1" fontId="7" fillId="0" borderId="21" xfId="0" applyNumberFormat="1" applyFont="1" applyBorder="1"/>
    <xf numFmtId="0" fontId="8" fillId="15" borderId="0" xfId="0" applyFont="1" applyFill="1" applyBorder="1" applyAlignment="1">
      <alignment wrapText="1"/>
    </xf>
    <xf numFmtId="0" fontId="8" fillId="15" borderId="0" xfId="0" applyFont="1" applyFill="1" applyBorder="1" applyAlignment="1">
      <alignment horizontal="center" wrapText="1"/>
    </xf>
    <xf numFmtId="0" fontId="8" fillId="6" borderId="0" xfId="0" applyFont="1" applyFill="1" applyBorder="1" applyAlignment="1">
      <alignment horizontal="center" wrapText="1"/>
    </xf>
    <xf numFmtId="0" fontId="8" fillId="6" borderId="0" xfId="0" applyFont="1" applyFill="1" applyBorder="1" applyAlignment="1">
      <alignment wrapText="1"/>
    </xf>
    <xf numFmtId="0" fontId="28" fillId="6" borderId="0" xfId="0" applyFont="1" applyFill="1" applyBorder="1" applyAlignment="1">
      <alignment horizontal="center" wrapText="1"/>
    </xf>
    <xf numFmtId="9" fontId="33" fillId="6" borderId="0" xfId="0" applyNumberFormat="1" applyFont="1" applyFill="1" applyBorder="1" applyAlignment="1">
      <alignment horizontal="center" wrapText="1"/>
    </xf>
    <xf numFmtId="0" fontId="9" fillId="6" borderId="0" xfId="0" applyFont="1" applyFill="1"/>
    <xf numFmtId="166" fontId="35" fillId="6" borderId="0" xfId="0" applyNumberFormat="1" applyFont="1" applyFill="1"/>
    <xf numFmtId="166" fontId="36" fillId="6" borderId="0" xfId="0" applyNumberFormat="1" applyFont="1" applyFill="1"/>
    <xf numFmtId="0" fontId="13" fillId="6" borderId="0" xfId="0" applyFont="1" applyFill="1" applyBorder="1"/>
    <xf numFmtId="10" fontId="13" fillId="6" borderId="0" xfId="0" applyNumberFormat="1" applyFont="1" applyFill="1" applyBorder="1"/>
    <xf numFmtId="0" fontId="6" fillId="0" borderId="0" xfId="0" applyFont="1" applyBorder="1" applyAlignment="1">
      <alignment horizontal="center"/>
    </xf>
    <xf numFmtId="0" fontId="6" fillId="6" borderId="0" xfId="1" applyFont="1" applyFill="1" applyBorder="1" applyAlignment="1">
      <alignment horizontal="center"/>
    </xf>
    <xf numFmtId="0" fontId="6" fillId="6" borderId="0" xfId="1" applyFont="1" applyFill="1" applyBorder="1"/>
    <xf numFmtId="37" fontId="28" fillId="6" borderId="0" xfId="0" applyNumberFormat="1" applyFont="1" applyFill="1" applyBorder="1"/>
    <xf numFmtId="37" fontId="28" fillId="6" borderId="6" xfId="0" applyNumberFormat="1" applyFont="1" applyFill="1" applyBorder="1"/>
    <xf numFmtId="0" fontId="28" fillId="6" borderId="6" xfId="0" applyFont="1" applyFill="1" applyBorder="1"/>
    <xf numFmtId="5" fontId="28" fillId="6" borderId="6" xfId="0" applyNumberFormat="1" applyFont="1" applyFill="1" applyBorder="1"/>
    <xf numFmtId="0" fontId="28" fillId="6" borderId="6" xfId="0" applyFont="1" applyFill="1" applyBorder="1" applyAlignment="1">
      <alignment horizontal="right"/>
    </xf>
    <xf numFmtId="0" fontId="9" fillId="13" borderId="1" xfId="0" applyFont="1" applyFill="1" applyBorder="1" applyAlignment="1">
      <alignment horizontal="right"/>
    </xf>
    <xf numFmtId="0" fontId="8" fillId="13" borderId="5" xfId="0" applyFont="1" applyFill="1" applyBorder="1" applyAlignment="1">
      <alignment horizontal="center"/>
    </xf>
    <xf numFmtId="169" fontId="6" fillId="6" borderId="3" xfId="0" applyNumberFormat="1" applyFont="1" applyFill="1" applyBorder="1" applyAlignment="1">
      <alignment horizontal="center"/>
    </xf>
    <xf numFmtId="169" fontId="6" fillId="6" borderId="7" xfId="0" applyNumberFormat="1" applyFont="1" applyFill="1" applyBorder="1" applyAlignment="1">
      <alignment horizontal="center"/>
    </xf>
    <xf numFmtId="169" fontId="6" fillId="6" borderId="3" xfId="0" applyNumberFormat="1" applyFont="1" applyFill="1" applyBorder="1" applyAlignment="1">
      <alignment horizontal="right"/>
    </xf>
    <xf numFmtId="169" fontId="6" fillId="6" borderId="5" xfId="0" applyNumberFormat="1" applyFont="1" applyFill="1" applyBorder="1" applyAlignment="1">
      <alignment horizontal="center"/>
    </xf>
    <xf numFmtId="0" fontId="6" fillId="0" borderId="0" xfId="0" applyFont="1" applyAlignment="1"/>
    <xf numFmtId="44" fontId="39" fillId="13" borderId="0" xfId="0" applyNumberFormat="1" applyFont="1" applyFill="1" applyBorder="1" applyAlignment="1">
      <alignment horizontal="right"/>
    </xf>
    <xf numFmtId="171" fontId="8" fillId="13" borderId="1" xfId="0" applyNumberFormat="1" applyFont="1" applyFill="1" applyBorder="1" applyAlignment="1">
      <alignment horizontal="center"/>
    </xf>
    <xf numFmtId="0" fontId="8" fillId="13" borderId="41" xfId="0" applyFont="1" applyFill="1" applyBorder="1"/>
    <xf numFmtId="0" fontId="8" fillId="13" borderId="89" xfId="0" applyFont="1" applyFill="1" applyBorder="1"/>
    <xf numFmtId="0" fontId="8" fillId="13" borderId="22" xfId="0" applyFont="1" applyFill="1" applyBorder="1" applyAlignment="1">
      <alignment vertical="center"/>
    </xf>
    <xf numFmtId="0" fontId="26" fillId="0" borderId="90" xfId="0" applyFont="1" applyBorder="1"/>
    <xf numFmtId="0" fontId="26" fillId="0" borderId="0" xfId="0" applyFont="1" applyBorder="1" applyAlignment="1">
      <alignment horizontal="center" vertical="center"/>
    </xf>
    <xf numFmtId="37" fontId="26" fillId="0" borderId="0" xfId="0" applyNumberFormat="1" applyFont="1" applyBorder="1" applyAlignment="1">
      <alignment horizontal="center" vertical="center"/>
    </xf>
    <xf numFmtId="0" fontId="26" fillId="0" borderId="91" xfId="0" applyFont="1" applyBorder="1"/>
    <xf numFmtId="0" fontId="8" fillId="13" borderId="56" xfId="0" applyFont="1" applyFill="1" applyBorder="1" applyAlignment="1">
      <alignment vertical="center"/>
    </xf>
    <xf numFmtId="167" fontId="26" fillId="0" borderId="90" xfId="0" applyNumberFormat="1" applyFont="1" applyBorder="1"/>
    <xf numFmtId="0" fontId="8" fillId="13" borderId="22" xfId="0" applyFont="1" applyFill="1" applyBorder="1" applyAlignment="1">
      <alignment horizontal="left" vertical="center" indent="1"/>
    </xf>
    <xf numFmtId="0" fontId="8" fillId="13" borderId="41" xfId="0" applyFont="1" applyFill="1" applyBorder="1" applyAlignment="1">
      <alignment horizontal="left" vertical="center" indent="1"/>
    </xf>
    <xf numFmtId="167" fontId="26" fillId="0" borderId="91" xfId="0" applyNumberFormat="1" applyFont="1" applyBorder="1"/>
    <xf numFmtId="5" fontId="26" fillId="0" borderId="0" xfId="0" applyNumberFormat="1" applyFont="1" applyBorder="1" applyAlignment="1">
      <alignment horizontal="center" vertical="center"/>
    </xf>
    <xf numFmtId="6" fontId="26" fillId="0" borderId="0" xfId="0" applyNumberFormat="1" applyFont="1" applyBorder="1" applyAlignment="1">
      <alignment horizontal="center"/>
    </xf>
    <xf numFmtId="0" fontId="8" fillId="13" borderId="39" xfId="0" applyFont="1" applyFill="1" applyBorder="1" applyAlignment="1">
      <alignment horizontal="left" vertical="center" indent="1"/>
    </xf>
    <xf numFmtId="172" fontId="26" fillId="0" borderId="20" xfId="0" applyNumberFormat="1" applyFont="1" applyBorder="1" applyAlignment="1">
      <alignment horizontal="center" vertical="center"/>
    </xf>
    <xf numFmtId="0" fontId="26" fillId="0" borderId="92" xfId="0" applyFont="1" applyBorder="1"/>
    <xf numFmtId="167" fontId="26" fillId="0" borderId="0" xfId="0" applyNumberFormat="1" applyFont="1" applyBorder="1"/>
    <xf numFmtId="167" fontId="26" fillId="0" borderId="23" xfId="0" applyNumberFormat="1" applyFont="1" applyBorder="1"/>
    <xf numFmtId="167" fontId="26" fillId="0" borderId="20" xfId="0" applyNumberFormat="1" applyFont="1" applyBorder="1"/>
    <xf numFmtId="167" fontId="26" fillId="0" borderId="21" xfId="0" applyNumberFormat="1" applyFont="1" applyBorder="1"/>
    <xf numFmtId="0" fontId="26" fillId="13" borderId="40" xfId="0" applyFont="1" applyFill="1" applyBorder="1"/>
    <xf numFmtId="0" fontId="26" fillId="13" borderId="38" xfId="0" applyFont="1" applyFill="1" applyBorder="1"/>
    <xf numFmtId="0" fontId="6" fillId="0" borderId="40" xfId="0" applyFont="1" applyBorder="1"/>
    <xf numFmtId="0" fontId="8" fillId="15" borderId="22" xfId="0" applyFont="1" applyFill="1" applyBorder="1"/>
    <xf numFmtId="0" fontId="6" fillId="0" borderId="22" xfId="0" applyFont="1" applyBorder="1" applyAlignment="1"/>
    <xf numFmtId="0" fontId="6" fillId="0" borderId="23" xfId="0" applyFont="1" applyBorder="1" applyAlignment="1">
      <alignment horizontal="left" wrapText="1"/>
    </xf>
    <xf numFmtId="0" fontId="6" fillId="0" borderId="22" xfId="0" applyFont="1" applyBorder="1" applyAlignment="1">
      <alignment wrapText="1"/>
    </xf>
    <xf numFmtId="0" fontId="6" fillId="0" borderId="23" xfId="0" applyFont="1" applyBorder="1" applyAlignment="1">
      <alignment wrapText="1"/>
    </xf>
    <xf numFmtId="0" fontId="6" fillId="0" borderId="21" xfId="0" applyFont="1" applyBorder="1"/>
    <xf numFmtId="0" fontId="6" fillId="15" borderId="37" xfId="0" applyFont="1" applyFill="1" applyBorder="1"/>
    <xf numFmtId="0" fontId="6" fillId="15" borderId="40" xfId="0" applyFont="1" applyFill="1" applyBorder="1"/>
    <xf numFmtId="0" fontId="6" fillId="15" borderId="38" xfId="0" applyFont="1" applyFill="1" applyBorder="1"/>
    <xf numFmtId="0" fontId="8" fillId="15" borderId="39" xfId="0" applyFont="1" applyFill="1" applyBorder="1"/>
    <xf numFmtId="0" fontId="8" fillId="15" borderId="20" xfId="0" applyFont="1" applyFill="1" applyBorder="1"/>
    <xf numFmtId="0" fontId="8" fillId="15" borderId="21" xfId="0" applyFont="1" applyFill="1" applyBorder="1"/>
    <xf numFmtId="0" fontId="8" fillId="15" borderId="22" xfId="0" applyFont="1" applyFill="1" applyBorder="1" applyAlignment="1">
      <alignment wrapText="1"/>
    </xf>
    <xf numFmtId="0" fontId="8" fillId="15" borderId="23" xfId="0" applyFont="1" applyFill="1" applyBorder="1" applyAlignment="1">
      <alignment horizontal="center" wrapText="1"/>
    </xf>
    <xf numFmtId="0" fontId="8" fillId="6" borderId="22" xfId="0" applyFont="1" applyFill="1" applyBorder="1" applyAlignment="1">
      <alignment wrapText="1"/>
    </xf>
    <xf numFmtId="0" fontId="28" fillId="6" borderId="23" xfId="0" applyFont="1" applyFill="1" applyBorder="1" applyAlignment="1">
      <alignment horizontal="center" wrapText="1"/>
    </xf>
    <xf numFmtId="0" fontId="26" fillId="6" borderId="22" xfId="0" applyFont="1" applyFill="1" applyBorder="1" applyAlignment="1">
      <alignment horizontal="left" vertical="center"/>
    </xf>
    <xf numFmtId="37" fontId="26" fillId="6" borderId="0" xfId="0" applyNumberFormat="1" applyFont="1" applyFill="1" applyBorder="1"/>
    <xf numFmtId="37" fontId="26" fillId="6" borderId="23" xfId="0" applyNumberFormat="1" applyFont="1" applyFill="1" applyBorder="1"/>
    <xf numFmtId="0" fontId="28" fillId="6" borderId="64" xfId="0" applyFont="1" applyFill="1" applyBorder="1"/>
    <xf numFmtId="37" fontId="28" fillId="6" borderId="63" xfId="0" applyNumberFormat="1" applyFont="1" applyFill="1" applyBorder="1"/>
    <xf numFmtId="0" fontId="28" fillId="6" borderId="26" xfId="0" applyFont="1" applyFill="1" applyBorder="1"/>
    <xf numFmtId="0" fontId="28" fillId="6" borderId="27" xfId="0" applyFont="1" applyFill="1" applyBorder="1" applyAlignment="1">
      <alignment horizontal="right"/>
    </xf>
    <xf numFmtId="37" fontId="28" fillId="6" borderId="27" xfId="0" applyNumberFormat="1" applyFont="1" applyFill="1" applyBorder="1"/>
    <xf numFmtId="37" fontId="28" fillId="6" borderId="28" xfId="0" applyNumberFormat="1" applyFont="1" applyFill="1" applyBorder="1"/>
    <xf numFmtId="0" fontId="8" fillId="15" borderId="38" xfId="0" applyFont="1" applyFill="1" applyBorder="1" applyAlignment="1">
      <alignment horizontal="center" wrapText="1"/>
    </xf>
    <xf numFmtId="0" fontId="8" fillId="15" borderId="22" xfId="0" applyFont="1" applyFill="1" applyBorder="1" applyAlignment="1">
      <alignment horizontal="center" wrapText="1"/>
    </xf>
    <xf numFmtId="0" fontId="32" fillId="15" borderId="23" xfId="0" applyFont="1" applyFill="1" applyBorder="1" applyAlignment="1">
      <alignment horizontal="center" wrapText="1"/>
    </xf>
    <xf numFmtId="9" fontId="33" fillId="6" borderId="22" xfId="0" applyNumberFormat="1" applyFont="1" applyFill="1" applyBorder="1" applyAlignment="1">
      <alignment horizontal="center" wrapText="1"/>
    </xf>
    <xf numFmtId="0" fontId="8" fillId="6" borderId="23" xfId="0" applyFont="1" applyFill="1" applyBorder="1" applyAlignment="1">
      <alignment horizontal="center" wrapText="1"/>
    </xf>
    <xf numFmtId="37" fontId="26" fillId="6" borderId="22" xfId="0" applyNumberFormat="1" applyFont="1" applyFill="1" applyBorder="1"/>
    <xf numFmtId="41" fontId="38" fillId="6" borderId="23" xfId="0" applyNumberFormat="1" applyFont="1" applyFill="1" applyBorder="1"/>
    <xf numFmtId="41" fontId="26" fillId="6" borderId="23" xfId="0" applyNumberFormat="1" applyFont="1" applyFill="1" applyBorder="1"/>
    <xf numFmtId="37" fontId="28" fillId="6" borderId="64" xfId="0" applyNumberFormat="1" applyFont="1" applyFill="1" applyBorder="1"/>
    <xf numFmtId="41" fontId="38" fillId="6" borderId="63" xfId="0" applyNumberFormat="1" applyFont="1" applyFill="1" applyBorder="1"/>
    <xf numFmtId="37" fontId="28" fillId="6" borderId="26" xfId="0" applyNumberFormat="1" applyFont="1" applyFill="1" applyBorder="1"/>
    <xf numFmtId="41" fontId="38" fillId="6" borderId="28" xfId="0" applyNumberFormat="1" applyFont="1" applyFill="1" applyBorder="1"/>
    <xf numFmtId="5" fontId="6" fillId="6" borderId="22" xfId="0" applyNumberFormat="1" applyFont="1" applyFill="1" applyBorder="1"/>
    <xf numFmtId="5" fontId="6" fillId="6" borderId="23" xfId="0" applyNumberFormat="1" applyFont="1" applyFill="1" applyBorder="1"/>
    <xf numFmtId="5" fontId="28" fillId="6" borderId="64" xfId="0" applyNumberFormat="1" applyFont="1" applyFill="1" applyBorder="1"/>
    <xf numFmtId="5" fontId="28" fillId="6" borderId="63" xfId="0" applyNumberFormat="1" applyFont="1" applyFill="1" applyBorder="1"/>
    <xf numFmtId="166" fontId="38" fillId="6" borderId="22" xfId="0" applyNumberFormat="1" applyFont="1" applyFill="1" applyBorder="1"/>
    <xf numFmtId="0" fontId="26" fillId="6" borderId="0" xfId="0" applyFont="1" applyFill="1" applyBorder="1"/>
    <xf numFmtId="0" fontId="26" fillId="6" borderId="23" xfId="0" applyFont="1" applyFill="1" applyBorder="1"/>
    <xf numFmtId="0" fontId="26" fillId="6" borderId="22" xfId="0" applyFont="1" applyFill="1" applyBorder="1"/>
    <xf numFmtId="0" fontId="26" fillId="6" borderId="39" xfId="0" applyFont="1" applyFill="1" applyBorder="1"/>
    <xf numFmtId="0" fontId="26" fillId="6" borderId="20" xfId="0" applyFont="1" applyFill="1" applyBorder="1"/>
    <xf numFmtId="0" fontId="26" fillId="6" borderId="21" xfId="0" applyFont="1" applyFill="1" applyBorder="1"/>
    <xf numFmtId="0" fontId="8" fillId="13" borderId="40" xfId="0" applyFont="1" applyFill="1" applyBorder="1" applyAlignment="1">
      <alignment horizontal="center"/>
    </xf>
    <xf numFmtId="0" fontId="8" fillId="13" borderId="38" xfId="0" applyFont="1" applyFill="1" applyBorder="1" applyAlignment="1">
      <alignment horizontal="center"/>
    </xf>
    <xf numFmtId="169" fontId="26" fillId="0" borderId="0" xfId="0" applyNumberFormat="1" applyFont="1" applyBorder="1"/>
    <xf numFmtId="169" fontId="26" fillId="6" borderId="0" xfId="0" applyNumberFormat="1" applyFont="1" applyFill="1" applyBorder="1"/>
    <xf numFmtId="44" fontId="6" fillId="6" borderId="0" xfId="0" applyNumberFormat="1" applyFont="1" applyFill="1" applyBorder="1"/>
    <xf numFmtId="0" fontId="8" fillId="13" borderId="23" xfId="0" applyFont="1" applyFill="1" applyBorder="1" applyAlignment="1">
      <alignment horizontal="center"/>
    </xf>
    <xf numFmtId="0" fontId="6" fillId="6" borderId="22" xfId="0" applyFont="1" applyFill="1" applyBorder="1" applyAlignment="1">
      <alignment horizontal="right"/>
    </xf>
    <xf numFmtId="37" fontId="6" fillId="6" borderId="23" xfId="0" applyNumberFormat="1" applyFont="1" applyFill="1" applyBorder="1"/>
    <xf numFmtId="44" fontId="6" fillId="6" borderId="23" xfId="3" applyFont="1" applyFill="1" applyBorder="1" applyAlignment="1">
      <alignment horizontal="center"/>
    </xf>
    <xf numFmtId="0" fontId="6" fillId="6" borderId="23" xfId="0" applyNumberFormat="1" applyFont="1" applyFill="1" applyBorder="1" applyAlignment="1">
      <alignment horizontal="center"/>
    </xf>
    <xf numFmtId="0" fontId="6" fillId="6" borderId="23" xfId="0" applyFont="1" applyFill="1" applyBorder="1" applyAlignment="1">
      <alignment horizontal="center"/>
    </xf>
    <xf numFmtId="2" fontId="6" fillId="6" borderId="23" xfId="0" applyNumberFormat="1" applyFont="1" applyFill="1" applyBorder="1" applyAlignment="1">
      <alignment horizontal="center"/>
    </xf>
    <xf numFmtId="0" fontId="6" fillId="0" borderId="41" xfId="0" applyFont="1" applyBorder="1" applyAlignment="1">
      <alignment horizontal="right"/>
    </xf>
    <xf numFmtId="8" fontId="6" fillId="0" borderId="42" xfId="0" applyNumberFormat="1" applyFont="1" applyFill="1" applyBorder="1" applyAlignment="1">
      <alignment horizontal="center"/>
    </xf>
    <xf numFmtId="0" fontId="9" fillId="13" borderId="23" xfId="0" applyFont="1" applyFill="1" applyBorder="1" applyAlignment="1">
      <alignment horizontal="right"/>
    </xf>
    <xf numFmtId="8" fontId="6" fillId="6" borderId="23" xfId="0" applyNumberFormat="1" applyFont="1" applyFill="1" applyBorder="1" applyAlignment="1">
      <alignment horizontal="center"/>
    </xf>
    <xf numFmtId="0" fontId="6" fillId="6" borderId="22" xfId="0" applyFont="1" applyFill="1" applyBorder="1" applyAlignment="1">
      <alignment horizontal="right" wrapText="1"/>
    </xf>
    <xf numFmtId="2" fontId="6" fillId="6" borderId="23" xfId="0" applyNumberFormat="1" applyFont="1" applyFill="1" applyBorder="1" applyAlignment="1">
      <alignment horizontal="center" wrapText="1"/>
    </xf>
    <xf numFmtId="0" fontId="6" fillId="6" borderId="41" xfId="0" applyFont="1" applyFill="1" applyBorder="1" applyAlignment="1">
      <alignment horizontal="right" wrapText="1"/>
    </xf>
    <xf numFmtId="8" fontId="6" fillId="6" borderId="42" xfId="0" applyNumberFormat="1" applyFont="1" applyFill="1" applyBorder="1" applyAlignment="1">
      <alignment horizontal="center" wrapText="1"/>
    </xf>
    <xf numFmtId="0" fontId="7" fillId="0" borderId="22" xfId="0" applyFont="1" applyBorder="1" applyAlignment="1">
      <alignment horizontal="right"/>
    </xf>
    <xf numFmtId="8" fontId="6" fillId="0" borderId="23" xfId="0" applyNumberFormat="1" applyFont="1" applyFill="1" applyBorder="1" applyAlignment="1">
      <alignment horizontal="center"/>
    </xf>
    <xf numFmtId="9" fontId="6" fillId="6" borderId="23" xfId="0" applyNumberFormat="1" applyFont="1" applyFill="1" applyBorder="1" applyAlignment="1">
      <alignment horizontal="right"/>
    </xf>
    <xf numFmtId="169" fontId="6" fillId="6" borderId="23" xfId="3" applyNumberFormat="1" applyFont="1" applyFill="1" applyBorder="1" applyAlignment="1">
      <alignment horizontal="right"/>
    </xf>
    <xf numFmtId="0" fontId="6" fillId="6" borderId="41" xfId="0" applyFont="1" applyFill="1" applyBorder="1" applyAlignment="1">
      <alignment horizontal="right"/>
    </xf>
    <xf numFmtId="169" fontId="6" fillId="6" borderId="42" xfId="3" applyNumberFormat="1" applyFont="1" applyFill="1" applyBorder="1" applyAlignment="1">
      <alignment horizontal="right"/>
    </xf>
    <xf numFmtId="169" fontId="6" fillId="0" borderId="23" xfId="3" applyNumberFormat="1" applyFont="1" applyFill="1" applyBorder="1" applyAlignment="1">
      <alignment horizontal="center"/>
    </xf>
    <xf numFmtId="169" fontId="6" fillId="6" borderId="23" xfId="3" applyNumberFormat="1" applyFont="1" applyFill="1" applyBorder="1" applyAlignment="1">
      <alignment horizontal="center"/>
    </xf>
    <xf numFmtId="169" fontId="6" fillId="6" borderId="42" xfId="3" applyNumberFormat="1" applyFont="1" applyFill="1" applyBorder="1" applyAlignment="1">
      <alignment horizontal="center"/>
    </xf>
    <xf numFmtId="169" fontId="6" fillId="0" borderId="42" xfId="3" applyNumberFormat="1" applyFont="1" applyBorder="1" applyAlignment="1">
      <alignment horizontal="center"/>
    </xf>
    <xf numFmtId="0" fontId="7" fillId="6" borderId="58" xfId="0" applyFont="1" applyFill="1" applyBorder="1"/>
    <xf numFmtId="169" fontId="6" fillId="6" borderId="59" xfId="3" applyNumberFormat="1" applyFont="1" applyFill="1" applyBorder="1" applyAlignment="1">
      <alignment horizontal="right"/>
    </xf>
    <xf numFmtId="0" fontId="7" fillId="6" borderId="62" xfId="0" applyFont="1" applyFill="1" applyBorder="1"/>
    <xf numFmtId="0" fontId="6" fillId="6" borderId="82" xfId="0" applyFont="1" applyFill="1" applyBorder="1" applyAlignment="1">
      <alignment horizontal="center"/>
    </xf>
    <xf numFmtId="167" fontId="6" fillId="6" borderId="82" xfId="0" applyNumberFormat="1" applyFont="1" applyFill="1" applyBorder="1" applyAlignment="1">
      <alignment horizontal="center"/>
    </xf>
    <xf numFmtId="0" fontId="7" fillId="6" borderId="93" xfId="0" applyFont="1" applyFill="1" applyBorder="1"/>
    <xf numFmtId="9" fontId="6" fillId="6" borderId="94" xfId="0" applyNumberFormat="1" applyFont="1" applyFill="1" applyBorder="1" applyAlignment="1">
      <alignment horizontal="center"/>
    </xf>
    <xf numFmtId="0" fontId="6" fillId="6" borderId="94" xfId="0" applyFont="1" applyFill="1" applyBorder="1" applyAlignment="1">
      <alignment horizontal="center"/>
    </xf>
    <xf numFmtId="0" fontId="6" fillId="6" borderId="95" xfId="0" applyFont="1" applyFill="1" applyBorder="1" applyAlignment="1">
      <alignment horizontal="center"/>
    </xf>
    <xf numFmtId="0" fontId="8" fillId="13" borderId="96" xfId="0" applyFont="1" applyFill="1" applyBorder="1"/>
    <xf numFmtId="0" fontId="8" fillId="13" borderId="97" xfId="0" applyFont="1" applyFill="1" applyBorder="1"/>
    <xf numFmtId="168" fontId="6" fillId="6" borderId="23" xfId="2" applyNumberFormat="1" applyFont="1" applyFill="1" applyBorder="1" applyAlignment="1">
      <alignment horizontal="left" indent="3"/>
    </xf>
    <xf numFmtId="1" fontId="6" fillId="6" borderId="23" xfId="0" applyNumberFormat="1" applyFont="1" applyFill="1" applyBorder="1" applyAlignment="1">
      <alignment horizontal="center"/>
    </xf>
    <xf numFmtId="1" fontId="6" fillId="6" borderId="23" xfId="0" applyNumberFormat="1" applyFont="1" applyFill="1" applyBorder="1"/>
    <xf numFmtId="168" fontId="6" fillId="6" borderId="23" xfId="2" applyNumberFormat="1" applyFont="1" applyFill="1" applyBorder="1"/>
    <xf numFmtId="0" fontId="6" fillId="6" borderId="22" xfId="0" applyFont="1" applyFill="1" applyBorder="1" applyAlignment="1">
      <alignment horizontal="left"/>
    </xf>
    <xf numFmtId="0" fontId="9" fillId="13" borderId="23" xfId="0" applyFont="1" applyFill="1" applyBorder="1"/>
    <xf numFmtId="6" fontId="9" fillId="13" borderId="23" xfId="0" applyNumberFormat="1" applyFont="1" applyFill="1" applyBorder="1"/>
    <xf numFmtId="10" fontId="6" fillId="6" borderId="22" xfId="0" applyNumberFormat="1" applyFont="1" applyFill="1" applyBorder="1"/>
    <xf numFmtId="0" fontId="7" fillId="6" borderId="56" xfId="0" applyFont="1" applyFill="1" applyBorder="1"/>
    <xf numFmtId="6" fontId="6" fillId="6" borderId="88" xfId="0" applyNumberFormat="1" applyFont="1" applyFill="1" applyBorder="1" applyAlignment="1">
      <alignment horizontal="center"/>
    </xf>
    <xf numFmtId="169" fontId="6" fillId="6" borderId="23" xfId="3" applyNumberFormat="1" applyFont="1" applyFill="1" applyBorder="1"/>
    <xf numFmtId="169" fontId="6" fillId="6" borderId="42" xfId="3" applyNumberFormat="1" applyFont="1" applyFill="1" applyBorder="1"/>
    <xf numFmtId="0" fontId="7" fillId="6" borderId="41" xfId="0" applyFont="1" applyFill="1" applyBorder="1"/>
    <xf numFmtId="0" fontId="6" fillId="13" borderId="40" xfId="0" applyFont="1" applyFill="1" applyBorder="1"/>
    <xf numFmtId="0" fontId="11" fillId="6" borderId="22" xfId="0" applyFont="1" applyFill="1" applyBorder="1" applyAlignment="1">
      <alignment horizontal="center"/>
    </xf>
    <xf numFmtId="0" fontId="28" fillId="6" borderId="0" xfId="0" applyFont="1" applyFill="1" applyBorder="1" applyAlignment="1">
      <alignment horizontal="center"/>
    </xf>
    <xf numFmtId="169" fontId="40" fillId="6" borderId="23" xfId="0" applyNumberFormat="1" applyFont="1" applyFill="1" applyBorder="1" applyAlignment="1">
      <alignment horizontal="left"/>
    </xf>
    <xf numFmtId="169" fontId="40" fillId="6" borderId="0" xfId="0" applyNumberFormat="1" applyFont="1" applyFill="1" applyBorder="1" applyAlignment="1">
      <alignment horizontal="left"/>
    </xf>
    <xf numFmtId="0" fontId="28" fillId="6" borderId="39" xfId="0" applyFont="1" applyFill="1" applyBorder="1"/>
    <xf numFmtId="0" fontId="28" fillId="6" borderId="20" xfId="0" applyFont="1" applyFill="1" applyBorder="1"/>
    <xf numFmtId="169" fontId="28" fillId="6" borderId="20" xfId="0" applyNumberFormat="1" applyFont="1" applyFill="1" applyBorder="1"/>
    <xf numFmtId="169" fontId="28" fillId="6" borderId="21" xfId="0" applyNumberFormat="1" applyFont="1" applyFill="1" applyBorder="1"/>
    <xf numFmtId="0" fontId="11" fillId="6" borderId="41" xfId="0" applyFont="1" applyFill="1" applyBorder="1" applyAlignment="1">
      <alignment horizontal="center"/>
    </xf>
    <xf numFmtId="0" fontId="28" fillId="6" borderId="1" xfId="0" applyFont="1" applyFill="1" applyBorder="1" applyAlignment="1">
      <alignment horizontal="center"/>
    </xf>
    <xf numFmtId="169" fontId="40" fillId="6" borderId="1" xfId="0" applyNumberFormat="1" applyFont="1" applyFill="1" applyBorder="1" applyAlignment="1">
      <alignment horizontal="left"/>
    </xf>
    <xf numFmtId="169" fontId="40" fillId="6" borderId="42" xfId="0" applyNumberFormat="1" applyFont="1" applyFill="1" applyBorder="1" applyAlignment="1">
      <alignment horizontal="left"/>
    </xf>
    <xf numFmtId="0" fontId="1" fillId="0" borderId="22" xfId="0" applyFont="1" applyBorder="1"/>
    <xf numFmtId="0" fontId="1" fillId="0" borderId="23" xfId="0" applyFont="1" applyBorder="1"/>
    <xf numFmtId="0" fontId="28" fillId="0" borderId="39" xfId="0" applyFont="1" applyBorder="1"/>
    <xf numFmtId="174" fontId="28" fillId="0" borderId="21" xfId="0" applyNumberFormat="1" applyFont="1" applyBorder="1"/>
    <xf numFmtId="0" fontId="1" fillId="0" borderId="41" xfId="0" applyFont="1" applyBorder="1"/>
    <xf numFmtId="0" fontId="1" fillId="0" borderId="42" xfId="0" applyFont="1" applyBorder="1"/>
    <xf numFmtId="172" fontId="26" fillId="0" borderId="0" xfId="0" applyNumberFormat="1" applyFont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indent="1"/>
    </xf>
    <xf numFmtId="37" fontId="26" fillId="0" borderId="0" xfId="0" applyNumberFormat="1" applyFont="1" applyBorder="1"/>
    <xf numFmtId="169" fontId="26" fillId="0" borderId="23" xfId="0" applyNumberFormat="1" applyFont="1" applyBorder="1"/>
    <xf numFmtId="168" fontId="26" fillId="0" borderId="0" xfId="0" applyNumberFormat="1" applyFont="1" applyBorder="1"/>
    <xf numFmtId="168" fontId="26" fillId="0" borderId="23" xfId="0" applyNumberFormat="1" applyFont="1" applyBorder="1"/>
    <xf numFmtId="164" fontId="26" fillId="0" borderId="0" xfId="0" applyNumberFormat="1" applyFont="1" applyBorder="1"/>
    <xf numFmtId="164" fontId="26" fillId="0" borderId="23" xfId="0" applyNumberFormat="1" applyFont="1" applyBorder="1"/>
    <xf numFmtId="9" fontId="26" fillId="0" borderId="20" xfId="0" applyNumberFormat="1" applyFont="1" applyBorder="1"/>
    <xf numFmtId="0" fontId="26" fillId="0" borderId="21" xfId="0" applyFont="1" applyBorder="1"/>
    <xf numFmtId="6" fontId="7" fillId="0" borderId="20" xfId="0" applyNumberFormat="1" applyFont="1" applyBorder="1"/>
    <xf numFmtId="167" fontId="7" fillId="0" borderId="20" xfId="0" applyNumberFormat="1" applyFont="1" applyBorder="1"/>
    <xf numFmtId="168" fontId="7" fillId="0" borderId="21" xfId="0" applyNumberFormat="1" applyFont="1" applyBorder="1"/>
    <xf numFmtId="0" fontId="6" fillId="6" borderId="40" xfId="0" applyFont="1" applyFill="1" applyBorder="1"/>
    <xf numFmtId="9" fontId="34" fillId="0" borderId="0" xfId="0" applyNumberFormat="1" applyFont="1" applyBorder="1"/>
    <xf numFmtId="37" fontId="6" fillId="0" borderId="23" xfId="0" applyNumberFormat="1" applyFont="1" applyBorder="1"/>
    <xf numFmtId="37" fontId="6" fillId="0" borderId="26" xfId="0" applyNumberFormat="1" applyFont="1" applyBorder="1"/>
    <xf numFmtId="37" fontId="6" fillId="0" borderId="27" xfId="0" applyNumberFormat="1" applyFont="1" applyBorder="1"/>
    <xf numFmtId="37" fontId="6" fillId="0" borderId="28" xfId="0" applyNumberFormat="1" applyFont="1" applyBorder="1"/>
    <xf numFmtId="0" fontId="38" fillId="6" borderId="0" xfId="0" applyFont="1" applyFill="1" applyBorder="1"/>
    <xf numFmtId="10" fontId="38" fillId="6" borderId="0" xfId="0" applyNumberFormat="1" applyFont="1" applyFill="1" applyBorder="1"/>
    <xf numFmtId="0" fontId="8" fillId="13" borderId="24" xfId="0" applyFont="1" applyFill="1" applyBorder="1"/>
    <xf numFmtId="0" fontId="8" fillId="13" borderId="24" xfId="0" applyFont="1" applyFill="1" applyBorder="1" applyAlignment="1">
      <alignment horizontal="center"/>
    </xf>
    <xf numFmtId="0" fontId="8" fillId="13" borderId="25" xfId="0" applyFont="1" applyFill="1" applyBorder="1"/>
    <xf numFmtId="0" fontId="28" fillId="6" borderId="22" xfId="0" applyFont="1" applyFill="1" applyBorder="1" applyAlignment="1">
      <alignment horizontal="center" wrapText="1"/>
    </xf>
    <xf numFmtId="9" fontId="26" fillId="6" borderId="0" xfId="0" applyNumberFormat="1" applyFont="1" applyFill="1" applyBorder="1"/>
    <xf numFmtId="37" fontId="26" fillId="6" borderId="26" xfId="0" applyNumberFormat="1" applyFont="1" applyFill="1" applyBorder="1"/>
    <xf numFmtId="37" fontId="26" fillId="6" borderId="27" xfId="0" applyNumberFormat="1" applyFont="1" applyFill="1" applyBorder="1"/>
    <xf numFmtId="37" fontId="26" fillId="6" borderId="28" xfId="0" applyNumberFormat="1" applyFont="1" applyFill="1" applyBorder="1"/>
    <xf numFmtId="0" fontId="10" fillId="15" borderId="22" xfId="0" applyFont="1" applyFill="1" applyBorder="1"/>
    <xf numFmtId="0" fontId="10" fillId="15" borderId="0" xfId="0" applyFont="1" applyFill="1" applyBorder="1"/>
    <xf numFmtId="167" fontId="6" fillId="0" borderId="23" xfId="0" applyNumberFormat="1" applyFont="1" applyBorder="1"/>
    <xf numFmtId="0" fontId="14" fillId="15" borderId="0" xfId="0" applyFont="1" applyFill="1" applyBorder="1"/>
    <xf numFmtId="0" fontId="11" fillId="0" borderId="40" xfId="0" applyFont="1" applyFill="1" applyBorder="1" applyAlignment="1">
      <alignment horizontal="center"/>
    </xf>
    <xf numFmtId="0" fontId="10" fillId="13" borderId="0" xfId="0" applyFont="1" applyFill="1" applyBorder="1"/>
    <xf numFmtId="0" fontId="12" fillId="0" borderId="0" xfId="0" applyFont="1" applyFill="1" applyBorder="1"/>
    <xf numFmtId="0" fontId="10" fillId="9" borderId="0" xfId="0" applyFont="1" applyFill="1" applyBorder="1"/>
    <xf numFmtId="0" fontId="10" fillId="11" borderId="0" xfId="0" applyFont="1" applyFill="1" applyBorder="1"/>
    <xf numFmtId="0" fontId="10" fillId="11" borderId="23" xfId="0" applyFont="1" applyFill="1" applyBorder="1"/>
    <xf numFmtId="0" fontId="11" fillId="0" borderId="0" xfId="0" applyFont="1" applyFill="1" applyBorder="1"/>
    <xf numFmtId="0" fontId="8" fillId="15" borderId="40" xfId="0" applyFont="1" applyFill="1" applyBorder="1" applyAlignment="1">
      <alignment wrapText="1"/>
    </xf>
    <xf numFmtId="0" fontId="8" fillId="15" borderId="38" xfId="0" applyFont="1" applyFill="1" applyBorder="1" applyAlignment="1">
      <alignment wrapText="1"/>
    </xf>
    <xf numFmtId="0" fontId="8" fillId="6" borderId="22" xfId="0" applyFont="1" applyFill="1" applyBorder="1" applyAlignment="1">
      <alignment horizontal="center" wrapText="1"/>
    </xf>
    <xf numFmtId="37" fontId="7" fillId="6" borderId="22" xfId="0" applyNumberFormat="1" applyFont="1" applyFill="1" applyBorder="1"/>
    <xf numFmtId="37" fontId="37" fillId="0" borderId="23" xfId="0" applyNumberFormat="1" applyFont="1" applyBorder="1"/>
    <xf numFmtId="0" fontId="26" fillId="6" borderId="22" xfId="0" applyFont="1" applyFill="1" applyBorder="1" applyAlignment="1">
      <alignment horizontal="center" wrapText="1"/>
    </xf>
    <xf numFmtId="0" fontId="6" fillId="6" borderId="3" xfId="0" applyFont="1" applyFill="1" applyBorder="1" applyAlignment="1">
      <alignment horizontal="right"/>
    </xf>
    <xf numFmtId="0" fontId="8" fillId="13" borderId="0" xfId="0" applyFont="1" applyFill="1" applyBorder="1" applyAlignment="1">
      <alignment horizontal="center"/>
    </xf>
    <xf numFmtId="0" fontId="8" fillId="13" borderId="23" xfId="0" applyFont="1" applyFill="1" applyBorder="1" applyAlignment="1">
      <alignment horizontal="center"/>
    </xf>
    <xf numFmtId="0" fontId="8" fillId="13" borderId="37" xfId="0" applyFont="1" applyFill="1" applyBorder="1" applyAlignment="1">
      <alignment horizontal="right"/>
    </xf>
    <xf numFmtId="0" fontId="8" fillId="13" borderId="40" xfId="0" applyFont="1" applyFill="1" applyBorder="1" applyAlignment="1">
      <alignment horizontal="right"/>
    </xf>
    <xf numFmtId="0" fontId="8" fillId="13" borderId="40" xfId="0" applyFont="1" applyFill="1" applyBorder="1" applyAlignment="1">
      <alignment horizontal="left"/>
    </xf>
    <xf numFmtId="0" fontId="9" fillId="13" borderId="40" xfId="0" applyFont="1" applyFill="1" applyBorder="1"/>
    <xf numFmtId="0" fontId="8" fillId="13" borderId="96" xfId="0" applyFont="1" applyFill="1" applyBorder="1" applyAlignment="1">
      <alignment horizontal="center"/>
    </xf>
    <xf numFmtId="0" fontId="8" fillId="13" borderId="97" xfId="0" applyFont="1" applyFill="1" applyBorder="1" applyAlignment="1">
      <alignment horizontal="center"/>
    </xf>
    <xf numFmtId="0" fontId="9" fillId="13" borderId="41" xfId="0" applyFont="1" applyFill="1" applyBorder="1" applyAlignment="1">
      <alignment horizontal="right"/>
    </xf>
    <xf numFmtId="0" fontId="8" fillId="13" borderId="82" xfId="0" applyFont="1" applyFill="1" applyBorder="1" applyAlignment="1">
      <alignment horizontal="center"/>
    </xf>
    <xf numFmtId="169" fontId="6" fillId="6" borderId="61" xfId="0" applyNumberFormat="1" applyFont="1" applyFill="1" applyBorder="1" applyAlignment="1">
      <alignment horizontal="right"/>
    </xf>
    <xf numFmtId="167" fontId="6" fillId="0" borderId="40" xfId="0" applyNumberFormat="1" applyFont="1" applyBorder="1"/>
    <xf numFmtId="167" fontId="6" fillId="0" borderId="38" xfId="0" applyNumberFormat="1" applyFont="1" applyBorder="1"/>
    <xf numFmtId="167" fontId="7" fillId="0" borderId="21" xfId="0" applyNumberFormat="1" applyFont="1" applyBorder="1"/>
    <xf numFmtId="0" fontId="9" fillId="13" borderId="37" xfId="0" applyFont="1" applyFill="1" applyBorder="1"/>
    <xf numFmtId="0" fontId="9" fillId="13" borderId="40" xfId="0" applyFont="1" applyFill="1" applyBorder="1" applyAlignment="1">
      <alignment horizontal="center"/>
    </xf>
    <xf numFmtId="0" fontId="9" fillId="13" borderId="38" xfId="0" applyFont="1" applyFill="1" applyBorder="1"/>
    <xf numFmtId="37" fontId="6" fillId="6" borderId="23" xfId="0" applyNumberFormat="1" applyFont="1" applyFill="1" applyBorder="1" applyAlignment="1">
      <alignment horizontal="center" vertical="center"/>
    </xf>
    <xf numFmtId="37" fontId="6" fillId="6" borderId="42" xfId="0" applyNumberFormat="1" applyFont="1" applyFill="1" applyBorder="1" applyAlignment="1">
      <alignment horizontal="center" vertical="center"/>
    </xf>
    <xf numFmtId="0" fontId="7" fillId="6" borderId="64" xfId="0" applyFont="1" applyFill="1" applyBorder="1"/>
    <xf numFmtId="37" fontId="7" fillId="6" borderId="63" xfId="0" applyNumberFormat="1" applyFont="1" applyFill="1" applyBorder="1" applyAlignment="1">
      <alignment horizontal="center"/>
    </xf>
    <xf numFmtId="37" fontId="7" fillId="6" borderId="23" xfId="0" applyNumberFormat="1" applyFont="1" applyFill="1" applyBorder="1" applyAlignment="1">
      <alignment horizontal="center"/>
    </xf>
    <xf numFmtId="0" fontId="8" fillId="13" borderId="22" xfId="0" applyFont="1" applyFill="1" applyBorder="1" applyAlignment="1"/>
    <xf numFmtId="0" fontId="6" fillId="13" borderId="23" xfId="0" applyFont="1" applyFill="1" applyBorder="1"/>
    <xf numFmtId="167" fontId="6" fillId="6" borderId="23" xfId="0" applyNumberFormat="1" applyFont="1" applyFill="1" applyBorder="1" applyAlignment="1">
      <alignment horizontal="center"/>
    </xf>
    <xf numFmtId="6" fontId="6" fillId="6" borderId="23" xfId="0" applyNumberFormat="1" applyFont="1" applyFill="1" applyBorder="1" applyAlignment="1">
      <alignment horizontal="right"/>
    </xf>
    <xf numFmtId="164" fontId="13" fillId="6" borderId="23" xfId="0" applyNumberFormat="1" applyFont="1" applyFill="1" applyBorder="1" applyAlignment="1">
      <alignment horizontal="center"/>
    </xf>
    <xf numFmtId="164" fontId="6" fillId="6" borderId="23" xfId="0" applyNumberFormat="1" applyFont="1" applyFill="1" applyBorder="1" applyAlignment="1">
      <alignment horizontal="center"/>
    </xf>
    <xf numFmtId="0" fontId="6" fillId="6" borderId="45" xfId="0" applyFont="1" applyFill="1" applyBorder="1" applyAlignment="1">
      <alignment horizontal="right"/>
    </xf>
    <xf numFmtId="0" fontId="7" fillId="6" borderId="22" xfId="0" applyFont="1" applyFill="1" applyBorder="1" applyAlignment="1">
      <alignment horizontal="right"/>
    </xf>
    <xf numFmtId="0" fontId="6" fillId="0" borderId="23" xfId="0" applyFont="1" applyFill="1" applyBorder="1" applyAlignment="1">
      <alignment horizontal="right"/>
    </xf>
    <xf numFmtId="0" fontId="6" fillId="13" borderId="23" xfId="0" applyFont="1" applyFill="1" applyBorder="1" applyAlignment="1">
      <alignment horizontal="right"/>
    </xf>
    <xf numFmtId="10" fontId="6" fillId="6" borderId="23" xfId="0" applyNumberFormat="1" applyFont="1" applyFill="1" applyBorder="1" applyAlignment="1">
      <alignment horizontal="right"/>
    </xf>
    <xf numFmtId="164" fontId="6" fillId="6" borderId="23" xfId="0" applyNumberFormat="1" applyFont="1" applyFill="1" applyBorder="1" applyAlignment="1">
      <alignment horizontal="right"/>
    </xf>
    <xf numFmtId="0" fontId="6" fillId="6" borderId="42" xfId="0" applyFont="1" applyFill="1" applyBorder="1" applyAlignment="1">
      <alignment horizontal="right"/>
    </xf>
    <xf numFmtId="0" fontId="8" fillId="13" borderId="58" xfId="0" applyFont="1" applyFill="1" applyBorder="1"/>
    <xf numFmtId="0" fontId="9" fillId="13" borderId="59" xfId="0" applyFont="1" applyFill="1" applyBorder="1" applyAlignment="1">
      <alignment horizontal="right"/>
    </xf>
    <xf numFmtId="0" fontId="6" fillId="6" borderId="60" xfId="0" applyFont="1" applyFill="1" applyBorder="1" applyAlignment="1">
      <alignment horizontal="right"/>
    </xf>
    <xf numFmtId="0" fontId="6" fillId="6" borderId="66" xfId="0" applyFont="1" applyFill="1" applyBorder="1" applyAlignment="1">
      <alignment horizontal="right"/>
    </xf>
    <xf numFmtId="0" fontId="7" fillId="6" borderId="62" xfId="0" applyFont="1" applyFill="1" applyBorder="1" applyAlignment="1">
      <alignment horizontal="right"/>
    </xf>
    <xf numFmtId="0" fontId="7" fillId="6" borderId="74" xfId="0" applyFont="1" applyFill="1" applyBorder="1"/>
    <xf numFmtId="0" fontId="7" fillId="6" borderId="60" xfId="0" applyFont="1" applyFill="1" applyBorder="1"/>
    <xf numFmtId="0" fontId="7" fillId="6" borderId="66" xfId="0" applyFont="1" applyFill="1" applyBorder="1"/>
    <xf numFmtId="164" fontId="6" fillId="6" borderId="0" xfId="0" applyNumberFormat="1" applyFont="1" applyFill="1" applyBorder="1" applyAlignment="1">
      <alignment horizontal="left" indent="2"/>
    </xf>
    <xf numFmtId="167" fontId="6" fillId="6" borderId="0" xfId="0" applyNumberFormat="1" applyFont="1" applyFill="1" applyBorder="1" applyAlignment="1">
      <alignment horizontal="left" indent="2"/>
    </xf>
    <xf numFmtId="164" fontId="6" fillId="6" borderId="1" xfId="0" applyNumberFormat="1" applyFont="1" applyFill="1" applyBorder="1" applyAlignment="1">
      <alignment horizontal="left" indent="2"/>
    </xf>
    <xf numFmtId="167" fontId="6" fillId="6" borderId="1" xfId="0" applyNumberFormat="1" applyFont="1" applyFill="1" applyBorder="1" applyAlignment="1">
      <alignment horizontal="left" indent="2"/>
    </xf>
    <xf numFmtId="169" fontId="6" fillId="6" borderId="7" xfId="0" applyNumberFormat="1" applyFont="1" applyFill="1" applyBorder="1" applyAlignment="1">
      <alignment horizontal="right"/>
    </xf>
    <xf numFmtId="169" fontId="6" fillId="6" borderId="82" xfId="0" applyNumberFormat="1" applyFont="1" applyFill="1" applyBorder="1" applyAlignment="1">
      <alignment horizontal="center"/>
    </xf>
    <xf numFmtId="169" fontId="6" fillId="6" borderId="4" xfId="0" applyNumberFormat="1" applyFont="1" applyFill="1" applyBorder="1" applyAlignment="1">
      <alignment horizontal="center"/>
    </xf>
    <xf numFmtId="169" fontId="6" fillId="6" borderId="4" xfId="3" applyNumberFormat="1" applyFont="1" applyFill="1" applyBorder="1" applyAlignment="1">
      <alignment horizontal="center"/>
    </xf>
    <xf numFmtId="169" fontId="6" fillId="6" borderId="57" xfId="3" applyNumberFormat="1" applyFont="1" applyFill="1" applyBorder="1" applyAlignment="1">
      <alignment horizontal="center"/>
    </xf>
    <xf numFmtId="169" fontId="6" fillId="6" borderId="77" xfId="0" applyNumberFormat="1" applyFont="1" applyFill="1" applyBorder="1" applyAlignment="1">
      <alignment horizontal="right"/>
    </xf>
    <xf numFmtId="167" fontId="6" fillId="6" borderId="35" xfId="0" applyNumberFormat="1" applyFont="1" applyFill="1" applyBorder="1" applyAlignment="1">
      <alignment horizontal="center"/>
    </xf>
    <xf numFmtId="167" fontId="6" fillId="6" borderId="46" xfId="0" applyNumberFormat="1" applyFont="1" applyFill="1" applyBorder="1" applyAlignment="1">
      <alignment horizontal="center"/>
    </xf>
    <xf numFmtId="167" fontId="6" fillId="0" borderId="23" xfId="0" applyNumberFormat="1" applyFont="1" applyFill="1" applyBorder="1" applyAlignment="1">
      <alignment horizontal="center"/>
    </xf>
    <xf numFmtId="167" fontId="6" fillId="6" borderId="1" xfId="0" applyNumberFormat="1" applyFont="1" applyFill="1" applyBorder="1" applyAlignment="1">
      <alignment horizontal="center"/>
    </xf>
    <xf numFmtId="167" fontId="6" fillId="6" borderId="42" xfId="0" applyNumberFormat="1" applyFont="1" applyFill="1" applyBorder="1" applyAlignment="1">
      <alignment horizontal="center"/>
    </xf>
    <xf numFmtId="167" fontId="6" fillId="0" borderId="0" xfId="0" applyNumberFormat="1" applyFont="1" applyFill="1" applyBorder="1" applyAlignment="1">
      <alignment horizontal="right"/>
    </xf>
    <xf numFmtId="0" fontId="8" fillId="15" borderId="98" xfId="0" applyFont="1" applyFill="1" applyBorder="1"/>
    <xf numFmtId="0" fontId="8" fillId="15" borderId="24" xfId="0" applyFont="1" applyFill="1" applyBorder="1"/>
    <xf numFmtId="0" fontId="8" fillId="15" borderId="25" xfId="0" applyFont="1" applyFill="1" applyBorder="1"/>
    <xf numFmtId="0" fontId="10" fillId="15" borderId="98" xfId="0" applyFont="1" applyFill="1" applyBorder="1"/>
    <xf numFmtId="0" fontId="10" fillId="15" borderId="24" xfId="0" applyFont="1" applyFill="1" applyBorder="1"/>
    <xf numFmtId="0" fontId="10" fillId="15" borderId="25" xfId="0" applyFont="1" applyFill="1" applyBorder="1"/>
    <xf numFmtId="0" fontId="8" fillId="13" borderId="98" xfId="0" applyFont="1" applyFill="1" applyBorder="1"/>
    <xf numFmtId="0" fontId="8" fillId="13" borderId="24" xfId="0" applyFont="1" applyFill="1" applyBorder="1" applyAlignment="1">
      <alignment wrapText="1"/>
    </xf>
    <xf numFmtId="0" fontId="8" fillId="13" borderId="25" xfId="0" applyFont="1" applyFill="1" applyBorder="1" applyAlignment="1">
      <alignment wrapText="1"/>
    </xf>
    <xf numFmtId="0" fontId="9" fillId="13" borderId="41" xfId="0" applyFont="1" applyFill="1" applyBorder="1"/>
    <xf numFmtId="0" fontId="8" fillId="13" borderId="42" xfId="0" applyFont="1" applyFill="1" applyBorder="1" applyAlignment="1">
      <alignment horizontal="center"/>
    </xf>
    <xf numFmtId="0" fontId="6" fillId="6" borderId="45" xfId="0" applyFont="1" applyFill="1" applyBorder="1"/>
    <xf numFmtId="37" fontId="6" fillId="6" borderId="46" xfId="0" applyNumberFormat="1" applyFont="1" applyFill="1" applyBorder="1" applyAlignment="1">
      <alignment horizontal="center" vertical="center"/>
    </xf>
    <xf numFmtId="164" fontId="6" fillId="6" borderId="46" xfId="0" applyNumberFormat="1" applyFont="1" applyFill="1" applyBorder="1" applyAlignment="1">
      <alignment horizontal="center"/>
    </xf>
    <xf numFmtId="0" fontId="7" fillId="6" borderId="99" xfId="0" applyFont="1" applyFill="1" applyBorder="1" applyAlignment="1">
      <alignment horizontal="right"/>
    </xf>
    <xf numFmtId="164" fontId="6" fillId="6" borderId="100" xfId="0" applyNumberFormat="1" applyFont="1" applyFill="1" applyBorder="1" applyAlignment="1">
      <alignment horizontal="center"/>
    </xf>
    <xf numFmtId="164" fontId="6" fillId="6" borderId="59" xfId="0" applyNumberFormat="1" applyFont="1" applyFill="1" applyBorder="1" applyAlignment="1">
      <alignment horizontal="center"/>
    </xf>
    <xf numFmtId="0" fontId="6" fillId="6" borderId="61" xfId="0" applyFont="1" applyFill="1" applyBorder="1" applyAlignment="1">
      <alignment horizontal="right"/>
    </xf>
    <xf numFmtId="0" fontId="8" fillId="13" borderId="64" xfId="0" applyFont="1" applyFill="1" applyBorder="1" applyAlignment="1">
      <alignment horizontal="left"/>
    </xf>
    <xf numFmtId="0" fontId="9" fillId="13" borderId="63" xfId="0" applyFont="1" applyFill="1" applyBorder="1" applyAlignment="1">
      <alignment horizontal="right"/>
    </xf>
    <xf numFmtId="0" fontId="6" fillId="6" borderId="63" xfId="0" applyFont="1" applyFill="1" applyBorder="1" applyAlignment="1">
      <alignment horizontal="right"/>
    </xf>
    <xf numFmtId="9" fontId="6" fillId="6" borderId="42" xfId="0" applyNumberFormat="1" applyFont="1" applyFill="1" applyBorder="1" applyAlignment="1">
      <alignment horizontal="right"/>
    </xf>
    <xf numFmtId="0" fontId="6" fillId="6" borderId="23" xfId="0" applyFont="1" applyFill="1" applyBorder="1" applyAlignment="1">
      <alignment horizontal="right"/>
    </xf>
    <xf numFmtId="164" fontId="6" fillId="6" borderId="82" xfId="0" applyNumberFormat="1" applyFont="1" applyFill="1" applyBorder="1" applyAlignment="1">
      <alignment horizontal="center"/>
    </xf>
    <xf numFmtId="44" fontId="6" fillId="6" borderId="23" xfId="3" applyFont="1" applyFill="1" applyBorder="1" applyAlignment="1">
      <alignment horizontal="right"/>
    </xf>
    <xf numFmtId="167" fontId="6" fillId="6" borderId="23" xfId="0" applyNumberFormat="1" applyFont="1" applyFill="1" applyBorder="1" applyAlignment="1">
      <alignment horizontal="right"/>
    </xf>
    <xf numFmtId="167" fontId="6" fillId="6" borderId="23" xfId="3" applyNumberFormat="1" applyFont="1" applyFill="1" applyBorder="1" applyAlignment="1">
      <alignment horizontal="right"/>
    </xf>
    <xf numFmtId="167" fontId="6" fillId="6" borderId="2" xfId="0" applyNumberFormat="1" applyFont="1" applyFill="1" applyBorder="1" applyAlignment="1">
      <alignment horizontal="center"/>
    </xf>
    <xf numFmtId="167" fontId="6" fillId="6" borderId="59" xfId="0" applyNumberFormat="1" applyFont="1" applyFill="1" applyBorder="1" applyAlignment="1">
      <alignment horizontal="center"/>
    </xf>
    <xf numFmtId="168" fontId="6" fillId="6" borderId="23" xfId="2" applyNumberFormat="1" applyFont="1" applyFill="1" applyBorder="1" applyAlignment="1">
      <alignment horizontal="center"/>
    </xf>
    <xf numFmtId="168" fontId="6" fillId="6" borderId="23" xfId="2" applyNumberFormat="1" applyFont="1" applyFill="1" applyBorder="1" applyAlignment="1">
      <alignment horizontal="right"/>
    </xf>
    <xf numFmtId="44" fontId="7" fillId="6" borderId="23" xfId="3" applyFont="1" applyFill="1" applyBorder="1" applyAlignment="1">
      <alignment horizontal="right"/>
    </xf>
    <xf numFmtId="44" fontId="6" fillId="6" borderId="42" xfId="3" applyFont="1" applyFill="1" applyBorder="1" applyAlignment="1">
      <alignment horizontal="right"/>
    </xf>
    <xf numFmtId="44" fontId="9" fillId="13" borderId="23" xfId="3" applyFont="1" applyFill="1" applyBorder="1" applyAlignment="1">
      <alignment horizontal="right"/>
    </xf>
    <xf numFmtId="0" fontId="6" fillId="6" borderId="26" xfId="0" applyFont="1" applyFill="1" applyBorder="1" applyAlignment="1">
      <alignment horizontal="right"/>
    </xf>
    <xf numFmtId="169" fontId="6" fillId="6" borderId="28" xfId="3" applyNumberFormat="1" applyFont="1" applyFill="1" applyBorder="1" applyAlignment="1">
      <alignment horizontal="center"/>
    </xf>
    <xf numFmtId="0" fontId="6" fillId="6" borderId="59" xfId="0" applyFont="1" applyFill="1" applyBorder="1" applyAlignment="1">
      <alignment horizontal="right"/>
    </xf>
    <xf numFmtId="3" fontId="6" fillId="6" borderId="23" xfId="0" applyNumberFormat="1" applyFont="1" applyFill="1" applyBorder="1" applyAlignment="1">
      <alignment horizontal="right"/>
    </xf>
    <xf numFmtId="168" fontId="6" fillId="6" borderId="23" xfId="0" applyNumberFormat="1" applyFont="1" applyFill="1" applyBorder="1" applyAlignment="1">
      <alignment horizontal="right"/>
    </xf>
    <xf numFmtId="173" fontId="6" fillId="6" borderId="23" xfId="0" applyNumberFormat="1" applyFont="1" applyFill="1" applyBorder="1" applyAlignment="1">
      <alignment horizontal="right"/>
    </xf>
    <xf numFmtId="0" fontId="7" fillId="6" borderId="41" xfId="0" applyFont="1" applyFill="1" applyBorder="1" applyAlignment="1">
      <alignment horizontal="right"/>
    </xf>
    <xf numFmtId="6" fontId="6" fillId="6" borderId="42" xfId="0" applyNumberFormat="1" applyFont="1" applyFill="1" applyBorder="1" applyAlignment="1">
      <alignment horizontal="right"/>
    </xf>
    <xf numFmtId="6" fontId="6" fillId="6" borderId="23" xfId="0" applyNumberFormat="1" applyFont="1" applyFill="1" applyBorder="1" applyAlignment="1">
      <alignment horizontal="center"/>
    </xf>
    <xf numFmtId="0" fontId="3" fillId="6" borderId="22" xfId="0" applyFont="1" applyFill="1" applyBorder="1" applyAlignment="1">
      <alignment horizontal="right"/>
    </xf>
    <xf numFmtId="169" fontId="3" fillId="6" borderId="23" xfId="3" applyNumberFormat="1" applyFont="1" applyFill="1" applyBorder="1" applyAlignment="1">
      <alignment horizontal="right"/>
    </xf>
    <xf numFmtId="167" fontId="6" fillId="6" borderId="42" xfId="3" applyNumberFormat="1" applyFont="1" applyFill="1" applyBorder="1" applyAlignment="1">
      <alignment horizontal="center"/>
    </xf>
    <xf numFmtId="0" fontId="7" fillId="0" borderId="41" xfId="0" applyFont="1" applyFill="1" applyBorder="1" applyAlignment="1">
      <alignment horizontal="right"/>
    </xf>
    <xf numFmtId="6" fontId="6" fillId="0" borderId="42" xfId="0" applyNumberFormat="1" applyFont="1" applyFill="1" applyBorder="1" applyAlignment="1">
      <alignment horizontal="right"/>
    </xf>
    <xf numFmtId="0" fontId="7" fillId="0" borderId="22" xfId="0" applyFont="1" applyFill="1" applyBorder="1" applyAlignment="1">
      <alignment horizontal="right"/>
    </xf>
    <xf numFmtId="6" fontId="6" fillId="0" borderId="23" xfId="0" applyNumberFormat="1" applyFont="1" applyFill="1" applyBorder="1" applyAlignment="1">
      <alignment horizontal="center"/>
    </xf>
    <xf numFmtId="0" fontId="6" fillId="6" borderId="39" xfId="0" applyFont="1" applyFill="1" applyBorder="1" applyAlignment="1">
      <alignment horizontal="right"/>
    </xf>
    <xf numFmtId="44" fontId="6" fillId="6" borderId="21" xfId="3" applyFont="1" applyFill="1" applyBorder="1" applyAlignment="1">
      <alignment horizontal="right"/>
    </xf>
    <xf numFmtId="169" fontId="7" fillId="6" borderId="23" xfId="3" applyNumberFormat="1" applyFont="1" applyFill="1" applyBorder="1" applyAlignment="1">
      <alignment horizontal="center"/>
    </xf>
    <xf numFmtId="0" fontId="7" fillId="0" borderId="62" xfId="0" applyFont="1" applyFill="1" applyBorder="1"/>
    <xf numFmtId="0" fontId="7" fillId="0" borderId="93" xfId="0" applyFont="1" applyFill="1" applyBorder="1"/>
    <xf numFmtId="9" fontId="6" fillId="6" borderId="23" xfId="0" applyNumberFormat="1" applyFont="1" applyFill="1" applyBorder="1" applyAlignment="1">
      <alignment horizontal="center"/>
    </xf>
    <xf numFmtId="44" fontId="6" fillId="0" borderId="23" xfId="0" applyNumberFormat="1" applyFont="1" applyFill="1" applyBorder="1" applyAlignment="1">
      <alignment horizontal="center"/>
    </xf>
    <xf numFmtId="167" fontId="6" fillId="6" borderId="21" xfId="0" applyNumberFormat="1" applyFont="1" applyFill="1" applyBorder="1" applyAlignment="1">
      <alignment horizontal="right"/>
    </xf>
    <xf numFmtId="167" fontId="6" fillId="6" borderId="23" xfId="3" applyNumberFormat="1" applyFont="1" applyFill="1" applyBorder="1" applyAlignment="1">
      <alignment horizontal="center"/>
    </xf>
    <xf numFmtId="0" fontId="7" fillId="0" borderId="58" xfId="0" applyFont="1" applyFill="1" applyBorder="1"/>
    <xf numFmtId="167" fontId="6" fillId="0" borderId="59" xfId="0" applyNumberFormat="1" applyFont="1" applyFill="1" applyBorder="1" applyAlignment="1">
      <alignment horizontal="right"/>
    </xf>
    <xf numFmtId="0" fontId="6" fillId="0" borderId="82" xfId="0" applyFont="1" applyFill="1" applyBorder="1" applyAlignment="1">
      <alignment horizontal="center"/>
    </xf>
    <xf numFmtId="169" fontId="26" fillId="6" borderId="1" xfId="0" applyNumberFormat="1" applyFont="1" applyFill="1" applyBorder="1"/>
    <xf numFmtId="169" fontId="6" fillId="6" borderId="20" xfId="0" applyNumberFormat="1" applyFont="1" applyFill="1" applyBorder="1"/>
    <xf numFmtId="169" fontId="26" fillId="6" borderId="20" xfId="0" applyNumberFormat="1" applyFont="1" applyFill="1" applyBorder="1"/>
    <xf numFmtId="0" fontId="8" fillId="13" borderId="1" xfId="0" applyFont="1" applyFill="1" applyBorder="1"/>
    <xf numFmtId="0" fontId="8" fillId="13" borderId="42" xfId="0" applyFont="1" applyFill="1" applyBorder="1"/>
    <xf numFmtId="0" fontId="8" fillId="15" borderId="41" xfId="0" applyFont="1" applyFill="1" applyBorder="1" applyAlignment="1">
      <alignment horizontal="center" wrapText="1"/>
    </xf>
    <xf numFmtId="0" fontId="8" fillId="15" borderId="1" xfId="0" applyFont="1" applyFill="1" applyBorder="1" applyAlignment="1">
      <alignment horizontal="center" wrapText="1"/>
    </xf>
    <xf numFmtId="0" fontId="8" fillId="15" borderId="42" xfId="0" applyFont="1" applyFill="1" applyBorder="1" applyAlignment="1">
      <alignment horizontal="center" wrapText="1"/>
    </xf>
    <xf numFmtId="166" fontId="38" fillId="6" borderId="0" xfId="0" applyNumberFormat="1" applyFont="1" applyFill="1" applyBorder="1"/>
    <xf numFmtId="166" fontId="38" fillId="6" borderId="23" xfId="0" applyNumberFormat="1" applyFont="1" applyFill="1" applyBorder="1"/>
    <xf numFmtId="166" fontId="38" fillId="6" borderId="41" xfId="0" applyNumberFormat="1" applyFont="1" applyFill="1" applyBorder="1"/>
    <xf numFmtId="166" fontId="38" fillId="6" borderId="1" xfId="0" applyNumberFormat="1" applyFont="1" applyFill="1" applyBorder="1"/>
    <xf numFmtId="166" fontId="38" fillId="6" borderId="42" xfId="0" applyNumberFormat="1" applyFont="1" applyFill="1" applyBorder="1"/>
    <xf numFmtId="37" fontId="28" fillId="6" borderId="20" xfId="0" applyNumberFormat="1" applyFont="1" applyFill="1" applyBorder="1"/>
    <xf numFmtId="0" fontId="8" fillId="13" borderId="22" xfId="0" applyFont="1" applyFill="1" applyBorder="1" applyAlignment="1">
      <alignment horizontal="center" wrapText="1"/>
    </xf>
    <xf numFmtId="0" fontId="8" fillId="13" borderId="25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 wrapText="1"/>
    </xf>
    <xf numFmtId="37" fontId="37" fillId="6" borderId="23" xfId="0" applyNumberFormat="1" applyFont="1" applyFill="1" applyBorder="1"/>
    <xf numFmtId="9" fontId="34" fillId="6" borderId="0" xfId="0" applyNumberFormat="1" applyFont="1" applyFill="1" applyBorder="1"/>
    <xf numFmtId="37" fontId="6" fillId="6" borderId="26" xfId="0" applyNumberFormat="1" applyFont="1" applyFill="1" applyBorder="1"/>
    <xf numFmtId="37" fontId="6" fillId="6" borderId="27" xfId="0" applyNumberFormat="1" applyFont="1" applyFill="1" applyBorder="1"/>
    <xf numFmtId="37" fontId="6" fillId="6" borderId="28" xfId="0" applyNumberFormat="1" applyFont="1" applyFill="1" applyBorder="1"/>
    <xf numFmtId="0" fontId="8" fillId="13" borderId="98" xfId="0" applyFont="1" applyFill="1" applyBorder="1" applyAlignment="1">
      <alignment horizontal="center" wrapText="1"/>
    </xf>
    <xf numFmtId="0" fontId="8" fillId="13" borderId="37" xfId="1" applyFont="1" applyFill="1" applyBorder="1" applyAlignment="1">
      <alignment horizontal="left"/>
    </xf>
    <xf numFmtId="10" fontId="9" fillId="6" borderId="0" xfId="0" applyNumberFormat="1" applyFont="1" applyFill="1"/>
    <xf numFmtId="3" fontId="9" fillId="6" borderId="0" xfId="0" applyNumberFormat="1" applyFont="1" applyFill="1"/>
    <xf numFmtId="0" fontId="7" fillId="6" borderId="37" xfId="0" applyFont="1" applyFill="1" applyBorder="1"/>
    <xf numFmtId="0" fontId="6" fillId="6" borderId="38" xfId="0" applyFont="1" applyFill="1" applyBorder="1"/>
    <xf numFmtId="0" fontId="6" fillId="6" borderId="37" xfId="0" applyFont="1" applyFill="1" applyBorder="1"/>
    <xf numFmtId="10" fontId="6" fillId="6" borderId="21" xfId="0" applyNumberFormat="1" applyFont="1" applyFill="1" applyBorder="1"/>
    <xf numFmtId="14" fontId="6" fillId="6" borderId="22" xfId="0" applyNumberFormat="1" applyFont="1" applyFill="1" applyBorder="1"/>
    <xf numFmtId="169" fontId="6" fillId="6" borderId="20" xfId="3" applyNumberFormat="1" applyFont="1" applyFill="1" applyBorder="1"/>
    <xf numFmtId="169" fontId="7" fillId="6" borderId="20" xfId="3" applyNumberFormat="1" applyFont="1" applyFill="1" applyBorder="1"/>
    <xf numFmtId="169" fontId="7" fillId="6" borderId="21" xfId="3" applyNumberFormat="1" applyFont="1" applyFill="1" applyBorder="1"/>
    <xf numFmtId="9" fontId="6" fillId="6" borderId="20" xfId="0" applyNumberFormat="1" applyFont="1" applyFill="1" applyBorder="1"/>
    <xf numFmtId="9" fontId="6" fillId="6" borderId="21" xfId="0" applyNumberFormat="1" applyFont="1" applyFill="1" applyBorder="1"/>
    <xf numFmtId="14" fontId="6" fillId="6" borderId="41" xfId="0" applyNumberFormat="1" applyFont="1" applyFill="1" applyBorder="1"/>
    <xf numFmtId="37" fontId="7" fillId="6" borderId="0" xfId="0" applyNumberFormat="1" applyFont="1" applyFill="1" applyBorder="1"/>
    <xf numFmtId="0" fontId="11" fillId="6" borderId="0" xfId="0" applyFont="1" applyFill="1" applyBorder="1"/>
    <xf numFmtId="37" fontId="11" fillId="6" borderId="0" xfId="0" applyNumberFormat="1" applyFont="1" applyFill="1" applyBorder="1"/>
    <xf numFmtId="0" fontId="13" fillId="6" borderId="22" xfId="0" applyFont="1" applyFill="1" applyBorder="1"/>
    <xf numFmtId="9" fontId="7" fillId="6" borderId="0" xfId="0" applyNumberFormat="1" applyFont="1" applyFill="1" applyBorder="1"/>
    <xf numFmtId="9" fontId="11" fillId="6" borderId="0" xfId="0" applyNumberFormat="1" applyFont="1" applyFill="1" applyBorder="1"/>
    <xf numFmtId="6" fontId="7" fillId="6" borderId="0" xfId="0" applyNumberFormat="1" applyFont="1" applyFill="1" applyBorder="1"/>
    <xf numFmtId="6" fontId="11" fillId="6" borderId="0" xfId="0" applyNumberFormat="1" applyFont="1" applyFill="1" applyBorder="1"/>
    <xf numFmtId="167" fontId="6" fillId="6" borderId="23" xfId="0" applyNumberFormat="1" applyFont="1" applyFill="1" applyBorder="1"/>
    <xf numFmtId="5" fontId="7" fillId="6" borderId="0" xfId="0" applyNumberFormat="1" applyFont="1" applyFill="1" applyBorder="1"/>
    <xf numFmtId="5" fontId="11" fillId="6" borderId="0" xfId="0" applyNumberFormat="1" applyFont="1" applyFill="1" applyBorder="1"/>
    <xf numFmtId="167" fontId="7" fillId="6" borderId="0" xfId="0" applyNumberFormat="1" applyFont="1" applyFill="1" applyBorder="1"/>
    <xf numFmtId="6" fontId="7" fillId="6" borderId="20" xfId="0" applyNumberFormat="1" applyFont="1" applyFill="1" applyBorder="1"/>
    <xf numFmtId="0" fontId="12" fillId="6" borderId="20" xfId="0" applyFont="1" applyFill="1" applyBorder="1"/>
    <xf numFmtId="6" fontId="7" fillId="6" borderId="21" xfId="0" applyNumberFormat="1" applyFont="1" applyFill="1" applyBorder="1"/>
    <xf numFmtId="37" fontId="6" fillId="6" borderId="0" xfId="0" applyNumberFormat="1" applyFont="1" applyFill="1"/>
    <xf numFmtId="37" fontId="37" fillId="6" borderId="0" xfId="0" applyNumberFormat="1" applyFont="1" applyFill="1" applyBorder="1"/>
    <xf numFmtId="0" fontId="13" fillId="6" borderId="0" xfId="0" applyFont="1" applyFill="1"/>
    <xf numFmtId="165" fontId="31" fillId="6" borderId="0" xfId="0" applyNumberFormat="1" applyFont="1" applyFill="1"/>
    <xf numFmtId="0" fontId="7" fillId="6" borderId="43" xfId="0" applyFont="1" applyFill="1" applyBorder="1"/>
    <xf numFmtId="0" fontId="6" fillId="6" borderId="44" xfId="0" applyFont="1" applyFill="1" applyBorder="1"/>
    <xf numFmtId="9" fontId="26" fillId="6" borderId="22" xfId="0" applyNumberFormat="1" applyFont="1" applyFill="1" applyBorder="1" applyAlignment="1">
      <alignment horizontal="center" wrapText="1"/>
    </xf>
    <xf numFmtId="9" fontId="26" fillId="6" borderId="0" xfId="0" applyNumberFormat="1" applyFont="1" applyFill="1" applyBorder="1" applyAlignment="1">
      <alignment horizontal="center" wrapText="1"/>
    </xf>
    <xf numFmtId="44" fontId="6" fillId="6" borderId="1" xfId="3" applyFont="1" applyFill="1" applyBorder="1" applyAlignment="1">
      <alignment horizontal="center" wrapText="1"/>
    </xf>
    <xf numFmtId="44" fontId="6" fillId="6" borderId="1" xfId="3" applyFont="1" applyFill="1" applyBorder="1" applyAlignment="1">
      <alignment horizontal="right" wrapText="1"/>
    </xf>
    <xf numFmtId="44" fontId="6" fillId="6" borderId="42" xfId="3" applyFont="1" applyFill="1" applyBorder="1" applyAlignment="1">
      <alignment horizontal="right" wrapText="1"/>
    </xf>
    <xf numFmtId="0" fontId="6" fillId="0" borderId="37" xfId="0" applyFont="1" applyBorder="1" applyAlignment="1">
      <alignment horizontal="center"/>
    </xf>
    <xf numFmtId="3" fontId="6" fillId="0" borderId="40" xfId="0" applyNumberFormat="1" applyFont="1" applyBorder="1" applyAlignment="1">
      <alignment horizontal="center"/>
    </xf>
    <xf numFmtId="6" fontId="6" fillId="0" borderId="38" xfId="0" applyNumberFormat="1" applyFont="1" applyBorder="1"/>
    <xf numFmtId="0" fontId="6" fillId="0" borderId="22" xfId="0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3" fontId="6" fillId="0" borderId="20" xfId="0" applyNumberFormat="1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168" fontId="6" fillId="0" borderId="0" xfId="2" applyNumberFormat="1" applyFont="1" applyBorder="1" applyAlignment="1">
      <alignment horizontal="center"/>
    </xf>
    <xf numFmtId="168" fontId="6" fillId="0" borderId="0" xfId="2" applyNumberFormat="1" applyFont="1" applyBorder="1"/>
    <xf numFmtId="168" fontId="6" fillId="0" borderId="23" xfId="2" applyNumberFormat="1" applyFont="1" applyBorder="1"/>
    <xf numFmtId="168" fontId="6" fillId="0" borderId="23" xfId="2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68" fontId="6" fillId="0" borderId="20" xfId="2" applyNumberFormat="1" applyFont="1" applyBorder="1" applyAlignment="1">
      <alignment horizontal="center"/>
    </xf>
    <xf numFmtId="168" fontId="6" fillId="0" borderId="21" xfId="2" applyNumberFormat="1" applyFont="1" applyBorder="1" applyAlignment="1">
      <alignment horizontal="center"/>
    </xf>
    <xf numFmtId="3" fontId="6" fillId="0" borderId="38" xfId="0" applyNumberFormat="1" applyFont="1" applyBorder="1" applyAlignment="1">
      <alignment horizontal="center"/>
    </xf>
    <xf numFmtId="3" fontId="6" fillId="0" borderId="23" xfId="0" applyNumberFormat="1" applyFont="1" applyBorder="1" applyAlignment="1">
      <alignment horizontal="center"/>
    </xf>
    <xf numFmtId="0" fontId="26" fillId="6" borderId="41" xfId="0" applyFont="1" applyFill="1" applyBorder="1"/>
    <xf numFmtId="169" fontId="6" fillId="6" borderId="42" xfId="0" applyNumberFormat="1" applyFont="1" applyFill="1" applyBorder="1"/>
    <xf numFmtId="164" fontId="6" fillId="6" borderId="42" xfId="0" applyNumberFormat="1" applyFont="1" applyFill="1" applyBorder="1" applyAlignment="1">
      <alignment horizontal="center"/>
    </xf>
    <xf numFmtId="0" fontId="7" fillId="6" borderId="56" xfId="0" applyFont="1" applyFill="1" applyBorder="1" applyAlignment="1">
      <alignment horizontal="left"/>
    </xf>
    <xf numFmtId="0" fontId="7" fillId="6" borderId="10" xfId="0" applyFont="1" applyFill="1" applyBorder="1" applyAlignment="1">
      <alignment horizontal="right"/>
    </xf>
    <xf numFmtId="9" fontId="6" fillId="6" borderId="10" xfId="0" applyNumberFormat="1" applyFont="1" applyFill="1" applyBorder="1" applyAlignment="1">
      <alignment horizontal="center"/>
    </xf>
    <xf numFmtId="169" fontId="6" fillId="6" borderId="10" xfId="0" applyNumberFormat="1" applyFont="1" applyFill="1" applyBorder="1" applyAlignment="1">
      <alignment horizontal="center"/>
    </xf>
    <xf numFmtId="169" fontId="6" fillId="6" borderId="88" xfId="0" applyNumberFormat="1" applyFont="1" applyFill="1" applyBorder="1" applyAlignment="1">
      <alignment horizontal="center"/>
    </xf>
    <xf numFmtId="169" fontId="6" fillId="6" borderId="0" xfId="0" applyNumberFormat="1" applyFont="1" applyFill="1" applyBorder="1" applyAlignment="1">
      <alignment horizontal="center"/>
    </xf>
    <xf numFmtId="169" fontId="6" fillId="6" borderId="1" xfId="0" applyNumberFormat="1" applyFont="1" applyFill="1" applyBorder="1" applyAlignment="1">
      <alignment horizontal="center"/>
    </xf>
    <xf numFmtId="0" fontId="6" fillId="6" borderId="22" xfId="0" applyFont="1" applyFill="1" applyBorder="1" applyAlignment="1">
      <alignment vertical="center"/>
    </xf>
    <xf numFmtId="169" fontId="6" fillId="6" borderId="1" xfId="0" applyNumberFormat="1" applyFont="1" applyFill="1" applyBorder="1" applyAlignment="1">
      <alignment horizontal="right"/>
    </xf>
    <xf numFmtId="8" fontId="6" fillId="6" borderId="20" xfId="0" applyNumberFormat="1" applyFont="1" applyFill="1" applyBorder="1" applyAlignment="1">
      <alignment horizontal="center"/>
    </xf>
    <xf numFmtId="169" fontId="6" fillId="6" borderId="20" xfId="0" applyNumberFormat="1" applyFont="1" applyFill="1" applyBorder="1" applyAlignment="1">
      <alignment horizontal="center"/>
    </xf>
    <xf numFmtId="169" fontId="6" fillId="6" borderId="21" xfId="0" applyNumberFormat="1" applyFont="1" applyFill="1" applyBorder="1"/>
    <xf numFmtId="10" fontId="6" fillId="6" borderId="6" xfId="0" applyNumberFormat="1" applyFont="1" applyFill="1" applyBorder="1" applyAlignment="1">
      <alignment horizontal="right"/>
    </xf>
    <xf numFmtId="169" fontId="6" fillId="6" borderId="6" xfId="0" applyNumberFormat="1" applyFont="1" applyFill="1" applyBorder="1" applyAlignment="1">
      <alignment horizontal="right"/>
    </xf>
    <xf numFmtId="169" fontId="6" fillId="6" borderId="63" xfId="0" applyNumberFormat="1" applyFont="1" applyFill="1" applyBorder="1" applyAlignment="1">
      <alignment horizontal="right"/>
    </xf>
    <xf numFmtId="169" fontId="7" fillId="6" borderId="1" xfId="0" applyNumberFormat="1" applyFont="1" applyFill="1" applyBorder="1" applyAlignment="1">
      <alignment horizontal="right"/>
    </xf>
    <xf numFmtId="169" fontId="7" fillId="6" borderId="42" xfId="0" applyNumberFormat="1" applyFont="1" applyFill="1" applyBorder="1" applyAlignment="1">
      <alignment horizontal="right"/>
    </xf>
    <xf numFmtId="169" fontId="6" fillId="0" borderId="1" xfId="3" applyNumberFormat="1" applyFont="1" applyFill="1" applyBorder="1" applyAlignment="1">
      <alignment horizontal="right"/>
    </xf>
    <xf numFmtId="169" fontId="6" fillId="0" borderId="1" xfId="3" applyNumberFormat="1" applyFont="1" applyBorder="1"/>
    <xf numFmtId="167" fontId="6" fillId="6" borderId="0" xfId="3" applyNumberFormat="1" applyFont="1" applyFill="1" applyBorder="1"/>
    <xf numFmtId="167" fontId="6" fillId="6" borderId="23" xfId="3" applyNumberFormat="1" applyFont="1" applyFill="1" applyBorder="1"/>
    <xf numFmtId="168" fontId="26" fillId="0" borderId="0" xfId="2" applyNumberFormat="1" applyFont="1" applyBorder="1"/>
    <xf numFmtId="168" fontId="26" fillId="0" borderId="20" xfId="2" applyNumberFormat="1" applyFont="1" applyBorder="1"/>
    <xf numFmtId="44" fontId="29" fillId="0" borderId="0" xfId="3" applyFont="1" applyBorder="1"/>
    <xf numFmtId="44" fontId="26" fillId="0" borderId="0" xfId="3" applyFont="1" applyBorder="1"/>
    <xf numFmtId="44" fontId="26" fillId="0" borderId="20" xfId="3" applyFont="1" applyBorder="1"/>
    <xf numFmtId="44" fontId="26" fillId="0" borderId="21" xfId="3" applyFont="1" applyBorder="1"/>
    <xf numFmtId="0" fontId="8" fillId="13" borderId="43" xfId="0" applyFont="1" applyFill="1" applyBorder="1"/>
    <xf numFmtId="0" fontId="8" fillId="13" borderId="81" xfId="0" applyFont="1" applyFill="1" applyBorder="1"/>
    <xf numFmtId="0" fontId="8" fillId="13" borderId="44" xfId="0" applyFont="1" applyFill="1" applyBorder="1"/>
    <xf numFmtId="5" fontId="28" fillId="6" borderId="26" xfId="0" applyNumberFormat="1" applyFont="1" applyFill="1" applyBorder="1"/>
    <xf numFmtId="5" fontId="28" fillId="6" borderId="27" xfId="0" applyNumberFormat="1" applyFont="1" applyFill="1" applyBorder="1"/>
    <xf numFmtId="5" fontId="28" fillId="6" borderId="28" xfId="0" applyNumberFormat="1" applyFont="1" applyFill="1" applyBorder="1"/>
    <xf numFmtId="0" fontId="7" fillId="0" borderId="43" xfId="0" applyFont="1" applyBorder="1" applyAlignment="1">
      <alignment horizontal="left" vertical="center"/>
    </xf>
    <xf numFmtId="0" fontId="7" fillId="0" borderId="44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6" fillId="0" borderId="60" xfId="1" applyFont="1" applyBorder="1" applyAlignment="1">
      <alignment horizontal="right"/>
    </xf>
    <xf numFmtId="0" fontId="6" fillId="0" borderId="3" xfId="1" applyFont="1" applyBorder="1" applyAlignment="1">
      <alignment horizontal="right"/>
    </xf>
    <xf numFmtId="0" fontId="6" fillId="0" borderId="69" xfId="1" applyFont="1" applyBorder="1" applyAlignment="1">
      <alignment horizontal="right"/>
    </xf>
    <xf numFmtId="0" fontId="6" fillId="0" borderId="49" xfId="1" applyFont="1" applyBorder="1" applyAlignment="1">
      <alignment horizontal="right"/>
    </xf>
    <xf numFmtId="0" fontId="13" fillId="0" borderId="66" xfId="1" applyFont="1" applyBorder="1" applyAlignment="1">
      <alignment horizontal="left"/>
    </xf>
    <xf numFmtId="0" fontId="13" fillId="0" borderId="0" xfId="1" applyFont="1" applyBorder="1" applyAlignment="1">
      <alignment horizontal="left"/>
    </xf>
    <xf numFmtId="0" fontId="7" fillId="0" borderId="41" xfId="1" applyFont="1" applyBorder="1" applyAlignment="1">
      <alignment horizontal="left"/>
    </xf>
    <xf numFmtId="0" fontId="7" fillId="0" borderId="1" xfId="1" applyFont="1" applyBorder="1" applyAlignment="1">
      <alignment horizontal="left"/>
    </xf>
    <xf numFmtId="0" fontId="6" fillId="0" borderId="58" xfId="1" applyFont="1" applyBorder="1" applyAlignment="1">
      <alignment horizontal="right"/>
    </xf>
    <xf numFmtId="0" fontId="6" fillId="0" borderId="2" xfId="1" applyFont="1" applyBorder="1" applyAlignment="1">
      <alignment horizontal="right"/>
    </xf>
    <xf numFmtId="0" fontId="6" fillId="0" borderId="70" xfId="1" applyFont="1" applyBorder="1" applyAlignment="1">
      <alignment horizontal="right"/>
    </xf>
    <xf numFmtId="0" fontId="6" fillId="0" borderId="51" xfId="1" applyFont="1" applyBorder="1" applyAlignment="1">
      <alignment horizontal="right"/>
    </xf>
    <xf numFmtId="0" fontId="6" fillId="0" borderId="72" xfId="1" applyFont="1" applyBorder="1" applyAlignment="1">
      <alignment horizontal="right"/>
    </xf>
    <xf numFmtId="0" fontId="6" fillId="0" borderId="47" xfId="1" applyFont="1" applyBorder="1" applyAlignment="1">
      <alignment horizontal="right"/>
    </xf>
    <xf numFmtId="0" fontId="6" fillId="0" borderId="60" xfId="1" applyFont="1" applyBorder="1" applyAlignment="1"/>
    <xf numFmtId="0" fontId="6" fillId="0" borderId="3" xfId="1" applyFont="1" applyBorder="1" applyAlignment="1"/>
    <xf numFmtId="0" fontId="6" fillId="0" borderId="72" xfId="1" applyFont="1" applyBorder="1" applyAlignment="1"/>
    <xf numFmtId="0" fontId="6" fillId="0" borderId="47" xfId="1" applyFont="1" applyBorder="1" applyAlignment="1"/>
    <xf numFmtId="0" fontId="6" fillId="0" borderId="22" xfId="0" applyFont="1" applyBorder="1" applyAlignment="1"/>
    <xf numFmtId="0" fontId="6" fillId="0" borderId="0" xfId="0" applyFont="1" applyBorder="1" applyAlignment="1"/>
    <xf numFmtId="0" fontId="6" fillId="0" borderId="69" xfId="0" applyFont="1" applyBorder="1" applyAlignment="1"/>
    <xf numFmtId="0" fontId="6" fillId="0" borderId="49" xfId="0" applyFont="1" applyBorder="1" applyAlignment="1"/>
    <xf numFmtId="0" fontId="6" fillId="0" borderId="48" xfId="0" applyFont="1" applyBorder="1" applyAlignment="1"/>
    <xf numFmtId="0" fontId="6" fillId="0" borderId="69" xfId="1" applyFont="1" applyBorder="1" applyAlignment="1"/>
    <xf numFmtId="0" fontId="6" fillId="0" borderId="49" xfId="1" applyFont="1" applyBorder="1" applyAlignment="1"/>
    <xf numFmtId="0" fontId="6" fillId="0" borderId="85" xfId="1" applyFont="1" applyBorder="1" applyAlignment="1"/>
    <xf numFmtId="0" fontId="6" fillId="0" borderId="83" xfId="1" applyFont="1" applyBorder="1" applyAlignment="1"/>
    <xf numFmtId="0" fontId="7" fillId="0" borderId="62" xfId="1" applyFont="1" applyBorder="1" applyAlignment="1">
      <alignment horizontal="left"/>
    </xf>
    <xf numFmtId="0" fontId="7" fillId="0" borderId="5" xfId="1" applyFont="1" applyBorder="1" applyAlignment="1">
      <alignment horizontal="left"/>
    </xf>
    <xf numFmtId="0" fontId="6" fillId="0" borderId="62" xfId="1" applyFont="1" applyBorder="1" applyAlignment="1">
      <alignment horizontal="right"/>
    </xf>
    <xf numFmtId="0" fontId="6" fillId="0" borderId="5" xfId="1" applyFont="1" applyBorder="1" applyAlignment="1">
      <alignment horizontal="right"/>
    </xf>
    <xf numFmtId="0" fontId="8" fillId="13" borderId="22" xfId="1" applyFont="1" applyFill="1" applyBorder="1" applyAlignment="1">
      <alignment vertical="center"/>
    </xf>
    <xf numFmtId="0" fontId="8" fillId="13" borderId="0" xfId="1" applyFont="1" applyFill="1" applyBorder="1" applyAlignment="1">
      <alignment vertical="center"/>
    </xf>
    <xf numFmtId="0" fontId="9" fillId="13" borderId="0" xfId="1" applyFont="1" applyFill="1" applyBorder="1" applyAlignment="1">
      <alignment vertical="center"/>
    </xf>
    <xf numFmtId="0" fontId="9" fillId="13" borderId="23" xfId="1" applyFont="1" applyFill="1" applyBorder="1" applyAlignment="1">
      <alignment vertical="center"/>
    </xf>
    <xf numFmtId="0" fontId="6" fillId="0" borderId="60" xfId="1" applyFont="1" applyBorder="1" applyAlignment="1">
      <alignment horizontal="right" vertical="center"/>
    </xf>
    <xf numFmtId="0" fontId="6" fillId="0" borderId="3" xfId="1" applyFont="1" applyBorder="1" applyAlignment="1">
      <alignment horizontal="right" vertical="center"/>
    </xf>
    <xf numFmtId="169" fontId="6" fillId="0" borderId="3" xfId="1" applyNumberFormat="1" applyFont="1" applyBorder="1" applyAlignment="1">
      <alignment horizontal="right"/>
    </xf>
    <xf numFmtId="169" fontId="6" fillId="0" borderId="61" xfId="1" applyNumberFormat="1" applyFont="1" applyBorder="1" applyAlignment="1">
      <alignment horizontal="right"/>
    </xf>
    <xf numFmtId="0" fontId="7" fillId="0" borderId="74" xfId="1" applyFont="1" applyBorder="1" applyAlignment="1">
      <alignment vertical="center"/>
    </xf>
    <xf numFmtId="0" fontId="7" fillId="0" borderId="4" xfId="1" applyFont="1" applyBorder="1" applyAlignment="1">
      <alignment vertical="center"/>
    </xf>
    <xf numFmtId="0" fontId="6" fillId="0" borderId="58" xfId="1" applyFont="1" applyBorder="1" applyAlignment="1">
      <alignment horizontal="right" vertical="center"/>
    </xf>
    <xf numFmtId="0" fontId="6" fillId="0" borderId="2" xfId="1" applyFont="1" applyBorder="1" applyAlignment="1">
      <alignment horizontal="right" vertical="center"/>
    </xf>
    <xf numFmtId="44" fontId="6" fillId="0" borderId="48" xfId="3" applyFont="1" applyBorder="1" applyAlignment="1">
      <alignment horizontal="center"/>
    </xf>
    <xf numFmtId="44" fontId="6" fillId="0" borderId="68" xfId="3" applyFont="1" applyBorder="1" applyAlignment="1">
      <alignment horizontal="center"/>
    </xf>
    <xf numFmtId="0" fontId="8" fillId="13" borderId="1" xfId="1" applyFont="1" applyFill="1" applyBorder="1" applyAlignment="1">
      <alignment horizontal="center" wrapText="1"/>
    </xf>
    <xf numFmtId="0" fontId="9" fillId="13" borderId="42" xfId="1" applyFont="1" applyFill="1" applyBorder="1" applyAlignment="1">
      <alignment horizontal="center" wrapText="1"/>
    </xf>
    <xf numFmtId="0" fontId="22" fillId="13" borderId="41" xfId="1" applyFont="1" applyFill="1" applyBorder="1" applyAlignment="1">
      <alignment horizontal="center" wrapText="1"/>
    </xf>
    <xf numFmtId="0" fontId="22" fillId="13" borderId="1" xfId="1" applyFont="1" applyFill="1" applyBorder="1" applyAlignment="1">
      <alignment horizontal="center" wrapText="1"/>
    </xf>
    <xf numFmtId="0" fontId="8" fillId="13" borderId="42" xfId="1" applyFont="1" applyFill="1" applyBorder="1" applyAlignment="1">
      <alignment horizontal="center" wrapText="1"/>
    </xf>
    <xf numFmtId="0" fontId="7" fillId="0" borderId="26" xfId="1" applyFont="1" applyBorder="1" applyAlignment="1">
      <alignment horizontal="right"/>
    </xf>
    <xf numFmtId="0" fontId="7" fillId="0" borderId="27" xfId="1" applyFont="1" applyBorder="1" applyAlignment="1">
      <alignment horizontal="right"/>
    </xf>
    <xf numFmtId="0" fontId="8" fillId="13" borderId="37" xfId="1" applyFont="1" applyFill="1" applyBorder="1" applyAlignment="1">
      <alignment horizontal="left" vertical="center"/>
    </xf>
    <xf numFmtId="0" fontId="8" fillId="13" borderId="40" xfId="1" applyFont="1" applyFill="1" applyBorder="1" applyAlignment="1">
      <alignment horizontal="left" vertical="center"/>
    </xf>
    <xf numFmtId="0" fontId="9" fillId="13" borderId="40" xfId="1" applyFont="1" applyFill="1" applyBorder="1" applyAlignment="1">
      <alignment vertical="center"/>
    </xf>
    <xf numFmtId="0" fontId="9" fillId="13" borderId="38" xfId="1" applyFont="1" applyFill="1" applyBorder="1" applyAlignment="1">
      <alignment vertical="center"/>
    </xf>
    <xf numFmtId="0" fontId="8" fillId="13" borderId="41" xfId="1" applyFont="1" applyFill="1" applyBorder="1" applyAlignment="1">
      <alignment horizontal="left" wrapText="1"/>
    </xf>
    <xf numFmtId="0" fontId="8" fillId="13" borderId="1" xfId="1" applyFont="1" applyFill="1" applyBorder="1" applyAlignment="1">
      <alignment horizontal="left" wrapText="1"/>
    </xf>
    <xf numFmtId="0" fontId="9" fillId="13" borderId="1" xfId="1" applyFont="1" applyFill="1" applyBorder="1" applyAlignment="1">
      <alignment horizontal="center" wrapText="1"/>
    </xf>
    <xf numFmtId="0" fontId="6" fillId="0" borderId="62" xfId="1" applyFont="1" applyBorder="1" applyAlignment="1">
      <alignment horizontal="right" vertical="center"/>
    </xf>
    <xf numFmtId="0" fontId="6" fillId="0" borderId="5" xfId="1" applyFont="1" applyBorder="1" applyAlignment="1">
      <alignment horizontal="right" vertical="center"/>
    </xf>
    <xf numFmtId="169" fontId="6" fillId="0" borderId="1" xfId="1" applyNumberFormat="1" applyFont="1" applyBorder="1" applyAlignment="1">
      <alignment horizontal="right"/>
    </xf>
    <xf numFmtId="169" fontId="6" fillId="0" borderId="42" xfId="1" applyNumberFormat="1" applyFont="1" applyBorder="1" applyAlignment="1">
      <alignment horizontal="right"/>
    </xf>
    <xf numFmtId="44" fontId="6" fillId="0" borderId="53" xfId="3" applyFont="1" applyFill="1" applyBorder="1" applyAlignment="1">
      <alignment horizontal="center"/>
    </xf>
    <xf numFmtId="44" fontId="6" fillId="0" borderId="65" xfId="3" applyFont="1" applyFill="1" applyBorder="1" applyAlignment="1">
      <alignment horizontal="center"/>
    </xf>
    <xf numFmtId="44" fontId="6" fillId="0" borderId="48" xfId="3" applyFont="1" applyFill="1" applyBorder="1" applyAlignment="1">
      <alignment horizontal="center"/>
    </xf>
    <xf numFmtId="44" fontId="6" fillId="0" borderId="68" xfId="3" applyFont="1" applyFill="1" applyBorder="1" applyAlignment="1">
      <alignment horizontal="center"/>
    </xf>
    <xf numFmtId="0" fontId="7" fillId="0" borderId="74" xfId="1" applyFont="1" applyBorder="1" applyAlignment="1"/>
    <xf numFmtId="0" fontId="7" fillId="0" borderId="4" xfId="1" applyFont="1" applyBorder="1" applyAlignment="1"/>
    <xf numFmtId="44" fontId="6" fillId="0" borderId="1" xfId="3" applyFont="1" applyFill="1" applyBorder="1" applyAlignment="1">
      <alignment horizontal="center"/>
    </xf>
    <xf numFmtId="44" fontId="6" fillId="0" borderId="42" xfId="3" applyFont="1" applyFill="1" applyBorder="1" applyAlignment="1">
      <alignment horizontal="center"/>
    </xf>
    <xf numFmtId="0" fontId="7" fillId="0" borderId="26" xfId="1" applyFont="1" applyBorder="1" applyAlignment="1">
      <alignment horizontal="left"/>
    </xf>
    <xf numFmtId="0" fontId="7" fillId="0" borderId="27" xfId="1" applyFont="1" applyBorder="1" applyAlignment="1">
      <alignment horizontal="left"/>
    </xf>
    <xf numFmtId="169" fontId="6" fillId="0" borderId="5" xfId="1" applyNumberFormat="1" applyFont="1" applyFill="1" applyBorder="1" applyAlignment="1"/>
    <xf numFmtId="0" fontId="6" fillId="0" borderId="0" xfId="1" applyFont="1" applyFill="1" applyBorder="1" applyAlignment="1"/>
    <xf numFmtId="169" fontId="7" fillId="0" borderId="0" xfId="1" applyNumberFormat="1" applyFont="1" applyBorder="1" applyAlignment="1"/>
    <xf numFmtId="0" fontId="7" fillId="0" borderId="23" xfId="1" applyFont="1" applyBorder="1" applyAlignment="1"/>
    <xf numFmtId="0" fontId="6" fillId="0" borderId="48" xfId="1" applyFont="1" applyBorder="1" applyAlignment="1">
      <alignment horizontal="right"/>
    </xf>
    <xf numFmtId="0" fontId="6" fillId="0" borderId="1" xfId="1" applyFont="1" applyFill="1" applyBorder="1" applyAlignment="1"/>
    <xf numFmtId="169" fontId="7" fillId="0" borderId="1" xfId="1" applyNumberFormat="1" applyFont="1" applyBorder="1" applyAlignment="1"/>
    <xf numFmtId="169" fontId="7" fillId="0" borderId="42" xfId="1" applyNumberFormat="1" applyFont="1" applyBorder="1" applyAlignment="1"/>
    <xf numFmtId="0" fontId="6" fillId="0" borderId="66" xfId="1" applyFont="1" applyBorder="1" applyAlignment="1">
      <alignment horizontal="right"/>
    </xf>
    <xf numFmtId="0" fontId="6" fillId="0" borderId="7" xfId="1" applyFont="1" applyBorder="1" applyAlignment="1">
      <alignment horizontal="right"/>
    </xf>
    <xf numFmtId="0" fontId="6" fillId="0" borderId="80" xfId="1" applyFont="1" applyBorder="1" applyAlignment="1">
      <alignment horizontal="right"/>
    </xf>
    <xf numFmtId="0" fontId="6" fillId="0" borderId="78" xfId="1" applyFont="1" applyBorder="1" applyAlignment="1">
      <alignment horizontal="right"/>
    </xf>
    <xf numFmtId="169" fontId="6" fillId="0" borderId="5" xfId="1" applyNumberFormat="1" applyFont="1" applyBorder="1" applyAlignment="1"/>
    <xf numFmtId="169" fontId="6" fillId="0" borderId="82" xfId="1" applyNumberFormat="1" applyFont="1" applyBorder="1" applyAlignment="1"/>
    <xf numFmtId="0" fontId="6" fillId="0" borderId="85" xfId="1" applyFont="1" applyBorder="1" applyAlignment="1">
      <alignment horizontal="right"/>
    </xf>
    <xf numFmtId="0" fontId="6" fillId="0" borderId="83" xfId="1" applyFont="1" applyBorder="1" applyAlignment="1">
      <alignment horizontal="right"/>
    </xf>
    <xf numFmtId="0" fontId="7" fillId="0" borderId="6" xfId="1" applyFont="1" applyFill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7" fillId="0" borderId="63" xfId="1" applyFont="1" applyBorder="1" applyAlignment="1">
      <alignment horizontal="center"/>
    </xf>
    <xf numFmtId="0" fontId="21" fillId="0" borderId="27" xfId="1" applyFont="1" applyFill="1" applyBorder="1" applyAlignment="1">
      <alignment horizontal="center"/>
    </xf>
    <xf numFmtId="0" fontId="6" fillId="0" borderId="27" xfId="1" applyFont="1" applyFill="1" applyBorder="1" applyAlignment="1">
      <alignment horizontal="center"/>
    </xf>
    <xf numFmtId="169" fontId="7" fillId="0" borderId="27" xfId="1" applyNumberFormat="1" applyFont="1" applyBorder="1" applyAlignment="1">
      <alignment horizontal="right"/>
    </xf>
    <xf numFmtId="0" fontId="7" fillId="0" borderId="28" xfId="1" applyFont="1" applyBorder="1" applyAlignment="1">
      <alignment horizontal="right"/>
    </xf>
    <xf numFmtId="169" fontId="6" fillId="0" borderId="3" xfId="1" applyNumberFormat="1" applyFont="1" applyFill="1" applyBorder="1" applyAlignment="1"/>
    <xf numFmtId="169" fontId="6" fillId="0" borderId="3" xfId="1" applyNumberFormat="1" applyFont="1" applyBorder="1" applyAlignment="1"/>
    <xf numFmtId="169" fontId="6" fillId="0" borderId="61" xfId="1" applyNumberFormat="1" applyFont="1" applyBorder="1" applyAlignment="1"/>
    <xf numFmtId="169" fontId="6" fillId="0" borderId="2" xfId="1" applyNumberFormat="1" applyFont="1" applyFill="1" applyBorder="1" applyAlignment="1"/>
    <xf numFmtId="169" fontId="6" fillId="0" borderId="2" xfId="1" applyNumberFormat="1" applyFont="1" applyBorder="1" applyAlignment="1"/>
    <xf numFmtId="169" fontId="6" fillId="0" borderId="59" xfId="1" applyNumberFormat="1" applyFont="1" applyBorder="1" applyAlignment="1"/>
    <xf numFmtId="0" fontId="8" fillId="14" borderId="40" xfId="0" applyFont="1" applyFill="1" applyBorder="1" applyAlignment="1">
      <alignment horizontal="center"/>
    </xf>
    <xf numFmtId="0" fontId="8" fillId="14" borderId="38" xfId="0" applyFont="1" applyFill="1" applyBorder="1" applyAlignment="1">
      <alignment horizontal="center"/>
    </xf>
    <xf numFmtId="0" fontId="6" fillId="6" borderId="22" xfId="0" applyFont="1" applyFill="1" applyBorder="1" applyAlignment="1">
      <alignment horizontal="right"/>
    </xf>
    <xf numFmtId="0" fontId="6" fillId="6" borderId="0" xfId="0" applyFont="1" applyFill="1" applyBorder="1" applyAlignment="1">
      <alignment horizontal="right"/>
    </xf>
    <xf numFmtId="0" fontId="8" fillId="13" borderId="22" xfId="0" applyFont="1" applyFill="1" applyBorder="1" applyAlignment="1">
      <alignment horizontal="left"/>
    </xf>
    <xf numFmtId="0" fontId="8" fillId="13" borderId="0" xfId="0" applyFont="1" applyFill="1" applyBorder="1" applyAlignment="1">
      <alignment horizontal="left"/>
    </xf>
    <xf numFmtId="0" fontId="8" fillId="13" borderId="23" xfId="0" applyFont="1" applyFill="1" applyBorder="1" applyAlignment="1">
      <alignment horizontal="left"/>
    </xf>
    <xf numFmtId="0" fontId="10" fillId="13" borderId="22" xfId="0" applyFont="1" applyFill="1" applyBorder="1" applyAlignment="1">
      <alignment horizontal="left"/>
    </xf>
    <xf numFmtId="0" fontId="10" fillId="13" borderId="0" xfId="0" applyFont="1" applyFill="1" applyBorder="1" applyAlignment="1">
      <alignment horizontal="left"/>
    </xf>
    <xf numFmtId="0" fontId="10" fillId="13" borderId="23" xfId="0" applyFont="1" applyFill="1" applyBorder="1" applyAlignment="1">
      <alignment horizontal="left"/>
    </xf>
    <xf numFmtId="0" fontId="6" fillId="6" borderId="41" xfId="0" applyFont="1" applyFill="1" applyBorder="1" applyAlignment="1">
      <alignment horizontal="right"/>
    </xf>
    <xf numFmtId="0" fontId="6" fillId="6" borderId="1" xfId="0" applyFont="1" applyFill="1" applyBorder="1" applyAlignment="1">
      <alignment horizontal="right"/>
    </xf>
    <xf numFmtId="0" fontId="7" fillId="6" borderId="41" xfId="0" applyFont="1" applyFill="1" applyBorder="1" applyAlignment="1">
      <alignment horizontal="right"/>
    </xf>
    <xf numFmtId="0" fontId="7" fillId="6" borderId="1" xfId="0" applyFont="1" applyFill="1" applyBorder="1" applyAlignment="1">
      <alignment horizontal="right"/>
    </xf>
    <xf numFmtId="0" fontId="7" fillId="6" borderId="64" xfId="0" applyFont="1" applyFill="1" applyBorder="1" applyAlignment="1">
      <alignment horizontal="right"/>
    </xf>
    <xf numFmtId="0" fontId="7" fillId="6" borderId="6" xfId="0" applyFont="1" applyFill="1" applyBorder="1" applyAlignment="1">
      <alignment horizontal="right"/>
    </xf>
    <xf numFmtId="0" fontId="7" fillId="6" borderId="22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8" fillId="13" borderId="37" xfId="0" applyFont="1" applyFill="1" applyBorder="1" applyAlignment="1">
      <alignment horizontal="left" wrapText="1"/>
    </xf>
    <xf numFmtId="0" fontId="8" fillId="13" borderId="40" xfId="0" applyFont="1" applyFill="1" applyBorder="1" applyAlignment="1">
      <alignment horizontal="left" wrapText="1"/>
    </xf>
    <xf numFmtId="0" fontId="6" fillId="0" borderId="0" xfId="0" applyFont="1" applyAlignment="1">
      <alignment horizontal="left" vertical="top" wrapText="1"/>
    </xf>
    <xf numFmtId="171" fontId="8" fillId="13" borderId="37" xfId="0" applyNumberFormat="1" applyFont="1" applyFill="1" applyBorder="1" applyAlignment="1">
      <alignment horizontal="center"/>
    </xf>
    <xf numFmtId="171" fontId="8" fillId="13" borderId="40" xfId="0" applyNumberFormat="1" applyFont="1" applyFill="1" applyBorder="1" applyAlignment="1">
      <alignment horizontal="center"/>
    </xf>
    <xf numFmtId="171" fontId="8" fillId="13" borderId="38" xfId="0" applyNumberFormat="1" applyFont="1" applyFill="1" applyBorder="1" applyAlignment="1">
      <alignment horizontal="center"/>
    </xf>
    <xf numFmtId="0" fontId="8" fillId="15" borderId="37" xfId="0" applyFont="1" applyFill="1" applyBorder="1" applyAlignment="1">
      <alignment horizontal="center" wrapText="1"/>
    </xf>
    <xf numFmtId="0" fontId="8" fillId="15" borderId="40" xfId="0" applyFont="1" applyFill="1" applyBorder="1" applyAlignment="1">
      <alignment horizontal="center" wrapText="1"/>
    </xf>
    <xf numFmtId="0" fontId="8" fillId="15" borderId="38" xfId="0" applyFont="1" applyFill="1" applyBorder="1" applyAlignment="1">
      <alignment horizontal="center" wrapText="1"/>
    </xf>
    <xf numFmtId="0" fontId="10" fillId="13" borderId="40" xfId="0" applyFont="1" applyFill="1" applyBorder="1" applyAlignment="1">
      <alignment horizontal="center"/>
    </xf>
    <xf numFmtId="0" fontId="10" fillId="9" borderId="40" xfId="0" applyFont="1" applyFill="1" applyBorder="1" applyAlignment="1">
      <alignment horizontal="center"/>
    </xf>
    <xf numFmtId="0" fontId="10" fillId="11" borderId="40" xfId="0" applyFont="1" applyFill="1" applyBorder="1" applyAlignment="1">
      <alignment horizontal="center"/>
    </xf>
    <xf numFmtId="0" fontId="10" fillId="11" borderId="38" xfId="0" applyFont="1" applyFill="1" applyBorder="1" applyAlignment="1">
      <alignment horizontal="center"/>
    </xf>
    <xf numFmtId="0" fontId="8" fillId="15" borderId="37" xfId="0" applyFont="1" applyFill="1" applyBorder="1" applyAlignment="1">
      <alignment horizontal="center"/>
    </xf>
    <xf numFmtId="0" fontId="8" fillId="15" borderId="40" xfId="0" applyFont="1" applyFill="1" applyBorder="1" applyAlignment="1">
      <alignment horizontal="center"/>
    </xf>
    <xf numFmtId="0" fontId="6" fillId="0" borderId="0" xfId="0" applyFont="1" applyAlignment="1">
      <alignment horizontal="left" wrapText="1"/>
    </xf>
  </cellXfs>
  <cellStyles count="6">
    <cellStyle name="Comma" xfId="2" builtinId="3"/>
    <cellStyle name="Currency" xfId="3" builtinId="4"/>
    <cellStyle name="Hyperlink" xfId="5" builtinId="8"/>
    <cellStyle name="Normal" xfId="0" builtinId="0"/>
    <cellStyle name="Normal 2" xfId="1" xr:uid="{00000000-0005-0000-0000-000001000000}"/>
    <cellStyle name="Percent" xfId="4" builtinId="5"/>
  </cellStyles>
  <dxfs count="0"/>
  <tableStyles count="0" defaultTableStyle="TableStyleMedium9" defaultPivotStyle="PivotStyleLight16"/>
  <colors>
    <mruColors>
      <color rgb="FF1B75BC"/>
      <color rgb="FF00A74B"/>
      <color rgb="FFDA1C5C"/>
      <color rgb="FFF15A29"/>
      <color rgb="FFEFECE0"/>
      <color rgb="FFFF8E00"/>
      <color rgb="FF00AEEF"/>
      <color rgb="FF00A7CF"/>
      <color rgb="FF662D91"/>
      <color rgb="FFF9E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127000</xdr:colOff>
      <xdr:row>0</xdr:row>
      <xdr:rowOff>0</xdr:rowOff>
    </xdr:from>
    <xdr:to>
      <xdr:col>12</xdr:col>
      <xdr:colOff>1181420</xdr:colOff>
      <xdr:row>3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6D426AC-ADD7-E443-943A-A2C676C9394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5531" b="68560"/>
        <a:stretch/>
      </xdr:blipFill>
      <xdr:spPr>
        <a:xfrm>
          <a:off x="12903200" y="0"/>
          <a:ext cx="2324420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292100</xdr:colOff>
      <xdr:row>0</xdr:row>
      <xdr:rowOff>0</xdr:rowOff>
    </xdr:from>
    <xdr:to>
      <xdr:col>11</xdr:col>
      <xdr:colOff>320</xdr:colOff>
      <xdr:row>3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C1DA7DA-A6BE-1A4C-B710-0DFE79D9C1D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5531" b="68560"/>
        <a:stretch/>
      </xdr:blipFill>
      <xdr:spPr>
        <a:xfrm>
          <a:off x="6375400" y="0"/>
          <a:ext cx="232442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iamidade.gov/global/housing/fair-market-rents.pag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3"/>
  <sheetViews>
    <sheetView showWhiteSpace="0" view="pageBreakPreview" topLeftCell="A6" zoomScaleNormal="100" zoomScaleSheetLayoutView="100" workbookViewId="0">
      <selection activeCell="E9" sqref="E9"/>
    </sheetView>
  </sheetViews>
  <sheetFormatPr baseColWidth="10" defaultColWidth="9.1640625" defaultRowHeight="14" customHeight="1"/>
  <cols>
    <col min="1" max="1" width="11.33203125" style="154" customWidth="1"/>
    <col min="2" max="2" width="18" style="154" customWidth="1"/>
    <col min="3" max="3" width="15.6640625" style="167" customWidth="1"/>
    <col min="4" max="11" width="15.33203125" style="154" customWidth="1"/>
    <col min="12" max="12" width="16.6640625" style="154" customWidth="1"/>
    <col min="13" max="13" width="15.6640625" style="154" customWidth="1"/>
    <col min="14" max="16" width="9.1640625" style="344"/>
    <col min="17" max="16384" width="9.1640625" style="154"/>
  </cols>
  <sheetData>
    <row r="1" spans="1:16" ht="14" customHeight="1">
      <c r="A1" s="537"/>
      <c r="B1" s="537"/>
      <c r="C1" s="538"/>
      <c r="D1" s="537"/>
      <c r="E1" s="537"/>
      <c r="F1" s="537"/>
      <c r="G1" s="537"/>
      <c r="H1" s="537"/>
      <c r="I1" s="537"/>
      <c r="J1" s="537"/>
      <c r="K1" s="537"/>
      <c r="L1" s="537"/>
      <c r="M1" s="537"/>
    </row>
    <row r="2" spans="1:16" ht="14" customHeight="1">
      <c r="A2" s="537"/>
      <c r="B2" s="537"/>
      <c r="C2" s="538"/>
      <c r="D2" s="537"/>
      <c r="E2" s="537"/>
      <c r="F2" s="537"/>
      <c r="G2" s="537"/>
      <c r="H2" s="537"/>
      <c r="I2" s="537"/>
      <c r="J2" s="537"/>
      <c r="K2" s="537"/>
      <c r="L2" s="537"/>
      <c r="M2" s="537"/>
    </row>
    <row r="3" spans="1:16" ht="14" customHeight="1">
      <c r="A3" s="537"/>
      <c r="B3" s="537"/>
      <c r="C3" s="538"/>
      <c r="D3" s="537"/>
      <c r="E3" s="537"/>
      <c r="F3" s="537"/>
      <c r="G3" s="537"/>
      <c r="H3" s="537"/>
      <c r="I3" s="537"/>
      <c r="J3" s="537"/>
      <c r="K3" s="537"/>
      <c r="L3" s="537"/>
      <c r="M3" s="537"/>
    </row>
    <row r="4" spans="1:16" ht="14" customHeight="1" thickBot="1">
      <c r="A4" s="537"/>
      <c r="B4" s="537"/>
      <c r="C4" s="538"/>
      <c r="D4" s="537"/>
      <c r="E4" s="537"/>
      <c r="F4" s="537"/>
      <c r="G4" s="537"/>
      <c r="H4" s="537"/>
      <c r="I4" s="537"/>
      <c r="J4" s="537"/>
      <c r="K4" s="537"/>
      <c r="L4" s="537"/>
      <c r="M4" s="537"/>
    </row>
    <row r="5" spans="1:16" s="153" customFormat="1" ht="21" customHeight="1">
      <c r="A5" s="386" t="s">
        <v>0</v>
      </c>
      <c r="B5" s="387"/>
      <c r="C5" s="387"/>
      <c r="D5" s="388"/>
      <c r="E5" s="388"/>
      <c r="F5" s="388"/>
      <c r="G5" s="388"/>
      <c r="H5" s="388"/>
      <c r="I5" s="388"/>
      <c r="J5" s="388"/>
      <c r="K5" s="388"/>
      <c r="L5" s="389" t="s">
        <v>1</v>
      </c>
      <c r="M5" s="390" t="s">
        <v>2</v>
      </c>
      <c r="N5" s="349"/>
      <c r="O5" s="349"/>
      <c r="P5" s="349"/>
    </row>
    <row r="6" spans="1:16" ht="20" customHeight="1">
      <c r="A6" s="511"/>
      <c r="B6" s="512"/>
      <c r="C6" s="513" t="s">
        <v>3</v>
      </c>
      <c r="D6" s="520"/>
      <c r="E6" s="520" t="s">
        <v>4</v>
      </c>
      <c r="F6" s="520"/>
      <c r="G6" s="520" t="s">
        <v>5</v>
      </c>
      <c r="H6" s="520"/>
      <c r="I6" s="520" t="s">
        <v>6</v>
      </c>
      <c r="J6" s="512"/>
      <c r="K6" s="512"/>
      <c r="L6" s="512"/>
      <c r="M6" s="521" t="s">
        <v>7</v>
      </c>
    </row>
    <row r="7" spans="1:16" ht="11.25" customHeight="1">
      <c r="A7" s="514"/>
      <c r="B7" s="515"/>
      <c r="C7" s="516" t="s">
        <v>8</v>
      </c>
      <c r="D7" s="516">
        <v>2022</v>
      </c>
      <c r="E7" s="516">
        <f>D7+1</f>
        <v>2023</v>
      </c>
      <c r="F7" s="516">
        <f t="shared" ref="F7:K7" si="0">E7+1</f>
        <v>2024</v>
      </c>
      <c r="G7" s="516">
        <f t="shared" si="0"/>
        <v>2025</v>
      </c>
      <c r="H7" s="516">
        <f t="shared" si="0"/>
        <v>2026</v>
      </c>
      <c r="I7" s="516">
        <f t="shared" si="0"/>
        <v>2027</v>
      </c>
      <c r="J7" s="516">
        <f t="shared" si="0"/>
        <v>2028</v>
      </c>
      <c r="K7" s="516">
        <f t="shared" si="0"/>
        <v>2029</v>
      </c>
      <c r="L7" s="516">
        <f>K7+1</f>
        <v>2030</v>
      </c>
      <c r="M7" s="519">
        <f>L7+1</f>
        <v>2031</v>
      </c>
    </row>
    <row r="8" spans="1:16" ht="11.25" customHeight="1">
      <c r="A8" s="391" t="s">
        <v>9</v>
      </c>
      <c r="B8" s="155"/>
      <c r="C8" s="186"/>
      <c r="D8" s="522"/>
      <c r="E8" s="187"/>
      <c r="F8" s="188"/>
      <c r="G8" s="189"/>
      <c r="H8" s="188"/>
      <c r="I8" s="190"/>
      <c r="J8" s="188"/>
      <c r="K8" s="188"/>
      <c r="L8" s="191"/>
      <c r="M8" s="392"/>
    </row>
    <row r="9" spans="1:16" ht="11.25" customHeight="1">
      <c r="A9" s="1066" t="s">
        <v>635</v>
      </c>
      <c r="B9" s="1067"/>
      <c r="C9" s="192">
        <f>'2.Market-rate Rental Housing'!C24</f>
        <v>0</v>
      </c>
      <c r="D9" s="192">
        <f>'2.Market-rate Rental Housing'!D24</f>
        <v>0</v>
      </c>
      <c r="E9" s="193">
        <f>'2.Market-rate Rental Housing'!E24</f>
        <v>10366519.753177062</v>
      </c>
      <c r="F9" s="192">
        <f>'2.Market-rate Rental Housing'!F24</f>
        <v>10543093.037185103</v>
      </c>
      <c r="G9" s="194">
        <f>'2.Market-rate Rental Housing'!G24</f>
        <v>15121094.667175151</v>
      </c>
      <c r="H9" s="192">
        <f>'2.Market-rate Rental Housing'!H24</f>
        <v>15390558.939398972</v>
      </c>
      <c r="I9" s="193">
        <f>'2.Market-rate Rental Housing'!I24</f>
        <v>21390762.06930051</v>
      </c>
      <c r="J9" s="192">
        <f>'2.Market-rate Rental Housing'!J24</f>
        <v>21783342.947797682</v>
      </c>
      <c r="K9" s="192">
        <f>'2.Market-rate Rental Housing'!K24</f>
        <v>22182763.92263699</v>
      </c>
      <c r="L9" s="192">
        <f>'2.Market-rate Rental Housing'!L24</f>
        <v>22589131.450108439</v>
      </c>
      <c r="M9" s="393">
        <f>'2.Market-rate Rental Housing'!M24</f>
        <v>23002553.205258731</v>
      </c>
    </row>
    <row r="10" spans="1:16" ht="11.25" customHeight="1">
      <c r="A10" s="1066" t="s">
        <v>636</v>
      </c>
      <c r="B10" s="1067"/>
      <c r="C10" s="192">
        <f>'3.Affordable Rental Housing'!C21</f>
        <v>0</v>
      </c>
      <c r="D10" s="192">
        <f>'3.Affordable Rental Housing'!D21</f>
        <v>0</v>
      </c>
      <c r="E10" s="193">
        <f>'3.Affordable Rental Housing'!E21</f>
        <v>742938.12548581837</v>
      </c>
      <c r="F10" s="192">
        <f>'3.Affordable Rental Housing'!F21</f>
        <v>750581.52648553473</v>
      </c>
      <c r="G10" s="194">
        <f>'3.Affordable Rental Housing'!G21</f>
        <v>1053272.1627980403</v>
      </c>
      <c r="H10" s="192">
        <f>'3.Affordable Rental Housing'!H21</f>
        <v>1064402.737348042</v>
      </c>
      <c r="I10" s="193">
        <f>'3.Affordable Rental Housing'!I21</f>
        <v>1423464.555931387</v>
      </c>
      <c r="J10" s="192">
        <f>'3.Affordable Rental Housing'!J21</f>
        <v>1438593.3063598631</v>
      </c>
      <c r="K10" s="192">
        <f>'3.Affordable Rental Housing'!K21</f>
        <v>1453624.415576204</v>
      </c>
      <c r="L10" s="192">
        <f>'3.Affordable Rental Housing'!L21</f>
        <v>1468543.9242695458</v>
      </c>
      <c r="M10" s="393">
        <f>'3.Affordable Rental Housing'!M21</f>
        <v>1483337.233748209</v>
      </c>
    </row>
    <row r="11" spans="1:16" ht="11.25" customHeight="1">
      <c r="A11" s="1066" t="s">
        <v>11</v>
      </c>
      <c r="B11" s="1067"/>
      <c r="C11" s="192">
        <f>'4.Office_Commercial'!C16</f>
        <v>0</v>
      </c>
      <c r="D11" s="192">
        <f>'4.Office_Commercial'!D16</f>
        <v>0</v>
      </c>
      <c r="E11" s="193">
        <f>'4.Office_Commercial'!E16</f>
        <v>9524301.9297911972</v>
      </c>
      <c r="F11" s="192">
        <f>'4.Office_Commercial'!F16</f>
        <v>19429575.936774045</v>
      </c>
      <c r="G11" s="194">
        <f>'4.Office_Commercial'!G16</f>
        <v>22498062.412232462</v>
      </c>
      <c r="H11" s="192">
        <f>'4.Office_Commercial'!H16</f>
        <v>25681516.516334496</v>
      </c>
      <c r="I11" s="193">
        <f>'4.Office_Commercial'!I16</f>
        <v>26195146.846661188</v>
      </c>
      <c r="J11" s="192">
        <f>'4.Office_Commercial'!J16</f>
        <v>26719049.783594415</v>
      </c>
      <c r="K11" s="192">
        <f>'4.Office_Commercial'!K16</f>
        <v>27253430.779266298</v>
      </c>
      <c r="L11" s="192">
        <f>'4.Office_Commercial'!L16</f>
        <v>27798499.394851629</v>
      </c>
      <c r="M11" s="393">
        <f>'4.Office_Commercial'!M16</f>
        <v>28354469.382748656</v>
      </c>
    </row>
    <row r="12" spans="1:16" ht="11.25" customHeight="1">
      <c r="A12" s="394"/>
      <c r="B12" s="332" t="s">
        <v>12</v>
      </c>
      <c r="C12" s="192">
        <f>'6.Community facilities'!C10</f>
        <v>0</v>
      </c>
      <c r="D12" s="192">
        <f>'6.Community facilities'!D10</f>
        <v>0</v>
      </c>
      <c r="E12" s="193">
        <f>'6.Community facilities'!E10</f>
        <v>901583.91732599994</v>
      </c>
      <c r="F12" s="192">
        <f>'6.Community facilities'!F10</f>
        <v>1673328.5333388001</v>
      </c>
      <c r="G12" s="194">
        <f>'6.Community facilities'!G10</f>
        <v>1724815.5651338401</v>
      </c>
      <c r="H12" s="192">
        <f>'6.Community facilities'!H10</f>
        <v>1777332.3375647808</v>
      </c>
      <c r="I12" s="193">
        <f>'6.Community facilities'!I10</f>
        <v>2195080.2557036644</v>
      </c>
      <c r="J12" s="192">
        <f>'6.Community facilities'!J10</f>
        <v>2260586.7384202471</v>
      </c>
      <c r="K12" s="192">
        <f>'6.Community facilities'!K10</f>
        <v>2327403.3507911619</v>
      </c>
      <c r="L12" s="192">
        <f>'6.Community facilities'!L10</f>
        <v>2395556.2954094945</v>
      </c>
      <c r="M12" s="393">
        <f>'6.Community facilities'!M10</f>
        <v>2465072.2989201942</v>
      </c>
    </row>
    <row r="13" spans="1:16" ht="11.25" customHeight="1">
      <c r="A13" s="394"/>
      <c r="B13" s="332" t="s">
        <v>13</v>
      </c>
      <c r="C13" s="192">
        <f>'7.Affordable Art Space '!C11</f>
        <v>0</v>
      </c>
      <c r="D13" s="192">
        <f>'7.Affordable Art Space '!D11</f>
        <v>0</v>
      </c>
      <c r="E13" s="193">
        <f>'7.Affordable Art Space '!E11</f>
        <v>278493.35275458003</v>
      </c>
      <c r="F13" s="192">
        <f>'7.Affordable Art Space '!F11</f>
        <v>286289.91918108001</v>
      </c>
      <c r="G13" s="194">
        <f>'7.Affordable Art Space '!G11</f>
        <v>782121.97061451012</v>
      </c>
      <c r="H13" s="192">
        <f>'7.Affordable Art Space '!H11</f>
        <v>803683.17088550469</v>
      </c>
      <c r="I13" s="193">
        <f>'7.Affordable Art Space '!I11</f>
        <v>825675.59516191925</v>
      </c>
      <c r="J13" s="192">
        <f>'7.Affordable Art Space '!J11</f>
        <v>848107.86792386195</v>
      </c>
      <c r="K13" s="192">
        <f>'7.Affordable Art Space '!K11</f>
        <v>870988.78614104365</v>
      </c>
      <c r="L13" s="192">
        <f>'7.Affordable Art Space '!L11</f>
        <v>894327.32272256888</v>
      </c>
      <c r="M13" s="393">
        <f>'7.Affordable Art Space '!M11</f>
        <v>918132.63003572472</v>
      </c>
    </row>
    <row r="14" spans="1:16" ht="11.25" customHeight="1">
      <c r="A14" s="1066" t="s">
        <v>14</v>
      </c>
      <c r="B14" s="1067"/>
      <c r="C14" s="192">
        <f>'5.Market-rate Retail'!C17</f>
        <v>0</v>
      </c>
      <c r="D14" s="192">
        <f>'5.Market-rate Retail'!D17</f>
        <v>0</v>
      </c>
      <c r="E14" s="193">
        <f>'5.Market-rate Retail'!E17</f>
        <v>357632.65485720005</v>
      </c>
      <c r="F14" s="192">
        <f>'5.Market-rate Retail'!F17</f>
        <v>681286.9083789601</v>
      </c>
      <c r="G14" s="194">
        <f>'5.Market-rate Retail'!G17</f>
        <v>2372005.7119036801</v>
      </c>
      <c r="H14" s="192">
        <f>'5.Market-rate Retail'!H17</f>
        <v>3489713.5001906599</v>
      </c>
      <c r="I14" s="193">
        <f>'5.Market-rate Retail'!I17</f>
        <v>4745271.713494298</v>
      </c>
      <c r="J14" s="192">
        <f>'5.Market-rate Retail'!J17</f>
        <v>4257063.767761996</v>
      </c>
      <c r="K14" s="192">
        <f>'5.Market-rate Retail'!K17</f>
        <v>4355467.2349828333</v>
      </c>
      <c r="L14" s="192">
        <f>'5.Market-rate Retail'!L17</f>
        <v>4455838.7715480858</v>
      </c>
      <c r="M14" s="393">
        <f>'5.Market-rate Retail'!M17</f>
        <v>4558217.7388446443</v>
      </c>
    </row>
    <row r="15" spans="1:16" ht="11.25" customHeight="1">
      <c r="A15" s="1066" t="s">
        <v>15</v>
      </c>
      <c r="B15" s="1067"/>
      <c r="C15" s="192">
        <f>'8.Hotel'!C17</f>
        <v>0</v>
      </c>
      <c r="D15" s="192">
        <f>'8.Hotel'!D17</f>
        <v>0</v>
      </c>
      <c r="E15" s="200">
        <f>'8.Hotel'!E17</f>
        <v>0</v>
      </c>
      <c r="F15" s="192">
        <f>'8.Hotel'!F17</f>
        <v>0</v>
      </c>
      <c r="G15" s="194">
        <f>'8.Hotel'!G17</f>
        <v>11448784.979916478</v>
      </c>
      <c r="H15" s="192">
        <f>'8.Hotel'!H17</f>
        <v>11679968.19951481</v>
      </c>
      <c r="I15" s="193">
        <f>'8.Hotel'!I17</f>
        <v>19331496.601993047</v>
      </c>
      <c r="J15" s="192">
        <f>'8.Hotel'!J17</f>
        <v>19721282.470032904</v>
      </c>
      <c r="K15" s="192">
        <f>'8.Hotel'!K17</f>
        <v>20118864.055433564</v>
      </c>
      <c r="L15" s="192">
        <f>'8.Hotel'!L17</f>
        <v>20524397.272542238</v>
      </c>
      <c r="M15" s="393">
        <f>'8.Hotel'!M17</f>
        <v>20938041.153993089</v>
      </c>
    </row>
    <row r="16" spans="1:16" ht="11.25" customHeight="1">
      <c r="A16" s="1095" t="s">
        <v>16</v>
      </c>
      <c r="B16" s="1096"/>
      <c r="C16" s="474">
        <f>'9.Structured Parking'!C30</f>
        <v>0</v>
      </c>
      <c r="D16" s="474">
        <f>'9.Structured Parking'!D30</f>
        <v>0</v>
      </c>
      <c r="E16" s="475">
        <f>'9.Structured Parking'!E30</f>
        <v>3092502.2626751517</v>
      </c>
      <c r="F16" s="474">
        <f>'9.Structured Parking'!F30</f>
        <v>3132589.0958074429</v>
      </c>
      <c r="G16" s="476">
        <f>'9.Structured Parking'!G30</f>
        <v>3173477.665602379</v>
      </c>
      <c r="H16" s="474">
        <f>'9.Structured Parking'!H30</f>
        <v>3215184.0067932154</v>
      </c>
      <c r="I16" s="477">
        <f>'9.Structured Parking'!I30</f>
        <v>5224902.5959830415</v>
      </c>
      <c r="J16" s="474">
        <f>'9.Structured Parking'!J30</f>
        <v>5294495.7121451264</v>
      </c>
      <c r="K16" s="474">
        <f>'9.Structured Parking'!K30</f>
        <v>5365480.6906304536</v>
      </c>
      <c r="L16" s="474">
        <f>'9.Structured Parking'!L30</f>
        <v>5437885.3686854867</v>
      </c>
      <c r="M16" s="478">
        <f>'9.Structured Parking'!M30</f>
        <v>5511738.1403016215</v>
      </c>
    </row>
    <row r="17" spans="1:14" ht="11.25" customHeight="1">
      <c r="A17" s="1072" t="s">
        <v>17</v>
      </c>
      <c r="B17" s="1073"/>
      <c r="C17" s="201">
        <f t="shared" ref="C17:M17" si="1">SUM(C9:C16)</f>
        <v>0</v>
      </c>
      <c r="D17" s="201">
        <f t="shared" si="1"/>
        <v>0</v>
      </c>
      <c r="E17" s="202">
        <f t="shared" si="1"/>
        <v>25263971.99606701</v>
      </c>
      <c r="F17" s="201">
        <f t="shared" si="1"/>
        <v>36496744.957150958</v>
      </c>
      <c r="G17" s="203">
        <f t="shared" si="1"/>
        <v>58173635.135376528</v>
      </c>
      <c r="H17" s="201">
        <f t="shared" si="1"/>
        <v>63102359.40803048</v>
      </c>
      <c r="I17" s="204">
        <f t="shared" si="1"/>
        <v>81331800.234229073</v>
      </c>
      <c r="J17" s="201">
        <f t="shared" si="1"/>
        <v>82322522.594036087</v>
      </c>
      <c r="K17" s="201">
        <f t="shared" si="1"/>
        <v>83928023.235458538</v>
      </c>
      <c r="L17" s="201">
        <f t="shared" si="1"/>
        <v>85564179.80013749</v>
      </c>
      <c r="M17" s="395">
        <f t="shared" si="1"/>
        <v>87231561.783850864</v>
      </c>
    </row>
    <row r="18" spans="1:14" ht="11.25" customHeight="1">
      <c r="A18" s="1093" t="s">
        <v>18</v>
      </c>
      <c r="B18" s="1094"/>
      <c r="C18" s="201"/>
      <c r="D18" s="201"/>
      <c r="E18" s="202"/>
      <c r="F18" s="201"/>
      <c r="G18" s="203"/>
      <c r="H18" s="201"/>
      <c r="I18" s="204"/>
      <c r="J18" s="201"/>
      <c r="K18" s="201"/>
      <c r="L18" s="201"/>
      <c r="M18" s="396"/>
    </row>
    <row r="19" spans="1:14" ht="11.25" customHeight="1">
      <c r="A19" s="397"/>
      <c r="B19" s="156" t="s">
        <v>19</v>
      </c>
      <c r="C19" s="502">
        <f t="shared" ref="C19:M19" si="2">SUM(C17:C18)</f>
        <v>0</v>
      </c>
      <c r="D19" s="502">
        <f t="shared" si="2"/>
        <v>0</v>
      </c>
      <c r="E19" s="540">
        <f t="shared" si="2"/>
        <v>25263971.99606701</v>
      </c>
      <c r="F19" s="502">
        <f t="shared" si="2"/>
        <v>36496744.957150958</v>
      </c>
      <c r="G19" s="541">
        <f t="shared" si="2"/>
        <v>58173635.135376528</v>
      </c>
      <c r="H19" s="502">
        <f t="shared" si="2"/>
        <v>63102359.40803048</v>
      </c>
      <c r="I19" s="542">
        <f t="shared" si="2"/>
        <v>81331800.234229073</v>
      </c>
      <c r="J19" s="502">
        <f t="shared" si="2"/>
        <v>82322522.594036087</v>
      </c>
      <c r="K19" s="502">
        <f t="shared" si="2"/>
        <v>83928023.235458538</v>
      </c>
      <c r="L19" s="502">
        <f t="shared" si="2"/>
        <v>85564179.80013749</v>
      </c>
      <c r="M19" s="543">
        <f t="shared" si="2"/>
        <v>87231561.783850864</v>
      </c>
    </row>
    <row r="20" spans="1:14" s="344" customFormat="1" ht="11.25" customHeight="1">
      <c r="A20" s="399"/>
      <c r="B20" s="345"/>
      <c r="C20" s="346"/>
      <c r="D20" s="347"/>
      <c r="E20" s="347"/>
      <c r="F20" s="347"/>
      <c r="G20" s="347"/>
      <c r="H20" s="347"/>
      <c r="I20" s="347"/>
      <c r="J20" s="347"/>
      <c r="K20" s="347"/>
      <c r="L20" s="348"/>
      <c r="M20" s="400"/>
    </row>
    <row r="21" spans="1:14" ht="11.25" customHeight="1">
      <c r="A21" s="391" t="s">
        <v>20</v>
      </c>
      <c r="B21" s="380"/>
      <c r="C21" s="381"/>
      <c r="D21" s="383"/>
      <c r="E21" s="382"/>
      <c r="F21" s="383"/>
      <c r="G21" s="384"/>
      <c r="H21" s="383"/>
      <c r="I21" s="382"/>
      <c r="J21" s="383"/>
      <c r="K21" s="383"/>
      <c r="L21" s="385"/>
      <c r="M21" s="401"/>
    </row>
    <row r="22" spans="1:14" ht="11.25" customHeight="1">
      <c r="A22" s="1070" t="s">
        <v>21</v>
      </c>
      <c r="B22" s="1071"/>
      <c r="C22" s="377"/>
      <c r="D22" s="342"/>
      <c r="E22" s="378"/>
      <c r="F22" s="342"/>
      <c r="G22" s="379"/>
      <c r="H22" s="342"/>
      <c r="I22" s="378"/>
      <c r="J22" s="342"/>
      <c r="K22" s="342"/>
      <c r="L22" s="343"/>
      <c r="M22" s="402"/>
    </row>
    <row r="23" spans="1:14" ht="11.25" customHeight="1">
      <c r="A23" s="403"/>
      <c r="B23" s="359" t="s">
        <v>635</v>
      </c>
      <c r="C23" s="358">
        <f>-'2.Market-rate Rental Housing'!C29</f>
        <v>-47371693.261041895</v>
      </c>
      <c r="D23" s="358">
        <f>-'2.Market-rate Rental Housing'!D29</f>
        <v>-47371693.261041895</v>
      </c>
      <c r="E23" s="360">
        <f>-'2.Market-rate Rental Housing'!E29</f>
        <v>-14025837.620093629</v>
      </c>
      <c r="F23" s="358">
        <f>-'2.Market-rate Rental Housing'!F29</f>
        <v>-14025837.620093629</v>
      </c>
      <c r="G23" s="361">
        <f ca="1">-'2.Market-rate Rental Housing'!G29</f>
        <v>-18674967.245765537</v>
      </c>
      <c r="H23" s="358">
        <f ca="1">-'2.Market-rate Rental Housing'!H29</f>
        <v>-18674967.245765537</v>
      </c>
      <c r="I23" s="360">
        <f>'2.Market-rate Rental Housing'!I29</f>
        <v>0</v>
      </c>
      <c r="J23" s="358">
        <f>'2.Market-rate Rental Housing'!J29</f>
        <v>0</v>
      </c>
      <c r="K23" s="358">
        <f>'2.Market-rate Rental Housing'!K29</f>
        <v>0</v>
      </c>
      <c r="L23" s="358">
        <f>'2.Market-rate Rental Housing'!L29</f>
        <v>0</v>
      </c>
      <c r="M23" s="404">
        <f>'2.Market-rate Rental Housing'!M29</f>
        <v>0</v>
      </c>
    </row>
    <row r="24" spans="1:14" ht="11.25" customHeight="1">
      <c r="A24" s="1068" t="s">
        <v>637</v>
      </c>
      <c r="B24" s="1069"/>
      <c r="C24" s="362">
        <f>-'3.Affordable Rental Housing'!C26</f>
        <v>-11551230.540143285</v>
      </c>
      <c r="D24" s="358">
        <f>-'3.Affordable Rental Housing'!D26</f>
        <v>-11551230.540143285</v>
      </c>
      <c r="E24" s="360">
        <f>-'3.Affordable Rental Housing'!E26</f>
        <v>-3506459.4050234072</v>
      </c>
      <c r="F24" s="358">
        <f>-'3.Affordable Rental Housing'!F26</f>
        <v>-3506459.4050234072</v>
      </c>
      <c r="G24" s="361">
        <f ca="1">-'3.Affordable Rental Housing'!G26</f>
        <v>-4555521.4261288848</v>
      </c>
      <c r="H24" s="358">
        <f ca="1">-'3.Affordable Rental Housing'!H26</f>
        <v>-4555521.4261288848</v>
      </c>
      <c r="I24" s="360">
        <f>-'3.Affordable Rental Housing'!I26</f>
        <v>0</v>
      </c>
      <c r="J24" s="363">
        <v>0</v>
      </c>
      <c r="K24" s="363">
        <v>0</v>
      </c>
      <c r="L24" s="364">
        <v>0</v>
      </c>
      <c r="M24" s="405">
        <v>0</v>
      </c>
    </row>
    <row r="25" spans="1:14" ht="11.25" customHeight="1">
      <c r="A25" s="1076" t="s">
        <v>11</v>
      </c>
      <c r="B25" s="1077"/>
      <c r="C25" s="365">
        <f ca="1">'4.Office_Commercial'!C30</f>
        <v>-80440309.06493412</v>
      </c>
      <c r="D25" s="366">
        <f ca="1">'4.Office_Commercial'!D30</f>
        <v>-80440309.06493412</v>
      </c>
      <c r="E25" s="367">
        <f ca="1">'4.Office_Commercial'!E30</f>
        <v>-25686859.357642662</v>
      </c>
      <c r="F25" s="365">
        <f ca="1">'4.Office_Commercial'!F30</f>
        <v>-25686859.357642662</v>
      </c>
      <c r="G25" s="368">
        <v>0</v>
      </c>
      <c r="H25" s="365">
        <f ca="1">'4.Office_Commercial'!G30</f>
        <v>0</v>
      </c>
      <c r="I25" s="367">
        <f ca="1">'4.Office_Commercial'!H30</f>
        <v>0</v>
      </c>
      <c r="J25" s="365">
        <f>'4.Office_Commercial'!I30</f>
        <v>0</v>
      </c>
      <c r="K25" s="365">
        <f>'4.Office_Commercial'!J30</f>
        <v>0</v>
      </c>
      <c r="L25" s="365">
        <f>'4.Office_Commercial'!K30</f>
        <v>0</v>
      </c>
      <c r="M25" s="406">
        <f>'4.Office_Commercial'!L30</f>
        <v>0</v>
      </c>
      <c r="N25" s="350"/>
    </row>
    <row r="26" spans="1:14" ht="11.25" customHeight="1">
      <c r="A26" s="1078" t="s">
        <v>22</v>
      </c>
      <c r="B26" s="1079"/>
      <c r="C26" s="369">
        <f ca="1">'5.Market-rate Retail'!C31</f>
        <v>-2984745.8397378223</v>
      </c>
      <c r="D26" s="369">
        <f ca="1">'5.Market-rate Retail'!D31</f>
        <v>-2984745.8397378223</v>
      </c>
      <c r="E26" s="370">
        <f ca="1">'5.Market-rate Retail'!E31</f>
        <v>-9707244.4304529689</v>
      </c>
      <c r="F26" s="369">
        <f ca="1">'5.Market-rate Retail'!F31</f>
        <v>-9707244.4304529689</v>
      </c>
      <c r="G26" s="371">
        <f ca="1">'5.Market-rate Retail'!G31</f>
        <v>-2098130.4440822289</v>
      </c>
      <c r="H26" s="369">
        <f ca="1">'5.Market-rate Retail'!H31</f>
        <v>-2098130.4440822289</v>
      </c>
      <c r="I26" s="370">
        <f>'5.Market-rate Retail'!I31</f>
        <v>0</v>
      </c>
      <c r="J26" s="369">
        <f>'5.Market-rate Retail'!J31</f>
        <v>0</v>
      </c>
      <c r="K26" s="369">
        <f>'5.Market-rate Retail'!K31</f>
        <v>0</v>
      </c>
      <c r="L26" s="369">
        <f>'5.Market-rate Retail'!L31</f>
        <v>0</v>
      </c>
      <c r="M26" s="407">
        <f>'5.Market-rate Retail'!M31</f>
        <v>0</v>
      </c>
    </row>
    <row r="27" spans="1:14" ht="11.25" customHeight="1">
      <c r="A27" s="1074" t="s">
        <v>15</v>
      </c>
      <c r="B27" s="1075"/>
      <c r="C27" s="210">
        <f ca="1">'8.Hotel'!C31</f>
        <v>0</v>
      </c>
      <c r="D27" s="210">
        <f ca="1">'8.Hotel'!D31</f>
        <v>0</v>
      </c>
      <c r="E27" s="356">
        <f ca="1">'8.Hotel'!E31</f>
        <v>-33844006.260708563</v>
      </c>
      <c r="F27" s="210">
        <f ca="1">'8.Hotel'!F31</f>
        <v>-33844006.260708563</v>
      </c>
      <c r="G27" s="357">
        <f ca="1">'8.Hotel'!G31</f>
        <v>-15994603.57316009</v>
      </c>
      <c r="H27" s="210">
        <f ca="1">'8.Hotel'!H31</f>
        <v>-15994603.57316009</v>
      </c>
      <c r="I27" s="356">
        <f>'8.Hotel'!I31</f>
        <v>0</v>
      </c>
      <c r="J27" s="210">
        <f>'8.Hotel'!J31</f>
        <v>0</v>
      </c>
      <c r="K27" s="210">
        <f>'8.Hotel'!K31</f>
        <v>0</v>
      </c>
      <c r="L27" s="210">
        <f>'8.Hotel'!L31</f>
        <v>0</v>
      </c>
      <c r="M27" s="408">
        <f>'8.Hotel'!M31</f>
        <v>0</v>
      </c>
    </row>
    <row r="28" spans="1:14" ht="11.25" customHeight="1">
      <c r="A28" s="1066" t="s">
        <v>16</v>
      </c>
      <c r="B28" s="1067"/>
      <c r="C28" s="192">
        <f ca="1">-'9.Structured Parking'!C39</f>
        <v>-20896409.146059051</v>
      </c>
      <c r="D28" s="192">
        <f ca="1">-'9.Structured Parking'!D39</f>
        <v>-20896409.146059051</v>
      </c>
      <c r="E28" s="193">
        <f ca="1">-'9.Structured Parking'!E39</f>
        <v>0</v>
      </c>
      <c r="F28" s="192">
        <f ca="1">-'9.Structured Parking'!F39</f>
        <v>0</v>
      </c>
      <c r="G28" s="194">
        <f ca="1">-'9.Structured Parking'!G39</f>
        <v>-14551522.936869923</v>
      </c>
      <c r="H28" s="192">
        <f ca="1">-'9.Structured Parking'!H39</f>
        <v>-14551522.936869923</v>
      </c>
      <c r="I28" s="193">
        <f>-'9.Structured Parking'!I39</f>
        <v>0</v>
      </c>
      <c r="J28" s="192">
        <v>0</v>
      </c>
      <c r="K28" s="192">
        <f>-'9.Structured Parking'!K39</f>
        <v>0</v>
      </c>
      <c r="L28" s="192">
        <f>-'9.Structured Parking'!L39</f>
        <v>0</v>
      </c>
      <c r="M28" s="393">
        <f>-'9.Structured Parking'!M39</f>
        <v>0</v>
      </c>
    </row>
    <row r="29" spans="1:14" ht="11.25" customHeight="1">
      <c r="A29" s="1066" t="s">
        <v>12</v>
      </c>
      <c r="B29" s="1067"/>
      <c r="C29" s="192">
        <f>-'6.Community facilities'!C13</f>
        <v>-14545222.324826879</v>
      </c>
      <c r="D29" s="192">
        <f>-'6.Community facilities'!D13</f>
        <v>-14545222.324826879</v>
      </c>
      <c r="E29" s="193">
        <f>-'6.Community facilities'!E13</f>
        <v>0</v>
      </c>
      <c r="F29" s="192">
        <f>-'6.Community facilities'!F13</f>
        <v>0</v>
      </c>
      <c r="G29" s="533">
        <f ca="1">-'6.Community facilities'!G13</f>
        <v>-2944523.8224968282</v>
      </c>
      <c r="H29" s="354">
        <f ca="1">-'6.Community facilities'!H13</f>
        <v>-2944523.8224968282</v>
      </c>
      <c r="I29" s="193">
        <v>0</v>
      </c>
      <c r="J29" s="192">
        <v>0</v>
      </c>
      <c r="K29" s="192">
        <v>0</v>
      </c>
      <c r="L29" s="192">
        <v>0</v>
      </c>
      <c r="M29" s="393">
        <v>0</v>
      </c>
    </row>
    <row r="30" spans="1:14" ht="11.25" customHeight="1">
      <c r="A30" s="1066" t="s">
        <v>13</v>
      </c>
      <c r="B30" s="1067"/>
      <c r="C30" s="192">
        <f>-'7.Affordable Art Space '!C14</f>
        <v>-1487302.6912938952</v>
      </c>
      <c r="D30" s="192">
        <f>-'7.Affordable Art Space '!D14</f>
        <v>-1487302.6912938952</v>
      </c>
      <c r="E30" s="193">
        <f>-'7.Affordable Art Space '!E14</f>
        <v>-3168238.5774820391</v>
      </c>
      <c r="F30" s="192">
        <f>-'7.Affordable Art Space '!F14</f>
        <v>-3168238.5774820391</v>
      </c>
      <c r="G30" s="534">
        <f ca="1">-'7.Affordable Art Space '!G14</f>
        <v>0</v>
      </c>
      <c r="H30" s="365">
        <f ca="1">-'7.Affordable Art Space '!H14</f>
        <v>0</v>
      </c>
      <c r="I30" s="193">
        <v>0</v>
      </c>
      <c r="J30" s="192">
        <v>0</v>
      </c>
      <c r="K30" s="192">
        <v>0</v>
      </c>
      <c r="L30" s="192">
        <v>0</v>
      </c>
      <c r="M30" s="393">
        <v>0</v>
      </c>
    </row>
    <row r="31" spans="1:14" ht="11.25" customHeight="1">
      <c r="A31" s="1080" t="s">
        <v>24</v>
      </c>
      <c r="B31" s="1081"/>
      <c r="C31" s="192">
        <f>-'1.Infrastructure Costs'!D23</f>
        <v>-9486235.6506072525</v>
      </c>
      <c r="D31" s="192">
        <f>-'1.Infrastructure Costs'!E23</f>
        <v>-13428925.650607252</v>
      </c>
      <c r="E31" s="193">
        <f>-'1.Infrastructure Costs'!F23</f>
        <v>-2692967.6645932905</v>
      </c>
      <c r="F31" s="192">
        <f>-'1.Infrastructure Costs'!G23</f>
        <v>-2942967.6645932905</v>
      </c>
      <c r="G31" s="194">
        <f>-'1.Infrastructure Costs'!H23</f>
        <v>-2236354.3789195195</v>
      </c>
      <c r="H31" s="192">
        <f>-'1.Infrastructure Costs'!I23</f>
        <v>-2486354.3789195195</v>
      </c>
      <c r="I31" s="193">
        <f>'1.Infrastructure Costs'!J23</f>
        <v>0</v>
      </c>
      <c r="J31" s="192">
        <f>'1.Infrastructure Costs'!K23</f>
        <v>0</v>
      </c>
      <c r="K31" s="192">
        <f>'1.Infrastructure Costs'!L23</f>
        <v>0</v>
      </c>
      <c r="L31" s="192">
        <f>'1.Infrastructure Costs'!M23</f>
        <v>0</v>
      </c>
      <c r="M31" s="393">
        <f>'1.Infrastructure Costs'!N23</f>
        <v>0</v>
      </c>
    </row>
    <row r="32" spans="1:14" ht="11.25" customHeight="1">
      <c r="A32" s="1082" t="s">
        <v>25</v>
      </c>
      <c r="B32" s="1083"/>
      <c r="C32" s="369">
        <f ca="1">-('2.Market-rate Rental Housing'!C30+'3.Affordable Rental Housing'!C27+'6.Community facilities'!C14+'8.Hotel'!C21+'4.Office_Commercial'!C20+'5.Market-rate Retail'!C21+'7.Affordable Art Space '!C15+'8.Hotel'!C21+'9.Structured Parking'!C34)</f>
        <v>-17704824.146633316</v>
      </c>
      <c r="D32" s="369">
        <f ca="1">-('2.Market-rate Rental Housing'!D30+'3.Affordable Rental Housing'!D27+'6.Community facilities'!D14+'8.Hotel'!D21+'4.Office_Commercial'!D20+'5.Market-rate Retail'!D21+'7.Affordable Art Space '!D15+'8.Hotel'!D21+'9.Structured Parking'!D34)</f>
        <v>-17704824.146633316</v>
      </c>
      <c r="E32" s="370">
        <f ca="1">-('2.Market-rate Rental Housing'!E30+'3.Affordable Rental Housing'!E27+'6.Community facilities'!E14+'8.Hotel'!E21+'4.Office_Commercial'!E20+'5.Market-rate Retail'!E21+'7.Affordable Art Space '!E15+'8.Hotel'!E21+'9.Structured Parking'!E34)</f>
        <v>-11495013.659975434</v>
      </c>
      <c r="F32" s="369">
        <f ca="1">-('2.Market-rate Rental Housing'!F30+'3.Affordable Rental Housing'!F27+'6.Community facilities'!F14+'8.Hotel'!F21+'4.Office_Commercial'!F20+'5.Market-rate Retail'!F21+'7.Affordable Art Space '!F15+'8.Hotel'!F21+'9.Structured Parking'!F34)</f>
        <v>-11495013.659975434</v>
      </c>
      <c r="G32" s="371">
        <f ca="1">-('2.Market-rate Rental Housing'!G30+'3.Affordable Rental Housing'!G27+'6.Community facilities'!G14+'8.Hotel'!G21+'4.Office_Commercial'!G20+'5.Market-rate Retail'!G21+'7.Affordable Art Space '!G15+'8.Hotel'!G21+'9.Structured Parking'!G34)</f>
        <v>-8573618.9191374667</v>
      </c>
      <c r="H32" s="369">
        <f ca="1">-('2.Market-rate Rental Housing'!H30+'3.Affordable Rental Housing'!H27+'6.Community facilities'!H14+'8.Hotel'!H21+'4.Office_Commercial'!H20+'5.Market-rate Retail'!H21+'7.Affordable Art Space '!H15+'8.Hotel'!H21+'9.Structured Parking'!H34)</f>
        <v>-8573618.9191374667</v>
      </c>
      <c r="I32" s="370">
        <v>0</v>
      </c>
      <c r="J32" s="372">
        <v>0</v>
      </c>
      <c r="K32" s="369">
        <v>0</v>
      </c>
      <c r="L32" s="369">
        <v>0</v>
      </c>
      <c r="M32" s="407">
        <v>0</v>
      </c>
    </row>
    <row r="33" spans="1:16" ht="11.25" customHeight="1">
      <c r="A33" s="1084" t="s">
        <v>26</v>
      </c>
      <c r="B33" s="1085"/>
      <c r="C33" s="207">
        <f>-('2.Market-rate Rental Housing'!C31+'3.Affordable Rental Housing'!C28+'6.Community facilities'!C15+'8.Hotel'!C22+'4.Office_Commercial'!C21+'5.Market-rate Retail'!C22+'7.Affordable Art Space '!C16+'8.Hotel'!C22+'9.Structured Parking'!C35)</f>
        <v>-580483.62287156377</v>
      </c>
      <c r="D33" s="207">
        <f>-('2.Market-rate Rental Housing'!D31+'3.Affordable Rental Housing'!D28+'6.Community facilities'!D15+'8.Hotel'!D22+'4.Office_Commercial'!D21+'5.Market-rate Retail'!D22+'7.Affordable Art Space '!D16+'8.Hotel'!D22+'9.Structured Parking'!D35)</f>
        <v>-580483.62287156377</v>
      </c>
      <c r="E33" s="209">
        <f>-('2.Market-rate Rental Housing'!E31+'3.Affordable Rental Housing'!E28+'6.Community facilities'!E15+'8.Hotel'!E22+'4.Office_Commercial'!E21+'5.Market-rate Retail'!E22+'7.Affordable Art Space '!E16+'8.Hotel'!E22+'9.Structured Parking'!E35)</f>
        <v>-446689.25959365966</v>
      </c>
      <c r="F33" s="207">
        <f>-('2.Market-rate Rental Housing'!F31+'3.Affordable Rental Housing'!F28+'6.Community facilities'!F15+'8.Hotel'!F22+'4.Office_Commercial'!F21+'5.Market-rate Retail'!F22+'7.Affordable Art Space '!F16+'8.Hotel'!F22+'9.Structured Parking'!F35)</f>
        <v>-446689.25959365966</v>
      </c>
      <c r="G33" s="208">
        <f>-('2.Market-rate Rental Housing'!G31+'3.Affordable Rental Housing'!G28+'6.Community facilities'!G15+'8.Hotel'!G22+'4.Office_Commercial'!G21+'5.Market-rate Retail'!G22+'7.Affordable Art Space '!G16+'8.Hotel'!G22+'9.Structured Parking'!G35)</f>
        <v>-222921.33321314884</v>
      </c>
      <c r="H33" s="207">
        <f>-('2.Market-rate Rental Housing'!H31+'3.Affordable Rental Housing'!H28+'6.Community facilities'!H15+'8.Hotel'!H22+'4.Office_Commercial'!H21+'5.Market-rate Retail'!H22+'7.Affordable Art Space '!H16+'8.Hotel'!H22+'9.Structured Parking'!H35)</f>
        <v>-222921.33321314884</v>
      </c>
      <c r="I33" s="209">
        <v>0</v>
      </c>
      <c r="J33" s="373">
        <v>0</v>
      </c>
      <c r="K33" s="207">
        <v>0</v>
      </c>
      <c r="L33" s="207">
        <v>0</v>
      </c>
      <c r="M33" s="398">
        <v>0</v>
      </c>
    </row>
    <row r="34" spans="1:16" ht="11.25" customHeight="1">
      <c r="A34" s="1086" t="s">
        <v>27</v>
      </c>
      <c r="B34" s="1087"/>
      <c r="C34" s="362">
        <f ca="1">-('2.Market-rate Rental Housing'!C32+'3.Affordable Rental Housing'!C29+'6.Community facilities'!C16+'8.Hotel'!C23+'4.Office_Commercial'!C22+'5.Market-rate Retail'!C23+'7.Affordable Art Space '!C17+'8.Hotel'!C23+'9.Structured Parking'!C36)</f>
        <v>-7202152.6139988881</v>
      </c>
      <c r="D34" s="358">
        <f ca="1">-('2.Market-rate Rental Housing'!D32+'3.Affordable Rental Housing'!D29+'6.Community facilities'!D16+'8.Hotel'!D23+'4.Office_Commercial'!D22+'5.Market-rate Retail'!D23+'7.Affordable Art Space '!D17+'8.Hotel'!D23+'9.Structured Parking'!D36)</f>
        <v>-7202152.6139988881</v>
      </c>
      <c r="E34" s="360">
        <f ca="1">-('2.Market-rate Rental Housing'!E32+'3.Affordable Rental Housing'!E29+'6.Community facilities'!E16+'8.Hotel'!E23+'4.Office_Commercial'!E22+'5.Market-rate Retail'!E23+'7.Affordable Art Space '!E17+'8.Hotel'!E23+'9.Structured Parking'!E36)</f>
        <v>-3688000.4052577224</v>
      </c>
      <c r="F34" s="358">
        <f ca="1">-('2.Market-rate Rental Housing'!F32+'3.Affordable Rental Housing'!F29+'6.Community facilities'!F16+'8.Hotel'!F23+'4.Office_Commercial'!F22+'5.Market-rate Retail'!F23+'7.Affordable Art Space '!F17+'8.Hotel'!F23+'9.Structured Parking'!F36)</f>
        <v>-3688000.4052577224</v>
      </c>
      <c r="G34" s="361">
        <f ca="1">-('2.Market-rate Rental Housing'!G32+'3.Affordable Rental Housing'!G29+'6.Community facilities'!G16+'8.Hotel'!G23+'4.Office_Commercial'!G22+'5.Market-rate Retail'!G23+'7.Affordable Art Space '!G17+'8.Hotel'!G23+'9.Structured Parking'!G36)</f>
        <v>-1982399.9056757973</v>
      </c>
      <c r="H34" s="358">
        <f ca="1">-('2.Market-rate Rental Housing'!H32+'3.Affordable Rental Housing'!H29+'6.Community facilities'!H16+'8.Hotel'!H23+'4.Office_Commercial'!H22+'5.Market-rate Retail'!H23+'7.Affordable Art Space '!H17+'8.Hotel'!H23+'9.Structured Parking'!H36)</f>
        <v>-1982399.9056757973</v>
      </c>
      <c r="I34" s="360">
        <v>0</v>
      </c>
      <c r="J34" s="363">
        <v>0</v>
      </c>
      <c r="K34" s="358">
        <v>0</v>
      </c>
      <c r="L34" s="358">
        <v>0</v>
      </c>
      <c r="M34" s="404">
        <v>0</v>
      </c>
    </row>
    <row r="35" spans="1:16" ht="11.25" customHeight="1">
      <c r="A35" s="1086" t="s">
        <v>28</v>
      </c>
      <c r="B35" s="1088"/>
      <c r="C35" s="358">
        <f>-2*('2.Market-rate Rental Housing'!C33+'3.Affordable Rental Housing'!C30+'6.Community facilities'!C17+'8.Hotel'!C24+'4.Office_Commercial'!C23+'5.Market-rate Retail'!C24+'7.Affordable Art Space '!C18+'8.Hotel'!C24+'9.Structured Parking'!C37)</f>
        <v>-9871736.8050000016</v>
      </c>
      <c r="D35" s="358">
        <v>0</v>
      </c>
      <c r="E35" s="360">
        <f>-2*('2.Market-rate Rental Housing'!E33+'3.Affordable Rental Housing'!E30+'6.Community facilities'!E17+'8.Hotel'!E24+'4.Office_Commercial'!E23+'5.Market-rate Retail'!E24+'7.Affordable Art Space '!E18+'8.Hotel'!E24+'9.Structured Parking'!E37)</f>
        <v>-25303917.767690487</v>
      </c>
      <c r="F35" s="358">
        <v>0</v>
      </c>
      <c r="G35" s="361">
        <f>-2*('2.Market-rate Rental Housing'!G33+'3.Affordable Rental Housing'!G30+'6.Community facilities'!G17+'8.Hotel'!G24+'4.Office_Commercial'!G23+'5.Market-rate Retail'!G24+'7.Affordable Art Space '!G18+'8.Hotel'!G24+'9.Structured Parking'!G37)</f>
        <v>-22333671.023071721</v>
      </c>
      <c r="H35" s="358">
        <v>0</v>
      </c>
      <c r="I35" s="360">
        <v>0</v>
      </c>
      <c r="J35" s="363">
        <v>0</v>
      </c>
      <c r="K35" s="358">
        <v>0</v>
      </c>
      <c r="L35" s="358">
        <v>0</v>
      </c>
      <c r="M35" s="404">
        <v>0</v>
      </c>
    </row>
    <row r="36" spans="1:16" ht="11.25" customHeight="1">
      <c r="A36" s="1084" t="s">
        <v>29</v>
      </c>
      <c r="B36" s="1085"/>
      <c r="C36" s="207">
        <f>-('2.Market-rate Rental Housing'!C34+'3.Affordable Rental Housing'!C31+'6.Community facilities'!C18+'8.Hotel'!C25+'4.Office_Commercial'!C24+'5.Market-rate Retail'!C25+'7.Affordable Art Space '!C19+'8.Hotel'!C25+'9.Structured Parking'!C38)</f>
        <v>-23814990</v>
      </c>
      <c r="D36" s="207">
        <f>-('2.Market-rate Rental Housing'!D34+'3.Affordable Rental Housing'!D31+'6.Community facilities'!D18+'8.Hotel'!D25+'4.Office_Commercial'!D24+'5.Market-rate Retail'!D25+'7.Affordable Art Space '!D19+'8.Hotel'!D25+'9.Structured Parking'!D38)</f>
        <v>-23814990</v>
      </c>
      <c r="E36" s="209">
        <f>-('2.Market-rate Rental Housing'!E34+'3.Affordable Rental Housing'!E31+'6.Community facilities'!E18+'8.Hotel'!E25+'4.Office_Commercial'!E24+'5.Market-rate Retail'!E25+'7.Affordable Art Space '!E19+'8.Hotel'!E25+'9.Structured Parking'!E38)</f>
        <v>-5576370.2069850676</v>
      </c>
      <c r="F36" s="207">
        <f>-('2.Market-rate Rental Housing'!F34+'3.Affordable Rental Housing'!F31+'6.Community facilities'!F18+'8.Hotel'!F25+'4.Office_Commercial'!F24+'5.Market-rate Retail'!F25+'7.Affordable Art Space '!F19+'8.Hotel'!F25+'9.Structured Parking'!F38)</f>
        <v>-5576370.2069850676</v>
      </c>
      <c r="G36" s="208">
        <f>-('2.Market-rate Rental Housing'!G34+'3.Affordable Rental Housing'!G31+'6.Community facilities'!G18+'8.Hotel'!G25+'4.Office_Commercial'!G24+'5.Market-rate Retail'!G25+'7.Affordable Art Space '!G19+'8.Hotel'!G25+'9.Structured Parking'!G38)</f>
        <v>-3910893.2506968034</v>
      </c>
      <c r="H36" s="207">
        <f>-('2.Market-rate Rental Housing'!H34+'3.Affordable Rental Housing'!H31+'6.Community facilities'!H18+'8.Hotel'!H25+'4.Office_Commercial'!H24+'5.Market-rate Retail'!H25+'7.Affordable Art Space '!H19+'8.Hotel'!H25+'9.Structured Parking'!H38)</f>
        <v>-3910893.2506968034</v>
      </c>
      <c r="I36" s="209">
        <v>0</v>
      </c>
      <c r="J36" s="373">
        <v>0</v>
      </c>
      <c r="K36" s="207">
        <v>0</v>
      </c>
      <c r="L36" s="207">
        <v>0</v>
      </c>
      <c r="M36" s="398">
        <v>0</v>
      </c>
    </row>
    <row r="37" spans="1:16" ht="14" customHeight="1">
      <c r="A37" s="1089" t="s">
        <v>30</v>
      </c>
      <c r="B37" s="1090"/>
      <c r="C37" s="362">
        <f>-'Detailed Uses'!G21</f>
        <v>-3153192</v>
      </c>
      <c r="D37" s="374">
        <v>0</v>
      </c>
      <c r="E37" s="375">
        <f>-'Detailed Uses'!H21</f>
        <v>-1886776</v>
      </c>
      <c r="F37" s="374">
        <v>0</v>
      </c>
      <c r="G37" s="376">
        <f>-'Detailed Uses'!I21</f>
        <v>-827960</v>
      </c>
      <c r="H37" s="374">
        <v>0</v>
      </c>
      <c r="I37" s="360">
        <v>0</v>
      </c>
      <c r="J37" s="363">
        <v>0</v>
      </c>
      <c r="K37" s="358">
        <v>0</v>
      </c>
      <c r="L37" s="358">
        <v>0</v>
      </c>
      <c r="M37" s="404">
        <v>0</v>
      </c>
    </row>
    <row r="38" spans="1:16" ht="14" customHeight="1">
      <c r="A38" s="1091" t="s">
        <v>31</v>
      </c>
      <c r="B38" s="1092"/>
      <c r="C38" s="479">
        <f>-'Detailed Uses'!G22</f>
        <v>-602000</v>
      </c>
      <c r="D38" s="480">
        <v>0</v>
      </c>
      <c r="E38" s="481">
        <f>-'Detailed Uses'!H22</f>
        <v>-626320.80000000005</v>
      </c>
      <c r="F38" s="480">
        <v>0</v>
      </c>
      <c r="G38" s="482">
        <f>-'Detailed Uses'!I22</f>
        <v>-651624.16032000002</v>
      </c>
      <c r="H38" s="480">
        <v>0</v>
      </c>
      <c r="I38" s="483">
        <v>0</v>
      </c>
      <c r="J38" s="484">
        <v>0</v>
      </c>
      <c r="K38" s="479">
        <v>0</v>
      </c>
      <c r="L38" s="479">
        <v>0</v>
      </c>
      <c r="M38" s="485">
        <v>0</v>
      </c>
    </row>
    <row r="39" spans="1:16" ht="11.25" customHeight="1">
      <c r="A39" s="1072" t="s">
        <v>32</v>
      </c>
      <c r="B39" s="1073"/>
      <c r="C39" s="497">
        <f t="shared" ref="C39:H39" ca="1" si="3">SUM(C23:C38)</f>
        <v>-251692527.70714802</v>
      </c>
      <c r="D39" s="497">
        <f t="shared" ca="1" si="3"/>
        <v>-242008288.90214801</v>
      </c>
      <c r="E39" s="498">
        <f t="shared" ca="1" si="3"/>
        <v>-141654701.41549894</v>
      </c>
      <c r="F39" s="497">
        <f t="shared" ca="1" si="3"/>
        <v>-114087686.84780847</v>
      </c>
      <c r="G39" s="499">
        <f t="shared" ca="1" si="3"/>
        <v>-99558712.419537961</v>
      </c>
      <c r="H39" s="497">
        <f t="shared" ca="1" si="3"/>
        <v>-75995457.236146241</v>
      </c>
      <c r="I39" s="500">
        <v>0</v>
      </c>
      <c r="J39" s="501">
        <v>0</v>
      </c>
      <c r="K39" s="502">
        <v>0</v>
      </c>
      <c r="L39" s="186">
        <v>0</v>
      </c>
      <c r="M39" s="503">
        <v>0</v>
      </c>
    </row>
    <row r="40" spans="1:16" s="166" customFormat="1" ht="11.25" customHeight="1">
      <c r="A40" s="399"/>
      <c r="B40" s="345"/>
      <c r="C40" s="346"/>
      <c r="D40" s="353"/>
      <c r="E40" s="347"/>
      <c r="F40" s="347"/>
      <c r="G40" s="347"/>
      <c r="H40" s="347"/>
      <c r="I40" s="347"/>
      <c r="J40" s="347"/>
      <c r="K40" s="347"/>
      <c r="L40" s="348"/>
      <c r="M40" s="400"/>
      <c r="N40" s="344"/>
      <c r="O40" s="344"/>
      <c r="P40" s="344"/>
    </row>
    <row r="41" spans="1:16" ht="11.25" customHeight="1">
      <c r="A41" s="409" t="s">
        <v>33</v>
      </c>
      <c r="B41" s="158"/>
      <c r="C41" s="211"/>
      <c r="D41" s="212"/>
      <c r="E41" s="213"/>
      <c r="F41" s="214"/>
      <c r="G41" s="215"/>
      <c r="H41" s="214"/>
      <c r="I41" s="216"/>
      <c r="J41" s="214"/>
      <c r="K41" s="214"/>
      <c r="L41" s="217"/>
      <c r="M41" s="410"/>
    </row>
    <row r="42" spans="1:16" ht="11.25" customHeight="1">
      <c r="A42" s="1066" t="s">
        <v>34</v>
      </c>
      <c r="B42" s="1067"/>
      <c r="C42" s="192">
        <f t="shared" ref="C42:M42" si="4">C17</f>
        <v>0</v>
      </c>
      <c r="D42" s="192">
        <f t="shared" si="4"/>
        <v>0</v>
      </c>
      <c r="E42" s="200">
        <f t="shared" si="4"/>
        <v>25263971.99606701</v>
      </c>
      <c r="F42" s="192">
        <f t="shared" si="4"/>
        <v>36496744.957150958</v>
      </c>
      <c r="G42" s="194">
        <f t="shared" si="4"/>
        <v>58173635.135376528</v>
      </c>
      <c r="H42" s="192">
        <f t="shared" si="4"/>
        <v>63102359.40803048</v>
      </c>
      <c r="I42" s="193">
        <f t="shared" si="4"/>
        <v>81331800.234229073</v>
      </c>
      <c r="J42" s="192">
        <f t="shared" si="4"/>
        <v>82322522.594036087</v>
      </c>
      <c r="K42" s="192">
        <f t="shared" si="4"/>
        <v>83928023.235458538</v>
      </c>
      <c r="L42" s="192">
        <f t="shared" si="4"/>
        <v>85564179.80013749</v>
      </c>
      <c r="M42" s="393">
        <f t="shared" si="4"/>
        <v>87231561.783850864</v>
      </c>
    </row>
    <row r="43" spans="1:16" ht="11.25" customHeight="1">
      <c r="A43" s="394"/>
      <c r="B43" s="332" t="s">
        <v>35</v>
      </c>
      <c r="C43" s="192"/>
      <c r="D43" s="195"/>
      <c r="E43" s="196"/>
      <c r="F43" s="197"/>
      <c r="G43" s="198"/>
      <c r="H43" s="197"/>
      <c r="I43" s="196"/>
      <c r="J43" s="197"/>
      <c r="K43" s="197"/>
      <c r="L43" s="336"/>
      <c r="M43" s="531">
        <f>'2.Market-rate Rental Housing'!M38+'3.Affordable Rental Housing'!M35+'4.Office_Commercial'!M28+'5.Market-rate Retail'!M29+'6.Community facilities'!M22+'7.Affordable Art Space '!M23+'8.Hotel'!M29+'9.Structured Parking'!M42</f>
        <v>1265335734.0272374</v>
      </c>
    </row>
    <row r="44" spans="1:16" ht="11.25" customHeight="1">
      <c r="A44" s="1066" t="s">
        <v>36</v>
      </c>
      <c r="B44" s="1067"/>
      <c r="C44" s="192"/>
      <c r="D44" s="195"/>
      <c r="E44" s="199"/>
      <c r="F44" s="197"/>
      <c r="G44" s="198"/>
      <c r="H44" s="197"/>
      <c r="I44" s="196"/>
      <c r="J44" s="197"/>
      <c r="K44" s="197"/>
      <c r="L44" s="336"/>
      <c r="M44" s="532">
        <f>'2.Market-rate Rental Housing'!M39+'3.Affordable Rental Housing'!M36+'4.Office_Commercial'!M29+'5.Market-rate Retail'!M30+'6.Community facilities'!M23+'7.Affordable Art Space '!M24+'8.Hotel'!M30+'9.Structured Parking'!M43</f>
        <v>-25306714.680544741</v>
      </c>
    </row>
    <row r="45" spans="1:16" ht="11.25" customHeight="1">
      <c r="A45" s="1095" t="s">
        <v>32</v>
      </c>
      <c r="B45" s="1096"/>
      <c r="C45" s="474">
        <f ca="1">C39</f>
        <v>-251692527.70714802</v>
      </c>
      <c r="D45" s="474">
        <f ca="1">D39</f>
        <v>-242008288.90214801</v>
      </c>
      <c r="E45" s="475">
        <f t="shared" ref="E45:M45" ca="1" si="5">E39</f>
        <v>-141654701.41549894</v>
      </c>
      <c r="F45" s="474">
        <f t="shared" ca="1" si="5"/>
        <v>-114087686.84780847</v>
      </c>
      <c r="G45" s="476">
        <f t="shared" ca="1" si="5"/>
        <v>-99558712.419537961</v>
      </c>
      <c r="H45" s="474">
        <f t="shared" ca="1" si="5"/>
        <v>-75995457.236146241</v>
      </c>
      <c r="I45" s="477">
        <f t="shared" si="5"/>
        <v>0</v>
      </c>
      <c r="J45" s="474">
        <f t="shared" si="5"/>
        <v>0</v>
      </c>
      <c r="K45" s="474">
        <f t="shared" si="5"/>
        <v>0</v>
      </c>
      <c r="L45" s="474">
        <f t="shared" si="5"/>
        <v>0</v>
      </c>
      <c r="M45" s="478">
        <f t="shared" si="5"/>
        <v>0</v>
      </c>
    </row>
    <row r="46" spans="1:16" ht="11.25" customHeight="1">
      <c r="A46" s="411" t="s">
        <v>37</v>
      </c>
      <c r="B46" s="159"/>
      <c r="C46" s="201">
        <f ca="1">SUM(C42:C45)</f>
        <v>-251692527.70714802</v>
      </c>
      <c r="D46" s="201">
        <f t="shared" ref="D46:L46" ca="1" si="6">SUM(D42:D45)</f>
        <v>-242008288.90214801</v>
      </c>
      <c r="E46" s="202">
        <f t="shared" ca="1" si="6"/>
        <v>-116390729.41943192</v>
      </c>
      <c r="F46" s="201">
        <f t="shared" ca="1" si="6"/>
        <v>-77590941.890657514</v>
      </c>
      <c r="G46" s="203">
        <f t="shared" ca="1" si="6"/>
        <v>-41385077.284161434</v>
      </c>
      <c r="H46" s="201">
        <f t="shared" ca="1" si="6"/>
        <v>-12893097.828115761</v>
      </c>
      <c r="I46" s="204">
        <f t="shared" si="6"/>
        <v>81331800.234229073</v>
      </c>
      <c r="J46" s="201">
        <f t="shared" si="6"/>
        <v>82322522.594036087</v>
      </c>
      <c r="K46" s="201">
        <f t="shared" si="6"/>
        <v>83928023.235458538</v>
      </c>
      <c r="L46" s="201">
        <f t="shared" si="6"/>
        <v>85564179.80013749</v>
      </c>
      <c r="M46" s="395">
        <f>SUM(M42:M45)</f>
        <v>1327260581.1305435</v>
      </c>
    </row>
    <row r="47" spans="1:16" ht="11.25" customHeight="1">
      <c r="A47" s="411" t="s">
        <v>38</v>
      </c>
      <c r="B47" s="157"/>
      <c r="C47" s="201">
        <f ca="1">-'Detailed Uses'!G55/2</f>
        <v>-15860017.761083098</v>
      </c>
      <c r="D47" s="205">
        <f ca="1">C47</f>
        <v>-15860017.761083098</v>
      </c>
      <c r="E47" s="206">
        <f ca="1">-'Detailed Uses'!H55/2</f>
        <v>-11614272.758954391</v>
      </c>
      <c r="F47" s="206">
        <f ca="1">E47</f>
        <v>-11614272.758954391</v>
      </c>
      <c r="G47" s="206">
        <f ca="1">-'Detailed Uses'!I55/2</f>
        <v>-4894004.1051131617</v>
      </c>
      <c r="H47" s="206">
        <f ca="1">G47</f>
        <v>-4894004.1051131617</v>
      </c>
      <c r="I47" s="206"/>
      <c r="J47" s="206"/>
      <c r="K47" s="206"/>
      <c r="L47" s="217"/>
      <c r="M47" s="412"/>
    </row>
    <row r="48" spans="1:16" ht="11.25" customHeight="1">
      <c r="A48" s="411" t="s">
        <v>39</v>
      </c>
      <c r="B48" s="335"/>
      <c r="C48" s="207">
        <f ca="1">C46+C47+'Summary Board II -  S+U'!F31/2</f>
        <v>-88136448.337530881</v>
      </c>
      <c r="D48" s="207">
        <f ca="1">D46+D47+'Summary Board II -  S+U'!F31/2</f>
        <v>-78452209.532530874</v>
      </c>
      <c r="E48" s="207">
        <f ca="1">E46+E47+'Summary Board II -  S+U'!G31/2</f>
        <v>-128005001.85338631</v>
      </c>
      <c r="F48" s="207">
        <f ca="1">F46+F47+'Summary Board II -  S+U'!G31/2</f>
        <v>-89205214.324611902</v>
      </c>
      <c r="G48" s="207">
        <f ca="1">G46+G47++'Summary Board II -  S+U'!H31/2</f>
        <v>33277063.683381721</v>
      </c>
      <c r="H48" s="207">
        <f ca="1">H46+H47++'Summary Board II -  S+U'!H31/2</f>
        <v>61769043.139427394</v>
      </c>
      <c r="I48" s="207">
        <f t="shared" ref="I48:L48" si="7">I46+I47</f>
        <v>81331800.234229073</v>
      </c>
      <c r="J48" s="207">
        <f t="shared" si="7"/>
        <v>82322522.594036087</v>
      </c>
      <c r="K48" s="207">
        <f t="shared" si="7"/>
        <v>83928023.235458538</v>
      </c>
      <c r="L48" s="207">
        <f t="shared" si="7"/>
        <v>85564179.80013749</v>
      </c>
      <c r="M48" s="413">
        <f>M46+M47</f>
        <v>1327260581.1305435</v>
      </c>
    </row>
    <row r="49" spans="1:16" ht="11.25" customHeight="1">
      <c r="A49" s="414" t="s">
        <v>40</v>
      </c>
      <c r="B49" s="160"/>
      <c r="C49" s="506">
        <f ca="1">C46+NPV(C53,D46:M46)</f>
        <v>191930169.09441996</v>
      </c>
      <c r="D49" s="218"/>
      <c r="E49" s="219"/>
      <c r="F49" s="219"/>
      <c r="G49" s="219"/>
      <c r="H49" s="219"/>
      <c r="I49" s="219"/>
      <c r="J49" s="219"/>
      <c r="K49" s="219"/>
      <c r="L49" s="217"/>
      <c r="M49" s="415"/>
    </row>
    <row r="50" spans="1:16" ht="11.25" customHeight="1">
      <c r="A50" s="411" t="s">
        <v>41</v>
      </c>
      <c r="B50" s="161"/>
      <c r="C50" s="201"/>
      <c r="D50" s="205"/>
      <c r="E50" s="206"/>
      <c r="F50" s="206"/>
      <c r="G50" s="220"/>
      <c r="H50" s="206"/>
      <c r="I50" s="206"/>
      <c r="J50" s="206"/>
      <c r="K50" s="206"/>
      <c r="L50" s="221"/>
      <c r="M50" s="412"/>
    </row>
    <row r="51" spans="1:16" ht="11.25" customHeight="1">
      <c r="A51" s="416" t="s">
        <v>42</v>
      </c>
      <c r="B51" s="161"/>
      <c r="C51" s="504">
        <f ca="1">IRR(C46:M46)</f>
        <v>0.10256421994567355</v>
      </c>
      <c r="D51" s="205"/>
      <c r="E51" s="206"/>
      <c r="F51" s="222" t="s">
        <v>43</v>
      </c>
      <c r="G51" s="219"/>
      <c r="H51" s="507">
        <f>'TIF Financing'!K21</f>
        <v>108681959.88699999</v>
      </c>
      <c r="I51" s="206"/>
      <c r="J51" s="206"/>
      <c r="K51" s="206"/>
      <c r="L51" s="223"/>
      <c r="M51" s="412"/>
    </row>
    <row r="52" spans="1:16" ht="11.25" customHeight="1">
      <c r="A52" s="416" t="s">
        <v>44</v>
      </c>
      <c r="B52" s="161"/>
      <c r="C52" s="505">
        <f ca="1">IRR(C48:M48)</f>
        <v>0.22491856558057433</v>
      </c>
      <c r="D52" s="162"/>
      <c r="E52" s="163"/>
      <c r="F52" s="165" t="s">
        <v>45</v>
      </c>
      <c r="G52" s="163"/>
      <c r="H52" s="508">
        <f>M43</f>
        <v>1265335734.0272374</v>
      </c>
      <c r="I52" s="163"/>
      <c r="J52" s="163"/>
      <c r="K52" s="163"/>
      <c r="L52" s="164"/>
      <c r="M52" s="417"/>
    </row>
    <row r="53" spans="1:16" ht="11.25" customHeight="1">
      <c r="A53" s="418"/>
      <c r="B53" s="157"/>
      <c r="C53" s="544">
        <v>7.0000000000000007E-2</v>
      </c>
      <c r="D53" s="157"/>
      <c r="E53" s="344"/>
      <c r="F53" s="157"/>
      <c r="G53" s="344"/>
      <c r="H53" s="157"/>
      <c r="I53" s="344"/>
      <c r="J53" s="157"/>
      <c r="K53" s="157"/>
      <c r="L53" s="157"/>
      <c r="M53" s="419"/>
    </row>
    <row r="54" spans="1:16" s="153" customFormat="1" ht="11.25" customHeight="1">
      <c r="A54" s="1097" t="s">
        <v>46</v>
      </c>
      <c r="B54" s="1098"/>
      <c r="C54" s="1099"/>
      <c r="D54" s="1099"/>
      <c r="E54" s="1099"/>
      <c r="F54" s="1099"/>
      <c r="G54" s="1099"/>
      <c r="H54" s="1099"/>
      <c r="I54" s="1099"/>
      <c r="J54" s="1099"/>
      <c r="K54" s="1099"/>
      <c r="L54" s="1099"/>
      <c r="M54" s="1100"/>
      <c r="N54" s="349"/>
      <c r="O54" s="349"/>
      <c r="P54" s="349"/>
    </row>
    <row r="55" spans="1:16" ht="11.25" customHeight="1">
      <c r="A55" s="523"/>
      <c r="B55" s="524"/>
      <c r="C55" s="525"/>
      <c r="D55" s="526" t="s">
        <v>47</v>
      </c>
      <c r="E55" s="527"/>
      <c r="F55" s="527"/>
      <c r="G55" s="527"/>
      <c r="H55" s="527"/>
      <c r="I55" s="527"/>
      <c r="J55" s="527"/>
      <c r="K55" s="527"/>
      <c r="L55" s="527"/>
      <c r="M55" s="528"/>
    </row>
    <row r="56" spans="1:16" s="167" customFormat="1" ht="11.25" customHeight="1">
      <c r="A56" s="514"/>
      <c r="B56" s="515"/>
      <c r="C56" s="529" t="s">
        <v>48</v>
      </c>
      <c r="D56" s="517">
        <v>2021</v>
      </c>
      <c r="E56" s="516">
        <f t="shared" ref="E56:K56" si="8">D56+1</f>
        <v>2022</v>
      </c>
      <c r="F56" s="516">
        <f t="shared" si="8"/>
        <v>2023</v>
      </c>
      <c r="G56" s="516">
        <f t="shared" si="8"/>
        <v>2024</v>
      </c>
      <c r="H56" s="516">
        <f t="shared" si="8"/>
        <v>2025</v>
      </c>
      <c r="I56" s="516">
        <f t="shared" si="8"/>
        <v>2026</v>
      </c>
      <c r="J56" s="516">
        <f t="shared" si="8"/>
        <v>2027</v>
      </c>
      <c r="K56" s="516">
        <f t="shared" si="8"/>
        <v>2028</v>
      </c>
      <c r="L56" s="518">
        <f>K56+1</f>
        <v>2029</v>
      </c>
      <c r="M56" s="519">
        <f>L56+1</f>
        <v>2030</v>
      </c>
      <c r="N56" s="351"/>
      <c r="O56" s="351"/>
      <c r="P56" s="351"/>
    </row>
    <row r="57" spans="1:16" ht="11.25" customHeight="1">
      <c r="A57" s="421" t="s">
        <v>49</v>
      </c>
      <c r="B57" s="155"/>
      <c r="C57" s="170"/>
      <c r="D57" s="168"/>
      <c r="E57" s="169"/>
      <c r="F57" s="169"/>
      <c r="G57" s="169"/>
      <c r="H57" s="169"/>
      <c r="I57" s="169"/>
      <c r="J57" s="169"/>
      <c r="K57" s="169"/>
      <c r="L57" s="334"/>
      <c r="M57" s="420"/>
    </row>
    <row r="58" spans="1:16" ht="11.25" customHeight="1">
      <c r="A58" s="1074" t="s">
        <v>634</v>
      </c>
      <c r="B58" s="1075"/>
      <c r="C58" s="171" t="s">
        <v>50</v>
      </c>
      <c r="D58" s="172">
        <f>+'2.Market-rate Rental Housing'!C10</f>
        <v>0</v>
      </c>
      <c r="E58" s="172">
        <f>+'2.Market-rate Rental Housing'!D10</f>
        <v>0</v>
      </c>
      <c r="F58" s="173">
        <f>+'2.Market-rate Rental Housing'!E10</f>
        <v>509.25451393939403</v>
      </c>
      <c r="G58" s="173">
        <f>+'2.Market-rate Rental Housing'!F10</f>
        <v>509.25451393939403</v>
      </c>
      <c r="H58" s="173">
        <f>+'2.Market-rate Rental Housing'!G10</f>
        <v>670.18158303030293</v>
      </c>
      <c r="I58" s="173">
        <f>+'2.Market-rate Rental Housing'!H10</f>
        <v>670.18158303030293</v>
      </c>
      <c r="J58" s="173">
        <f>+'2.Market-rate Rental Housing'!I10</f>
        <v>867.848433939394</v>
      </c>
      <c r="K58" s="173">
        <f>+'2.Market-rate Rental Housing'!J10</f>
        <v>867.848433939394</v>
      </c>
      <c r="L58" s="173">
        <f>+'2.Market-rate Rental Housing'!K10</f>
        <v>867.848433939394</v>
      </c>
      <c r="M58" s="422">
        <f>+'2.Market-rate Rental Housing'!L10</f>
        <v>867.848433939394</v>
      </c>
    </row>
    <row r="59" spans="1:16" ht="11.25" customHeight="1">
      <c r="A59" s="1066" t="s">
        <v>637</v>
      </c>
      <c r="B59" s="1067"/>
      <c r="C59" s="171" t="s">
        <v>50</v>
      </c>
      <c r="D59" s="172">
        <f>+'3.Affordable Rental Housing'!C11</f>
        <v>0</v>
      </c>
      <c r="E59" s="172">
        <f>+'3.Affordable Rental Housing'!D11</f>
        <v>0</v>
      </c>
      <c r="F59" s="173">
        <f>+'3.Affordable Rental Housing'!E11</f>
        <v>127.31362848484849</v>
      </c>
      <c r="G59" s="173">
        <f>+'3.Affordable Rental Housing'!F11</f>
        <v>124.57361778484849</v>
      </c>
      <c r="H59" s="173">
        <f>+'3.Affordable Rental Housing'!G11</f>
        <v>167.54539575757573</v>
      </c>
      <c r="I59" s="173">
        <f>+'3.Affordable Rental Housing'!H11</f>
        <v>167.54539575757573</v>
      </c>
      <c r="J59" s="173">
        <f>+'3.Affordable Rental Housing'!I11</f>
        <v>216.9621084848485</v>
      </c>
      <c r="K59" s="173">
        <f>+'3.Affordable Rental Housing'!J11</f>
        <v>216.9621084848485</v>
      </c>
      <c r="L59" s="173">
        <f>+'3.Affordable Rental Housing'!K11</f>
        <v>216.9621084848485</v>
      </c>
      <c r="M59" s="422">
        <f>+'3.Affordable Rental Housing'!L11</f>
        <v>216.9621084848485</v>
      </c>
    </row>
    <row r="60" spans="1:16" ht="11.25" customHeight="1">
      <c r="A60" s="1066" t="s">
        <v>15</v>
      </c>
      <c r="B60" s="1067"/>
      <c r="C60" s="171" t="s">
        <v>51</v>
      </c>
      <c r="D60" s="174">
        <f>'8.Hotel'!C9+'8.Hotel'!C10</f>
        <v>0</v>
      </c>
      <c r="E60" s="174">
        <f>'8.Hotel'!D9+'8.Hotel'!D10</f>
        <v>0</v>
      </c>
      <c r="F60" s="174">
        <f>'8.Hotel'!E9+'8.Hotel'!E10</f>
        <v>0</v>
      </c>
      <c r="G60" s="174">
        <f>'8.Hotel'!F9+'8.Hotel'!F10</f>
        <v>0</v>
      </c>
      <c r="H60" s="174">
        <f>'8.Hotel'!G9+'8.Hotel'!G10</f>
        <v>540</v>
      </c>
      <c r="I60" s="174">
        <f>'8.Hotel'!H9+'8.Hotel'!H10</f>
        <v>540</v>
      </c>
      <c r="J60" s="174">
        <f>'8.Hotel'!I9+'8.Hotel'!I10</f>
        <v>772</v>
      </c>
      <c r="K60" s="174">
        <f>'8.Hotel'!J9+'8.Hotel'!J10</f>
        <v>772</v>
      </c>
      <c r="L60" s="174">
        <f>'8.Hotel'!K9+'8.Hotel'!K10</f>
        <v>772</v>
      </c>
      <c r="M60" s="423">
        <f>'8.Hotel'!L9+'8.Hotel'!L10</f>
        <v>772</v>
      </c>
    </row>
    <row r="61" spans="1:16" ht="11.25" customHeight="1">
      <c r="A61" s="1066" t="s">
        <v>16</v>
      </c>
      <c r="B61" s="1067"/>
      <c r="C61" s="494" t="s">
        <v>52</v>
      </c>
      <c r="D61" s="175">
        <f>+'9.Structured Parking'!C8</f>
        <v>0</v>
      </c>
      <c r="E61" s="175">
        <f>+'9.Structured Parking'!D8</f>
        <v>0</v>
      </c>
      <c r="F61" s="175">
        <f>+'9.Structured Parking'!E8</f>
        <v>971.57196969696975</v>
      </c>
      <c r="G61" s="175">
        <f>+'9.Structured Parking'!F8</f>
        <v>971.57196969696975</v>
      </c>
      <c r="H61" s="175">
        <f>+'9.Structured Parking'!G8</f>
        <v>971.57196969696975</v>
      </c>
      <c r="I61" s="175">
        <f>+'9.Structured Parking'!H8</f>
        <v>971.57196969696975</v>
      </c>
      <c r="J61" s="175">
        <f>+'9.Structured Parking'!I8</f>
        <v>1558.2560606060606</v>
      </c>
      <c r="K61" s="175">
        <f>+'9.Structured Parking'!J8</f>
        <v>1558.2560606060606</v>
      </c>
      <c r="L61" s="175">
        <f>+'9.Structured Parking'!K8</f>
        <v>1558.2560606060606</v>
      </c>
      <c r="M61" s="424">
        <f>+'9.Structured Parking'!L8</f>
        <v>1558.2560606060606</v>
      </c>
    </row>
    <row r="62" spans="1:16" ht="11.25" customHeight="1">
      <c r="A62" s="391" t="s">
        <v>53</v>
      </c>
      <c r="B62" s="495"/>
      <c r="C62" s="496"/>
      <c r="D62" s="177"/>
      <c r="E62" s="178"/>
      <c r="F62" s="178"/>
      <c r="G62" s="178"/>
      <c r="H62" s="178"/>
      <c r="I62" s="178"/>
      <c r="J62" s="178"/>
      <c r="K62" s="178"/>
      <c r="L62" s="298"/>
      <c r="M62" s="425"/>
    </row>
    <row r="63" spans="1:16" ht="11.25" customHeight="1">
      <c r="A63" s="1074" t="s">
        <v>634</v>
      </c>
      <c r="B63" s="1075"/>
      <c r="C63" s="171" t="s">
        <v>54</v>
      </c>
      <c r="D63" s="179">
        <f>'2.Market-rate Rental Housing'!C11</f>
        <v>0</v>
      </c>
      <c r="E63" s="179">
        <f>'2.Market-rate Rental Housing'!D11</f>
        <v>0</v>
      </c>
      <c r="F63" s="179">
        <f>'2.Market-rate Rental Housing'!E11</f>
        <v>365334.76</v>
      </c>
      <c r="G63" s="179">
        <f>'2.Market-rate Rental Housing'!F11</f>
        <v>365334.76</v>
      </c>
      <c r="H63" s="179">
        <f>'2.Market-rate Rental Housing'!G11</f>
        <v>480782.44</v>
      </c>
      <c r="I63" s="179">
        <f>'2.Market-rate Rental Housing'!H11</f>
        <v>480782.44</v>
      </c>
      <c r="J63" s="179">
        <f>'2.Market-rate Rental Housing'!I11</f>
        <v>622586.92000000004</v>
      </c>
      <c r="K63" s="179">
        <f>'2.Market-rate Rental Housing'!J11</f>
        <v>622586.92000000004</v>
      </c>
      <c r="L63" s="179">
        <f>'2.Market-rate Rental Housing'!K11</f>
        <v>622586.92000000004</v>
      </c>
      <c r="M63" s="426">
        <f>'2.Market-rate Rental Housing'!L11</f>
        <v>622586.92000000004</v>
      </c>
    </row>
    <row r="64" spans="1:16" ht="11.25" customHeight="1">
      <c r="A64" s="1066" t="s">
        <v>637</v>
      </c>
      <c r="B64" s="1067"/>
      <c r="C64" s="171" t="s">
        <v>54</v>
      </c>
      <c r="D64" s="179">
        <f>'3.Affordable Rental Housing'!C12</f>
        <v>0</v>
      </c>
      <c r="E64" s="179">
        <f>'3.Affordable Rental Housing'!D12</f>
        <v>0</v>
      </c>
      <c r="F64" s="179">
        <f>'3.Affordable Rental Housing'!E12</f>
        <v>91333.69</v>
      </c>
      <c r="G64" s="179">
        <f>'3.Affordable Rental Housing'!F12</f>
        <v>91333.69</v>
      </c>
      <c r="H64" s="179">
        <f>'3.Affordable Rental Housing'!G12</f>
        <v>120195.61</v>
      </c>
      <c r="I64" s="179">
        <f>'3.Affordable Rental Housing'!H12</f>
        <v>120195.61</v>
      </c>
      <c r="J64" s="179">
        <f>'3.Affordable Rental Housing'!I12</f>
        <v>155646.73000000001</v>
      </c>
      <c r="K64" s="179">
        <f>'3.Affordable Rental Housing'!J12</f>
        <v>155646.73000000001</v>
      </c>
      <c r="L64" s="179">
        <f>'3.Affordable Rental Housing'!K12</f>
        <v>155646.73000000001</v>
      </c>
      <c r="M64" s="426">
        <f>'3.Affordable Rental Housing'!L12</f>
        <v>155646.73000000001</v>
      </c>
    </row>
    <row r="65" spans="1:16" ht="11.25" customHeight="1">
      <c r="A65" s="1066" t="s">
        <v>11</v>
      </c>
      <c r="B65" s="1067"/>
      <c r="C65" s="171" t="s">
        <v>54</v>
      </c>
      <c r="D65" s="179">
        <f>'4.Office_Commercial'!C7</f>
        <v>0</v>
      </c>
      <c r="E65" s="179">
        <f>'4.Office_Commercial'!D7</f>
        <v>0</v>
      </c>
      <c r="F65" s="179">
        <f>'4.Office_Commercial'!E7</f>
        <v>682049</v>
      </c>
      <c r="G65" s="179">
        <f>'4.Office_Commercial'!F7</f>
        <v>682049</v>
      </c>
      <c r="H65" s="179">
        <f>'4.Office_Commercial'!G7</f>
        <v>866508</v>
      </c>
      <c r="I65" s="179">
        <f>'4.Office_Commercial'!H7</f>
        <v>866508</v>
      </c>
      <c r="J65" s="179">
        <f>'4.Office_Commercial'!I7</f>
        <v>866508</v>
      </c>
      <c r="K65" s="179">
        <f>'4.Office_Commercial'!J7</f>
        <v>866508</v>
      </c>
      <c r="L65" s="179">
        <f>'4.Office_Commercial'!K7</f>
        <v>866508</v>
      </c>
      <c r="M65" s="426">
        <f>'4.Office_Commercial'!L7</f>
        <v>866508</v>
      </c>
    </row>
    <row r="66" spans="1:16" ht="11.25" customHeight="1">
      <c r="A66" s="1066" t="s">
        <v>14</v>
      </c>
      <c r="B66" s="1067"/>
      <c r="C66" s="171" t="s">
        <v>54</v>
      </c>
      <c r="D66" s="179">
        <f>'5.Market-rate Retail'!C7</f>
        <v>0</v>
      </c>
      <c r="E66" s="179">
        <f>'5.Market-rate Retail'!D7</f>
        <v>0</v>
      </c>
      <c r="F66" s="179">
        <f>'5.Market-rate Retail'!E7</f>
        <v>12489</v>
      </c>
      <c r="G66" s="179">
        <f>'5.Market-rate Retail'!F7</f>
        <v>12489</v>
      </c>
      <c r="H66" s="179">
        <f>'5.Market-rate Retail'!G7</f>
        <v>84202</v>
      </c>
      <c r="I66" s="179">
        <f>'5.Market-rate Retail'!H7</f>
        <v>84202</v>
      </c>
      <c r="J66" s="179">
        <f>'5.Market-rate Retail'!I7</f>
        <v>99094</v>
      </c>
      <c r="K66" s="179">
        <f>'5.Market-rate Retail'!J7</f>
        <v>99094</v>
      </c>
      <c r="L66" s="179">
        <f>'5.Market-rate Retail'!K7</f>
        <v>99094</v>
      </c>
      <c r="M66" s="426">
        <f>'5.Market-rate Retail'!L7</f>
        <v>99094</v>
      </c>
    </row>
    <row r="67" spans="1:16" ht="11.25" customHeight="1">
      <c r="A67" s="394"/>
      <c r="B67" s="332" t="s">
        <v>12</v>
      </c>
      <c r="C67" s="171" t="s">
        <v>54</v>
      </c>
      <c r="D67" s="179">
        <f>'6.Community facilities'!C6</f>
        <v>0</v>
      </c>
      <c r="E67" s="179">
        <f>'6.Community facilities'!D6</f>
        <v>0</v>
      </c>
      <c r="F67" s="179">
        <f>'6.Community facilities'!E6</f>
        <v>149745</v>
      </c>
      <c r="G67" s="179">
        <f>'6.Community facilities'!F6</f>
        <v>149745</v>
      </c>
      <c r="H67" s="179">
        <f>'6.Community facilities'!G6</f>
        <v>149745</v>
      </c>
      <c r="I67" s="179">
        <f>'6.Community facilities'!H6</f>
        <v>149745</v>
      </c>
      <c r="J67" s="179">
        <f>'6.Community facilities'!I6</f>
        <v>179530.5</v>
      </c>
      <c r="K67" s="179">
        <f>'6.Community facilities'!J6</f>
        <v>179530.5</v>
      </c>
      <c r="L67" s="179">
        <f>'6.Community facilities'!K6</f>
        <v>179530.5</v>
      </c>
      <c r="M67" s="426">
        <f>'6.Community facilities'!L6</f>
        <v>179530.5</v>
      </c>
    </row>
    <row r="68" spans="1:16" ht="11.25" customHeight="1">
      <c r="A68" s="394"/>
      <c r="B68" s="332" t="s">
        <v>13</v>
      </c>
      <c r="C68" s="171" t="s">
        <v>54</v>
      </c>
      <c r="D68" s="179">
        <f>'7.Affordable Art Space '!C7</f>
        <v>0</v>
      </c>
      <c r="E68" s="179">
        <f>'7.Affordable Art Space '!D7</f>
        <v>0</v>
      </c>
      <c r="F68" s="179">
        <f>'7.Affordable Art Space '!E7</f>
        <v>18503.25</v>
      </c>
      <c r="G68" s="179">
        <f>'7.Affordable Art Space '!F7</f>
        <v>18503.25</v>
      </c>
      <c r="H68" s="179">
        <f>'7.Affordable Art Space '!G7</f>
        <v>49183.25</v>
      </c>
      <c r="I68" s="179">
        <f>'7.Affordable Art Space '!H7</f>
        <v>49183.25</v>
      </c>
      <c r="J68" s="179">
        <f>'7.Affordable Art Space '!I7</f>
        <v>49183.25</v>
      </c>
      <c r="K68" s="179">
        <f>'7.Affordable Art Space '!J7</f>
        <v>49183.25</v>
      </c>
      <c r="L68" s="179">
        <f>'7.Affordable Art Space '!K7</f>
        <v>49183.25</v>
      </c>
      <c r="M68" s="426">
        <f>'7.Affordable Art Space '!L7</f>
        <v>49183.25</v>
      </c>
    </row>
    <row r="69" spans="1:16" ht="11.25" customHeight="1">
      <c r="A69" s="1066" t="s">
        <v>15</v>
      </c>
      <c r="B69" s="1067"/>
      <c r="C69" s="171" t="s">
        <v>54</v>
      </c>
      <c r="D69" s="179">
        <f>'8.Hotel'!C6</f>
        <v>0</v>
      </c>
      <c r="E69" s="179">
        <f>'8.Hotel'!D6</f>
        <v>0</v>
      </c>
      <c r="F69" s="179">
        <f>'8.Hotel'!E6</f>
        <v>0</v>
      </c>
      <c r="G69" s="179">
        <f>'8.Hotel'!F6</f>
        <v>0</v>
      </c>
      <c r="H69" s="179">
        <f>'8.Hotel'!G6</f>
        <v>243036</v>
      </c>
      <c r="I69" s="179">
        <f>'8.Hotel'!H6</f>
        <v>243036</v>
      </c>
      <c r="J69" s="179">
        <f>'8.Hotel'!I6</f>
        <v>347304</v>
      </c>
      <c r="K69" s="179">
        <f>'8.Hotel'!J6</f>
        <v>347304</v>
      </c>
      <c r="L69" s="179">
        <f>'8.Hotel'!K6</f>
        <v>347304</v>
      </c>
      <c r="M69" s="426">
        <f>'8.Hotel'!L6</f>
        <v>347304</v>
      </c>
    </row>
    <row r="70" spans="1:16" ht="11.25" customHeight="1">
      <c r="A70" s="1066" t="s">
        <v>16</v>
      </c>
      <c r="B70" s="1067"/>
      <c r="C70" s="176" t="s">
        <v>54</v>
      </c>
      <c r="D70" s="488">
        <f>'9.Structured Parking'!C7</f>
        <v>0</v>
      </c>
      <c r="E70" s="488">
        <f>'9.Structured Parking'!D7</f>
        <v>0</v>
      </c>
      <c r="F70" s="488">
        <f>'9.Structured Parking'!E7</f>
        <v>320618.75</v>
      </c>
      <c r="G70" s="488">
        <f>'9.Structured Parking'!F7</f>
        <v>320618.75</v>
      </c>
      <c r="H70" s="488">
        <f>'9.Structured Parking'!G7</f>
        <v>320618.75</v>
      </c>
      <c r="I70" s="488">
        <f>'9.Structured Parking'!H7</f>
        <v>320618.75</v>
      </c>
      <c r="J70" s="488">
        <f>'9.Structured Parking'!I7</f>
        <v>514224.5</v>
      </c>
      <c r="K70" s="488">
        <f>'9.Structured Parking'!J7</f>
        <v>514224.5</v>
      </c>
      <c r="L70" s="488">
        <f>'9.Structured Parking'!K7</f>
        <v>514224.5</v>
      </c>
      <c r="M70" s="489">
        <f>'9.Structured Parking'!L7</f>
        <v>514224.5</v>
      </c>
    </row>
    <row r="71" spans="1:16" ht="11.25" customHeight="1" thickBot="1">
      <c r="A71" s="1116" t="s">
        <v>55</v>
      </c>
      <c r="B71" s="1117"/>
      <c r="C71" s="434" t="s">
        <v>54</v>
      </c>
      <c r="D71" s="486">
        <f t="shared" ref="D71:M71" si="9">SUM(D63:D70)</f>
        <v>0</v>
      </c>
      <c r="E71" s="486">
        <f t="shared" si="9"/>
        <v>0</v>
      </c>
      <c r="F71" s="486">
        <f t="shared" si="9"/>
        <v>1640073.45</v>
      </c>
      <c r="G71" s="486">
        <f t="shared" si="9"/>
        <v>1640073.45</v>
      </c>
      <c r="H71" s="486">
        <f t="shared" si="9"/>
        <v>2314271.0499999998</v>
      </c>
      <c r="I71" s="486">
        <f t="shared" si="9"/>
        <v>2314271.0499999998</v>
      </c>
      <c r="J71" s="486">
        <f t="shared" si="9"/>
        <v>2834077.9</v>
      </c>
      <c r="K71" s="486">
        <f t="shared" si="9"/>
        <v>2834077.9</v>
      </c>
      <c r="L71" s="486">
        <f t="shared" si="9"/>
        <v>2834077.9</v>
      </c>
      <c r="M71" s="487">
        <f t="shared" si="9"/>
        <v>2834077.9</v>
      </c>
    </row>
    <row r="72" spans="1:16" ht="11.25" customHeight="1" thickBot="1"/>
    <row r="73" spans="1:16" s="153" customFormat="1" ht="11.25" customHeight="1">
      <c r="A73" s="1118" t="s">
        <v>56</v>
      </c>
      <c r="B73" s="1119"/>
      <c r="C73" s="1120"/>
      <c r="D73" s="1120"/>
      <c r="E73" s="1120"/>
      <c r="F73" s="1121"/>
      <c r="G73" s="180"/>
      <c r="I73" s="437" t="s">
        <v>57</v>
      </c>
      <c r="J73" s="438"/>
      <c r="K73" s="438"/>
      <c r="L73" s="438"/>
      <c r="M73" s="439"/>
      <c r="N73" s="349"/>
      <c r="O73" s="349"/>
      <c r="P73" s="349"/>
    </row>
    <row r="74" spans="1:16" s="181" customFormat="1" ht="11.25" customHeight="1">
      <c r="A74" s="1122" t="s">
        <v>20</v>
      </c>
      <c r="B74" s="1123"/>
      <c r="C74" s="1111" t="s">
        <v>58</v>
      </c>
      <c r="D74" s="1124"/>
      <c r="E74" s="1111" t="s">
        <v>59</v>
      </c>
      <c r="F74" s="1112"/>
      <c r="I74" s="1113"/>
      <c r="J74" s="1114"/>
      <c r="K74" s="1114"/>
      <c r="L74" s="1111" t="s">
        <v>60</v>
      </c>
      <c r="M74" s="1115"/>
      <c r="N74" s="352"/>
      <c r="O74" s="352"/>
      <c r="P74" s="352"/>
    </row>
    <row r="75" spans="1:16" ht="11.25" customHeight="1">
      <c r="A75" s="1107" t="s">
        <v>634</v>
      </c>
      <c r="B75" s="1108"/>
      <c r="C75" s="355">
        <f ca="1">E75/M58</f>
        <v>242209.98908744677</v>
      </c>
      <c r="D75" s="491" t="s">
        <v>61</v>
      </c>
      <c r="E75" s="1129">
        <f ca="1">SUM('2.Market-rate Rental Housing'!C35:H35)</f>
        <v>210201559.71401837</v>
      </c>
      <c r="F75" s="1130"/>
      <c r="I75" s="1105" t="s">
        <v>62</v>
      </c>
      <c r="J75" s="1106"/>
      <c r="K75" s="1106"/>
      <c r="L75" s="182" t="s">
        <v>63</v>
      </c>
      <c r="M75" s="427" t="s">
        <v>64</v>
      </c>
    </row>
    <row r="76" spans="1:16" ht="11.25" customHeight="1">
      <c r="A76" s="1101" t="s">
        <v>10</v>
      </c>
      <c r="B76" s="1102"/>
      <c r="C76" s="374">
        <f ca="1">E76/M59</f>
        <v>238477.4187943445</v>
      </c>
      <c r="D76" s="490" t="s">
        <v>61</v>
      </c>
      <c r="E76" s="1131">
        <f ca="1">SUM('3.Affordable Rental Housing'!C32:H32)</f>
        <v>51740563.607645221</v>
      </c>
      <c r="F76" s="1132"/>
      <c r="I76" s="1101" t="s">
        <v>65</v>
      </c>
      <c r="J76" s="1102"/>
      <c r="K76" s="1102"/>
      <c r="L76" s="338">
        <f ca="1">'Summary Board II -  S+U'!D38</f>
        <v>169512762.21850002</v>
      </c>
      <c r="M76" s="428">
        <f ca="1">'Summary Board II -  S+U'!D64</f>
        <v>109978401.65872413</v>
      </c>
    </row>
    <row r="77" spans="1:16" ht="11.25" customHeight="1">
      <c r="A77" s="1066" t="s">
        <v>11</v>
      </c>
      <c r="B77" s="1067"/>
      <c r="C77" s="539">
        <f ca="1">E77/M65</f>
        <v>244.95369557482854</v>
      </c>
      <c r="D77" s="183" t="s">
        <v>67</v>
      </c>
      <c r="E77" s="1131">
        <f ca="1">SUM('4.Office_Commercial'!C25:H25)</f>
        <v>212254336.84515354</v>
      </c>
      <c r="F77" s="1132"/>
      <c r="I77" s="1101" t="s">
        <v>66</v>
      </c>
      <c r="J77" s="1102"/>
      <c r="K77" s="1102"/>
      <c r="L77" s="304">
        <f ca="1">'Summary Board II -  S+U'!D37</f>
        <v>12479941.286511719</v>
      </c>
      <c r="M77" s="429">
        <f>0</f>
        <v>0</v>
      </c>
    </row>
    <row r="78" spans="1:16" ht="11.25" customHeight="1">
      <c r="A78" s="1066" t="s">
        <v>22</v>
      </c>
      <c r="B78" s="1067"/>
      <c r="C78" s="539">
        <f ca="1">E78/M66</f>
        <v>298.50688667877006</v>
      </c>
      <c r="D78" s="183" t="s">
        <v>67</v>
      </c>
      <c r="E78" s="1131">
        <f ca="1">SUM('5.Market-rate Retail'!C26:H26)</f>
        <v>29580241.428546041</v>
      </c>
      <c r="F78" s="1132"/>
      <c r="I78" s="1101"/>
      <c r="J78" s="1102"/>
      <c r="K78" s="1102"/>
      <c r="L78" s="1103"/>
      <c r="M78" s="1104"/>
    </row>
    <row r="79" spans="1:16" ht="11.25" customHeight="1">
      <c r="A79" s="1066" t="s">
        <v>15</v>
      </c>
      <c r="B79" s="1067"/>
      <c r="C79" s="374">
        <f ca="1">E79/M60</f>
        <v>129115.56951779444</v>
      </c>
      <c r="D79" s="183" t="s">
        <v>69</v>
      </c>
      <c r="E79" s="1131">
        <f ca="1">SUM('8.Hotel'!C26:H26)</f>
        <v>99677219.667737305</v>
      </c>
      <c r="F79" s="1132"/>
      <c r="I79" s="1101"/>
      <c r="J79" s="1102"/>
      <c r="K79" s="1102"/>
      <c r="L79" s="1103"/>
      <c r="M79" s="1104"/>
    </row>
    <row r="80" spans="1:16" ht="11.25" customHeight="1">
      <c r="A80" s="394"/>
      <c r="B80" s="332" t="s">
        <v>12</v>
      </c>
      <c r="C80" s="539">
        <f ca="1">E80/M67</f>
        <v>260.95919223032172</v>
      </c>
      <c r="D80" s="183" t="s">
        <v>67</v>
      </c>
      <c r="E80" s="1109">
        <f ca="1">SUM('6.Community facilities'!C19:H19)</f>
        <v>46850134.260705777</v>
      </c>
      <c r="F80" s="1110"/>
      <c r="I80" s="1125"/>
      <c r="J80" s="1126"/>
      <c r="K80" s="1126"/>
      <c r="L80" s="1127"/>
      <c r="M80" s="1128"/>
    </row>
    <row r="81" spans="1:13" ht="11.25" customHeight="1">
      <c r="A81" s="394"/>
      <c r="B81" s="332" t="s">
        <v>23</v>
      </c>
      <c r="C81" s="539">
        <f ca="1">E81/M68</f>
        <v>257.79243029860584</v>
      </c>
      <c r="D81" s="183" t="s">
        <v>67</v>
      </c>
      <c r="E81" s="1109">
        <f ca="1">SUM('7.Affordable Art Space '!C20:H20)</f>
        <v>12679069.547483906</v>
      </c>
      <c r="F81" s="1110"/>
      <c r="I81" s="1133" t="s">
        <v>68</v>
      </c>
      <c r="J81" s="1134"/>
      <c r="K81" s="1134"/>
      <c r="L81" s="182" t="s">
        <v>63</v>
      </c>
      <c r="M81" s="427" t="s">
        <v>64</v>
      </c>
    </row>
    <row r="82" spans="1:13" ht="11.25" customHeight="1">
      <c r="A82" s="1066" t="s">
        <v>16</v>
      </c>
      <c r="B82" s="1067"/>
      <c r="C82" s="480">
        <f ca="1">E82/M61</f>
        <v>45496.928238022731</v>
      </c>
      <c r="D82" s="183" t="s">
        <v>73</v>
      </c>
      <c r="E82" s="1135">
        <f ca="1">SUM('9.Structured Parking'!C39:H39)</f>
        <v>70895864.165857941</v>
      </c>
      <c r="F82" s="1136"/>
      <c r="I82" s="1066" t="s">
        <v>70</v>
      </c>
      <c r="J82" s="1067"/>
      <c r="K82" s="1067"/>
      <c r="L82" s="337">
        <f ca="1">'Summary Board II -  S+U'!D31</f>
        <v>619303965.26332963</v>
      </c>
      <c r="M82" s="430">
        <v>0</v>
      </c>
    </row>
    <row r="83" spans="1:13" ht="11.25" customHeight="1">
      <c r="A83" s="414" t="s">
        <v>29</v>
      </c>
      <c r="B83" s="160"/>
      <c r="C83" s="1155" t="s">
        <v>74</v>
      </c>
      <c r="D83" s="1155"/>
      <c r="E83" s="1156" t="s">
        <v>75</v>
      </c>
      <c r="F83" s="1157"/>
      <c r="I83" s="1066" t="s">
        <v>71</v>
      </c>
      <c r="J83" s="1067"/>
      <c r="K83" s="1067"/>
      <c r="L83" s="337">
        <v>0</v>
      </c>
      <c r="M83" s="430">
        <f ca="1">'Summary Board II -  S+U'!D54</f>
        <v>450738176.27265561</v>
      </c>
    </row>
    <row r="84" spans="1:13" ht="11.25" customHeight="1">
      <c r="A84" s="530"/>
      <c r="B84" s="299" t="s">
        <v>77</v>
      </c>
      <c r="C84" s="1165">
        <f>'1.Infrastructure Costs'!D17+'1.Infrastructure Costs'!E17</f>
        <v>8557300</v>
      </c>
      <c r="D84" s="1165"/>
      <c r="E84" s="1166">
        <f>SUM('1.Infrastructure Costs'!D16:E16)</f>
        <v>5671080</v>
      </c>
      <c r="F84" s="1167"/>
      <c r="I84" s="1066" t="s">
        <v>72</v>
      </c>
      <c r="J84" s="1067"/>
      <c r="K84" s="1067"/>
      <c r="L84" s="337">
        <v>0</v>
      </c>
      <c r="M84" s="430">
        <f>'Summary Board II -  S+U'!D55</f>
        <v>188689656.88804418</v>
      </c>
    </row>
    <row r="85" spans="1:13" ht="11.25" customHeight="1">
      <c r="A85" s="431"/>
      <c r="B85" s="332" t="s">
        <v>79</v>
      </c>
      <c r="C85" s="1162">
        <v>0</v>
      </c>
      <c r="D85" s="1162"/>
      <c r="E85" s="1163">
        <f>'1.Infrastructure Costs'!V18</f>
        <v>480000</v>
      </c>
      <c r="F85" s="1164"/>
      <c r="I85" s="1095"/>
      <c r="J85" s="1096"/>
      <c r="K85" s="1096"/>
      <c r="L85" s="1103"/>
      <c r="M85" s="1104"/>
    </row>
    <row r="86" spans="1:13" ht="11.25" customHeight="1">
      <c r="A86" s="431"/>
      <c r="B86" s="184" t="s">
        <v>81</v>
      </c>
      <c r="C86" s="1162">
        <v>0</v>
      </c>
      <c r="D86" s="1162"/>
      <c r="E86" s="1163">
        <f>SUM('1.Infrastructure Costs'!F18:I18)</f>
        <v>3217985</v>
      </c>
      <c r="F86" s="1164"/>
      <c r="I86" s="1133" t="s">
        <v>76</v>
      </c>
      <c r="J86" s="1134"/>
      <c r="K86" s="1134"/>
      <c r="L86" s="182" t="s">
        <v>63</v>
      </c>
      <c r="M86" s="427" t="s">
        <v>64</v>
      </c>
    </row>
    <row r="87" spans="1:13" ht="11.25" customHeight="1">
      <c r="A87" s="431"/>
      <c r="B87" s="332" t="s">
        <v>83</v>
      </c>
      <c r="C87" s="1162">
        <v>0</v>
      </c>
      <c r="D87" s="1162"/>
      <c r="E87" s="1163">
        <f>SUM('1.Infrastructure Costs'!D20:I20)</f>
        <v>4890440</v>
      </c>
      <c r="F87" s="1164"/>
      <c r="I87" s="1066" t="s">
        <v>78</v>
      </c>
      <c r="J87" s="1067"/>
      <c r="K87" s="1067"/>
      <c r="L87" s="337">
        <f>'Summary Board II -  S+U'!D32</f>
        <v>69480487.226999998</v>
      </c>
      <c r="M87" s="430">
        <f>'Summary Board II -  S+U'!D56</f>
        <v>69480487.226999998</v>
      </c>
    </row>
    <row r="88" spans="1:13" ht="11.25" customHeight="1">
      <c r="A88" s="432"/>
      <c r="B88" s="333" t="s">
        <v>85</v>
      </c>
      <c r="C88" s="1139">
        <f>'1.Infrastructure Costs'!E15</f>
        <v>3942690</v>
      </c>
      <c r="D88" s="1139"/>
      <c r="E88" s="1151">
        <v>0</v>
      </c>
      <c r="F88" s="1152"/>
      <c r="I88" s="1066" t="s">
        <v>80</v>
      </c>
      <c r="J88" s="1067"/>
      <c r="K88" s="1067"/>
      <c r="L88" s="337">
        <f>'Summary Board II -  S+U'!D33</f>
        <v>8221340</v>
      </c>
      <c r="M88" s="430">
        <f>'Summary Board II -  S+U'!D57</f>
        <v>8221340</v>
      </c>
    </row>
    <row r="89" spans="1:13" ht="11.25" customHeight="1">
      <c r="A89" s="416"/>
      <c r="B89" s="159" t="s">
        <v>87</v>
      </c>
      <c r="C89" s="1144"/>
      <c r="D89" s="1144"/>
      <c r="E89" s="1145">
        <f>Assumptions!G72</f>
        <v>393748.88699999999</v>
      </c>
      <c r="F89" s="1146"/>
      <c r="I89" s="1066" t="s">
        <v>82</v>
      </c>
      <c r="J89" s="1067"/>
      <c r="K89" s="1067"/>
      <c r="L89" s="337">
        <f ca="1">'Summary Board II -  S+U'!D34</f>
        <v>28764297.589255698</v>
      </c>
      <c r="M89" s="430">
        <f ca="1">'Summary Board II -  S+U'!D58</f>
        <v>28764297.589255698</v>
      </c>
    </row>
    <row r="90" spans="1:13" ht="11.25" customHeight="1">
      <c r="A90" s="416"/>
      <c r="B90" s="159" t="s">
        <v>89</v>
      </c>
      <c r="C90" s="1140"/>
      <c r="D90" s="1140"/>
      <c r="E90" s="1141">
        <f>SUM(C84:F89)</f>
        <v>27153243.886999998</v>
      </c>
      <c r="F90" s="1142"/>
      <c r="I90" s="1066" t="s">
        <v>84</v>
      </c>
      <c r="J90" s="1067"/>
      <c r="K90" s="1067"/>
      <c r="L90" s="337">
        <f>'Summary Board II -  S+U'!D35</f>
        <v>4258800</v>
      </c>
      <c r="M90" s="430">
        <f>'Summary Board II -  S+U'!D59</f>
        <v>4258800</v>
      </c>
    </row>
    <row r="91" spans="1:13" ht="11.25" customHeight="1" thickBot="1">
      <c r="A91" s="435"/>
      <c r="B91" s="436" t="s">
        <v>32</v>
      </c>
      <c r="C91" s="1158"/>
      <c r="D91" s="1159"/>
      <c r="E91" s="1160">
        <f ca="1">L97</f>
        <v>924152059.6356796</v>
      </c>
      <c r="F91" s="1161"/>
      <c r="I91" s="1147" t="s">
        <v>86</v>
      </c>
      <c r="J91" s="1148"/>
      <c r="K91" s="1148"/>
      <c r="L91" s="440">
        <f>'Summary Board II -  S+U'!D36</f>
        <v>12130466.051082583</v>
      </c>
      <c r="M91" s="441">
        <v>0</v>
      </c>
    </row>
    <row r="92" spans="1:13" ht="11.25" customHeight="1">
      <c r="C92" s="185"/>
      <c r="D92" s="166"/>
      <c r="G92" s="157"/>
      <c r="I92" s="1068" t="s">
        <v>88</v>
      </c>
      <c r="J92" s="1143"/>
      <c r="K92" s="1069"/>
      <c r="L92" s="444">
        <v>0</v>
      </c>
      <c r="M92" s="445">
        <f>'Summary Board II -  S+U'!D65</f>
        <v>50000000</v>
      </c>
    </row>
    <row r="93" spans="1:13" ht="14" customHeight="1">
      <c r="C93" s="185"/>
      <c r="D93" s="166"/>
      <c r="I93" s="1068" t="s">
        <v>90</v>
      </c>
      <c r="J93" s="1143"/>
      <c r="K93" s="1143"/>
      <c r="L93" s="492">
        <v>0</v>
      </c>
      <c r="M93" s="443">
        <f>'Summary Board II -  S+U'!D60</f>
        <v>7220899.9999999991</v>
      </c>
    </row>
    <row r="94" spans="1:13" ht="14" customHeight="1">
      <c r="C94" s="185"/>
      <c r="D94" s="166"/>
      <c r="I94" s="1068" t="s">
        <v>638</v>
      </c>
      <c r="J94" s="1143"/>
      <c r="K94" s="1143"/>
      <c r="L94" s="492">
        <v>0</v>
      </c>
      <c r="M94" s="446">
        <f>'Summary Board II -  S+U'!D61</f>
        <v>2000000</v>
      </c>
    </row>
    <row r="95" spans="1:13" ht="14" customHeight="1">
      <c r="C95" s="185"/>
      <c r="D95" s="166"/>
      <c r="I95" s="1149" t="s">
        <v>91</v>
      </c>
      <c r="J95" s="1150"/>
      <c r="K95" s="1150"/>
      <c r="L95" s="493">
        <v>0</v>
      </c>
      <c r="M95" s="446">
        <f>'Summary Board II -  S+U'!D62</f>
        <v>4000000</v>
      </c>
    </row>
    <row r="96" spans="1:13" ht="14" customHeight="1">
      <c r="I96" s="1153" t="s">
        <v>92</v>
      </c>
      <c r="J96" s="1154"/>
      <c r="K96" s="1154"/>
      <c r="L96" s="157"/>
      <c r="M96" s="433">
        <f>'Summary Board II -  S+U'!D63</f>
        <v>800000</v>
      </c>
    </row>
    <row r="97" spans="9:13" ht="14" customHeight="1" thickBot="1">
      <c r="I97" s="1137" t="s">
        <v>55</v>
      </c>
      <c r="J97" s="1138"/>
      <c r="K97" s="1138"/>
      <c r="L97" s="509">
        <f ca="1">SUM(L76:L77,L82:L84,L87:L92)</f>
        <v>924152059.6356796</v>
      </c>
      <c r="M97" s="510">
        <f ca="1">SUM(M76:M77,M82:M84,M87:M96)</f>
        <v>924152059.6356796</v>
      </c>
    </row>
    <row r="103" spans="9:13" ht="14" customHeight="1">
      <c r="J103" s="442"/>
    </row>
  </sheetData>
  <mergeCells count="105">
    <mergeCell ref="I90:K90"/>
    <mergeCell ref="I89:K89"/>
    <mergeCell ref="C86:D86"/>
    <mergeCell ref="E86:F86"/>
    <mergeCell ref="I87:K87"/>
    <mergeCell ref="I83:K83"/>
    <mergeCell ref="I85:K85"/>
    <mergeCell ref="L85:M85"/>
    <mergeCell ref="I84:K84"/>
    <mergeCell ref="C87:D87"/>
    <mergeCell ref="E87:F87"/>
    <mergeCell ref="I88:K88"/>
    <mergeCell ref="C84:D84"/>
    <mergeCell ref="E84:F84"/>
    <mergeCell ref="C85:D85"/>
    <mergeCell ref="E85:F85"/>
    <mergeCell ref="I82:K82"/>
    <mergeCell ref="A78:B78"/>
    <mergeCell ref="I81:K81"/>
    <mergeCell ref="E81:F81"/>
    <mergeCell ref="E82:F82"/>
    <mergeCell ref="I97:K97"/>
    <mergeCell ref="C88:D88"/>
    <mergeCell ref="C90:D90"/>
    <mergeCell ref="E90:F90"/>
    <mergeCell ref="I92:K92"/>
    <mergeCell ref="C89:D89"/>
    <mergeCell ref="E89:F89"/>
    <mergeCell ref="I91:K91"/>
    <mergeCell ref="I93:K93"/>
    <mergeCell ref="I94:K94"/>
    <mergeCell ref="I95:K95"/>
    <mergeCell ref="E88:F88"/>
    <mergeCell ref="I96:K96"/>
    <mergeCell ref="A82:B82"/>
    <mergeCell ref="C83:D83"/>
    <mergeCell ref="I86:K86"/>
    <mergeCell ref="E83:F83"/>
    <mergeCell ref="C91:D91"/>
    <mergeCell ref="E91:F91"/>
    <mergeCell ref="E80:F80"/>
    <mergeCell ref="E74:F74"/>
    <mergeCell ref="I74:K74"/>
    <mergeCell ref="L74:M74"/>
    <mergeCell ref="A71:B71"/>
    <mergeCell ref="A73:F73"/>
    <mergeCell ref="A74:B74"/>
    <mergeCell ref="C74:D74"/>
    <mergeCell ref="A77:B77"/>
    <mergeCell ref="I80:K80"/>
    <mergeCell ref="L80:M80"/>
    <mergeCell ref="A79:B79"/>
    <mergeCell ref="I79:K79"/>
    <mergeCell ref="L79:M79"/>
    <mergeCell ref="I77:K77"/>
    <mergeCell ref="A76:B76"/>
    <mergeCell ref="E75:F75"/>
    <mergeCell ref="E76:F76"/>
    <mergeCell ref="E77:F77"/>
    <mergeCell ref="E78:F78"/>
    <mergeCell ref="E79:F79"/>
    <mergeCell ref="I78:K78"/>
    <mergeCell ref="L78:M78"/>
    <mergeCell ref="I75:K75"/>
    <mergeCell ref="I76:K76"/>
    <mergeCell ref="A58:B58"/>
    <mergeCell ref="A59:B59"/>
    <mergeCell ref="A63:B63"/>
    <mergeCell ref="A64:B64"/>
    <mergeCell ref="A75:B75"/>
    <mergeCell ref="A15:B15"/>
    <mergeCell ref="A42:B42"/>
    <mergeCell ref="A44:B44"/>
    <mergeCell ref="A45:B45"/>
    <mergeCell ref="A54:M54"/>
    <mergeCell ref="A60:B60"/>
    <mergeCell ref="A61:B61"/>
    <mergeCell ref="A69:B69"/>
    <mergeCell ref="A70:B70"/>
    <mergeCell ref="A65:B65"/>
    <mergeCell ref="A66:B66"/>
    <mergeCell ref="A9:B9"/>
    <mergeCell ref="A10:B10"/>
    <mergeCell ref="A24:B24"/>
    <mergeCell ref="A29:B29"/>
    <mergeCell ref="A30:B30"/>
    <mergeCell ref="A22:B22"/>
    <mergeCell ref="A39:B39"/>
    <mergeCell ref="A27:B27"/>
    <mergeCell ref="A28:B28"/>
    <mergeCell ref="A25:B25"/>
    <mergeCell ref="A26:B26"/>
    <mergeCell ref="A31:B31"/>
    <mergeCell ref="A32:B32"/>
    <mergeCell ref="A33:B33"/>
    <mergeCell ref="A34:B34"/>
    <mergeCell ref="A35:B35"/>
    <mergeCell ref="A36:B36"/>
    <mergeCell ref="A37:B37"/>
    <mergeCell ref="A38:B38"/>
    <mergeCell ref="A18:B18"/>
    <mergeCell ref="A16:B16"/>
    <mergeCell ref="A17:B17"/>
    <mergeCell ref="A11:B11"/>
    <mergeCell ref="A14:B14"/>
  </mergeCells>
  <pageMargins left="0.25" right="0.25" top="0.75" bottom="0.75" header="0.3" footer="0.3"/>
  <pageSetup paperSize="3" scale="58" fitToHeight="0" orientation="portrait" r:id="rId1"/>
  <headerFooter alignWithMargins="0">
    <oddHeader xml:space="preserve">&amp;L&amp;"Century Gothic Bold,Bold"&amp;K0000002019 ULI Hines Student Competition&amp;R&amp;K000000Team &amp;A 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51"/>
  <sheetViews>
    <sheetView zoomScaleNormal="100" workbookViewId="0">
      <selection activeCell="M1" sqref="L1:M1"/>
    </sheetView>
  </sheetViews>
  <sheetFormatPr baseColWidth="10" defaultColWidth="9.1640625" defaultRowHeight="13"/>
  <cols>
    <col min="1" max="1" width="23.1640625" style="2" customWidth="1"/>
    <col min="2" max="2" width="18.5" style="3" customWidth="1"/>
    <col min="3" max="3" width="13.1640625" style="3" customWidth="1"/>
    <col min="4" max="4" width="13.1640625" style="2" customWidth="1"/>
    <col min="5" max="8" width="17.1640625" style="2" customWidth="1"/>
    <col min="9" max="9" width="16" style="2" bestFit="1" customWidth="1"/>
    <col min="10" max="13" width="16.33203125" style="2" customWidth="1"/>
    <col min="14" max="16384" width="9.1640625" style="2"/>
  </cols>
  <sheetData>
    <row r="1" spans="1:14" ht="14" customHeight="1" thickBot="1">
      <c r="L1" s="1063" t="s">
        <v>1</v>
      </c>
      <c r="M1" s="1064" t="s">
        <v>2</v>
      </c>
    </row>
    <row r="2" spans="1:14" ht="14" customHeight="1" thickBot="1">
      <c r="L2" s="100"/>
      <c r="M2" s="101"/>
    </row>
    <row r="3" spans="1:14" ht="14" customHeight="1">
      <c r="A3" s="570"/>
      <c r="B3" s="703"/>
      <c r="C3" s="703" t="s">
        <v>3</v>
      </c>
      <c r="D3" s="571"/>
      <c r="E3" s="571" t="s">
        <v>4</v>
      </c>
      <c r="F3" s="571"/>
      <c r="G3" s="571" t="s">
        <v>5</v>
      </c>
      <c r="H3" s="571"/>
      <c r="I3" s="571" t="s">
        <v>6</v>
      </c>
      <c r="J3" s="571"/>
      <c r="K3" s="571"/>
      <c r="L3" s="571"/>
      <c r="M3" s="572"/>
    </row>
    <row r="4" spans="1:14" ht="14" customHeight="1">
      <c r="A4" s="631"/>
      <c r="B4" s="278" t="s">
        <v>94</v>
      </c>
      <c r="C4" s="278" t="s">
        <v>8</v>
      </c>
      <c r="D4" s="278">
        <v>2022</v>
      </c>
      <c r="E4" s="278">
        <f t="shared" ref="E4:M4" si="0">D4+1</f>
        <v>2023</v>
      </c>
      <c r="F4" s="278">
        <f t="shared" si="0"/>
        <v>2024</v>
      </c>
      <c r="G4" s="278">
        <f t="shared" si="0"/>
        <v>2025</v>
      </c>
      <c r="H4" s="278">
        <f t="shared" si="0"/>
        <v>2026</v>
      </c>
      <c r="I4" s="278">
        <f t="shared" si="0"/>
        <v>2027</v>
      </c>
      <c r="J4" s="278">
        <f t="shared" si="0"/>
        <v>2028</v>
      </c>
      <c r="K4" s="278">
        <f t="shared" si="0"/>
        <v>2029</v>
      </c>
      <c r="L4" s="278">
        <f t="shared" si="0"/>
        <v>2030</v>
      </c>
      <c r="M4" s="892">
        <f t="shared" si="0"/>
        <v>2031</v>
      </c>
    </row>
    <row r="5" spans="1:14" ht="18" customHeight="1">
      <c r="A5" s="449" t="s">
        <v>174</v>
      </c>
      <c r="B5" s="33"/>
      <c r="C5" s="33"/>
      <c r="D5" s="34"/>
      <c r="E5" s="34"/>
      <c r="F5" s="34"/>
      <c r="G5" s="34"/>
      <c r="H5" s="34"/>
      <c r="I5" s="34"/>
      <c r="J5" s="34"/>
      <c r="K5" s="34"/>
      <c r="L5" s="34"/>
      <c r="M5" s="229"/>
    </row>
    <row r="6" spans="1:14" ht="12" customHeight="1">
      <c r="A6" s="709" t="s">
        <v>197</v>
      </c>
      <c r="B6" s="102"/>
      <c r="C6" s="33">
        <v>0</v>
      </c>
      <c r="D6" s="34">
        <v>0</v>
      </c>
      <c r="E6" s="103">
        <f>'Parcel breakdown'!AF19</f>
        <v>0</v>
      </c>
      <c r="F6" s="103">
        <f>E6</f>
        <v>0</v>
      </c>
      <c r="G6" s="103">
        <f>'Parcel breakdown'!AF19+'Parcel breakdown'!AF20</f>
        <v>243036</v>
      </c>
      <c r="H6" s="103">
        <f>G6</f>
        <v>243036</v>
      </c>
      <c r="I6" s="103">
        <f>'Parcel breakdown'!AF19+'Parcel breakdown'!AF20+'Parcel breakdown'!AF21</f>
        <v>347304</v>
      </c>
      <c r="J6" s="103">
        <f>I6</f>
        <v>347304</v>
      </c>
      <c r="K6" s="103">
        <f t="shared" ref="K6:M6" si="1">J6</f>
        <v>347304</v>
      </c>
      <c r="L6" s="103">
        <f t="shared" si="1"/>
        <v>347304</v>
      </c>
      <c r="M6" s="710">
        <f t="shared" si="1"/>
        <v>347304</v>
      </c>
      <c r="N6" s="80"/>
    </row>
    <row r="7" spans="1:14" ht="14" customHeight="1">
      <c r="A7" s="709" t="s">
        <v>198</v>
      </c>
      <c r="B7" s="36">
        <v>0.02</v>
      </c>
      <c r="C7" s="269">
        <v>180</v>
      </c>
      <c r="D7" s="58">
        <f>C7*1.02</f>
        <v>183.6</v>
      </c>
      <c r="E7" s="58">
        <f t="shared" ref="E7:M7" si="2">D7*1.02</f>
        <v>187.27199999999999</v>
      </c>
      <c r="F7" s="58">
        <f t="shared" si="2"/>
        <v>191.01743999999999</v>
      </c>
      <c r="G7" s="58">
        <f t="shared" si="2"/>
        <v>194.8377888</v>
      </c>
      <c r="H7" s="58">
        <f t="shared" si="2"/>
        <v>198.73454457599999</v>
      </c>
      <c r="I7" s="58">
        <f t="shared" si="2"/>
        <v>202.70923546751999</v>
      </c>
      <c r="J7" s="58">
        <f t="shared" si="2"/>
        <v>206.7634201768704</v>
      </c>
      <c r="K7" s="58">
        <f t="shared" si="2"/>
        <v>210.89868858040782</v>
      </c>
      <c r="L7" s="58">
        <f t="shared" si="2"/>
        <v>215.11666235201599</v>
      </c>
      <c r="M7" s="711">
        <f t="shared" si="2"/>
        <v>219.41899559905633</v>
      </c>
    </row>
    <row r="8" spans="1:14" ht="14" customHeight="1">
      <c r="A8" s="709" t="s">
        <v>199</v>
      </c>
      <c r="B8" s="36">
        <v>0.02</v>
      </c>
      <c r="C8" s="269">
        <v>260</v>
      </c>
      <c r="D8" s="58">
        <f>C8*(1+$B$8)</f>
        <v>265.2</v>
      </c>
      <c r="E8" s="58">
        <f t="shared" ref="E8:M8" si="3">D8*(1+$B$8)</f>
        <v>270.50400000000002</v>
      </c>
      <c r="F8" s="58">
        <f t="shared" si="3"/>
        <v>275.91408000000001</v>
      </c>
      <c r="G8" s="58">
        <f t="shared" si="3"/>
        <v>281.43236160000004</v>
      </c>
      <c r="H8" s="58">
        <f t="shared" si="3"/>
        <v>287.06100883200003</v>
      </c>
      <c r="I8" s="58">
        <f t="shared" si="3"/>
        <v>292.80222900864004</v>
      </c>
      <c r="J8" s="58">
        <f t="shared" si="3"/>
        <v>298.65827358881285</v>
      </c>
      <c r="K8" s="58">
        <f t="shared" si="3"/>
        <v>304.63143906058912</v>
      </c>
      <c r="L8" s="58">
        <f t="shared" si="3"/>
        <v>310.72406784180089</v>
      </c>
      <c r="M8" s="711">
        <f t="shared" si="3"/>
        <v>316.93854919863691</v>
      </c>
    </row>
    <row r="9" spans="1:14" ht="14" customHeight="1">
      <c r="A9" s="709" t="s">
        <v>200</v>
      </c>
      <c r="B9" s="36"/>
      <c r="C9" s="64">
        <v>0</v>
      </c>
      <c r="D9" s="64">
        <v>0</v>
      </c>
      <c r="E9" s="64">
        <v>0</v>
      </c>
      <c r="F9" s="64">
        <v>0</v>
      </c>
      <c r="G9" s="64">
        <v>540</v>
      </c>
      <c r="H9" s="64">
        <v>540</v>
      </c>
      <c r="I9" s="64">
        <v>540</v>
      </c>
      <c r="J9" s="64">
        <v>540</v>
      </c>
      <c r="K9" s="64">
        <v>540</v>
      </c>
      <c r="L9" s="64">
        <v>540</v>
      </c>
      <c r="M9" s="712">
        <v>540</v>
      </c>
    </row>
    <row r="10" spans="1:14" ht="14" customHeight="1">
      <c r="A10" s="709" t="s">
        <v>201</v>
      </c>
      <c r="B10" s="33"/>
      <c r="C10" s="33">
        <v>0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33">
        <v>232</v>
      </c>
      <c r="J10" s="33">
        <f>I10</f>
        <v>232</v>
      </c>
      <c r="K10" s="33">
        <f t="shared" ref="K10:M10" si="4">J10</f>
        <v>232</v>
      </c>
      <c r="L10" s="33">
        <f t="shared" si="4"/>
        <v>232</v>
      </c>
      <c r="M10" s="713">
        <f t="shared" si="4"/>
        <v>232</v>
      </c>
    </row>
    <row r="11" spans="1:14" ht="14" customHeight="1">
      <c r="A11" s="709" t="s">
        <v>202</v>
      </c>
      <c r="B11" s="36">
        <v>0.7</v>
      </c>
      <c r="C11" s="37">
        <f>SUM(C9:C10)*$B$11</f>
        <v>0</v>
      </c>
      <c r="D11" s="37">
        <f t="shared" ref="D11:M11" si="5">SUM(D9:D10)*$B$11</f>
        <v>0</v>
      </c>
      <c r="E11" s="37">
        <f t="shared" si="5"/>
        <v>0</v>
      </c>
      <c r="F11" s="37">
        <f t="shared" si="5"/>
        <v>0</v>
      </c>
      <c r="G11" s="37">
        <f t="shared" si="5"/>
        <v>378</v>
      </c>
      <c r="H11" s="37">
        <f t="shared" si="5"/>
        <v>378</v>
      </c>
      <c r="I11" s="37">
        <f t="shared" si="5"/>
        <v>540.4</v>
      </c>
      <c r="J11" s="37">
        <f t="shared" si="5"/>
        <v>540.4</v>
      </c>
      <c r="K11" s="37">
        <f t="shared" si="5"/>
        <v>540.4</v>
      </c>
      <c r="L11" s="37">
        <f t="shared" si="5"/>
        <v>540.4</v>
      </c>
      <c r="M11" s="714">
        <f t="shared" si="5"/>
        <v>540.4</v>
      </c>
    </row>
    <row r="12" spans="1:14" ht="14" customHeight="1">
      <c r="A12" s="715" t="s">
        <v>203</v>
      </c>
      <c r="B12" s="22"/>
      <c r="C12" s="104"/>
      <c r="D12" s="104"/>
      <c r="E12" s="104"/>
      <c r="F12" s="104"/>
      <c r="G12" s="104">
        <f>(G7*G9*$B$11+G8*G10*$B$11)/SUM(G9:G10)</f>
        <v>136.38645216</v>
      </c>
      <c r="H12" s="104">
        <f t="shared" ref="H12:M12" si="6">(H7*H9*$B$11+H8*H10*$B$11)/SUM(H9:H10)</f>
        <v>139.11418120319999</v>
      </c>
      <c r="I12" s="104">
        <f t="shared" si="6"/>
        <v>160.84866968617317</v>
      </c>
      <c r="J12" s="104">
        <f t="shared" si="6"/>
        <v>164.06564307989663</v>
      </c>
      <c r="K12" s="104">
        <f t="shared" si="6"/>
        <v>167.34695594149457</v>
      </c>
      <c r="L12" s="104">
        <f t="shared" si="6"/>
        <v>170.69389506032445</v>
      </c>
      <c r="M12" s="716">
        <f t="shared" si="6"/>
        <v>174.10777296153097</v>
      </c>
    </row>
    <row r="13" spans="1:14" ht="18" customHeight="1">
      <c r="A13" s="573" t="s">
        <v>9</v>
      </c>
      <c r="B13" s="62"/>
      <c r="C13" s="62"/>
      <c r="D13" s="63"/>
      <c r="E13" s="63"/>
      <c r="F13" s="63"/>
      <c r="G13" s="63"/>
      <c r="H13" s="63"/>
      <c r="I13" s="63"/>
      <c r="J13" s="63"/>
      <c r="K13" s="63"/>
      <c r="L13" s="63"/>
      <c r="M13" s="717"/>
    </row>
    <row r="14" spans="1:14" ht="14" customHeight="1">
      <c r="A14" s="709" t="s">
        <v>204</v>
      </c>
      <c r="B14" s="33"/>
      <c r="C14" s="105">
        <f>C7*C9*C11+C8*C10*C11</f>
        <v>0</v>
      </c>
      <c r="D14" s="105">
        <f t="shared" ref="D14:F14" si="7">D7*D9*D11+D8*D10*D11</f>
        <v>0</v>
      </c>
      <c r="E14" s="105">
        <f t="shared" si="7"/>
        <v>0</v>
      </c>
      <c r="F14" s="105">
        <f t="shared" si="7"/>
        <v>0</v>
      </c>
      <c r="G14" s="105">
        <f>(G7*G9*$B$11+G8*G10*$B$11)*365</f>
        <v>26881769.720735997</v>
      </c>
      <c r="H14" s="105">
        <f t="shared" ref="H14:M14" si="8">(H7*H9*$B$11+H8*H10*$B$11)*365</f>
        <v>27419405.11515072</v>
      </c>
      <c r="I14" s="105">
        <f t="shared" si="8"/>
        <v>45323938.144169874</v>
      </c>
      <c r="J14" s="105">
        <f t="shared" si="8"/>
        <v>46230416.907053277</v>
      </c>
      <c r="K14" s="105">
        <f t="shared" si="8"/>
        <v>47155025.245194338</v>
      </c>
      <c r="L14" s="105">
        <f t="shared" si="8"/>
        <v>48098125.750098228</v>
      </c>
      <c r="M14" s="718">
        <f t="shared" si="8"/>
        <v>49060088.265100196</v>
      </c>
    </row>
    <row r="15" spans="1:14" s="23" customFormat="1" ht="14" customHeight="1">
      <c r="A15" s="719" t="s">
        <v>205</v>
      </c>
      <c r="B15" s="41"/>
      <c r="C15" s="106">
        <f>40*C11*365</f>
        <v>0</v>
      </c>
      <c r="D15" s="106">
        <f t="shared" ref="D15:M15" si="9">40*D11*365</f>
        <v>0</v>
      </c>
      <c r="E15" s="106">
        <f t="shared" si="9"/>
        <v>0</v>
      </c>
      <c r="F15" s="106">
        <f t="shared" si="9"/>
        <v>0</v>
      </c>
      <c r="G15" s="106">
        <f t="shared" si="9"/>
        <v>5518800</v>
      </c>
      <c r="H15" s="106">
        <f t="shared" si="9"/>
        <v>5518800</v>
      </c>
      <c r="I15" s="106">
        <f t="shared" si="9"/>
        <v>7889840</v>
      </c>
      <c r="J15" s="106">
        <f t="shared" si="9"/>
        <v>7889840</v>
      </c>
      <c r="K15" s="106">
        <f t="shared" si="9"/>
        <v>7889840</v>
      </c>
      <c r="L15" s="106">
        <f t="shared" si="9"/>
        <v>7889840</v>
      </c>
      <c r="M15" s="720">
        <f t="shared" si="9"/>
        <v>7889840</v>
      </c>
    </row>
    <row r="16" spans="1:14" s="23" customFormat="1" ht="14" customHeight="1">
      <c r="A16" s="721" t="s">
        <v>206</v>
      </c>
      <c r="B16" s="142"/>
      <c r="C16" s="143">
        <f>SUM(C14:C15)</f>
        <v>0</v>
      </c>
      <c r="D16" s="143">
        <f t="shared" ref="D16:M16" si="10">SUM(D14:D15)</f>
        <v>0</v>
      </c>
      <c r="E16" s="143">
        <f t="shared" si="10"/>
        <v>0</v>
      </c>
      <c r="F16" s="143">
        <f t="shared" si="10"/>
        <v>0</v>
      </c>
      <c r="G16" s="143">
        <f t="shared" si="10"/>
        <v>32400569.720735997</v>
      </c>
      <c r="H16" s="143">
        <f t="shared" si="10"/>
        <v>32938205.11515072</v>
      </c>
      <c r="I16" s="143">
        <f t="shared" si="10"/>
        <v>53213778.144169874</v>
      </c>
      <c r="J16" s="143">
        <f t="shared" si="10"/>
        <v>54120256.907053277</v>
      </c>
      <c r="K16" s="143">
        <f t="shared" si="10"/>
        <v>55044865.245194338</v>
      </c>
      <c r="L16" s="143">
        <f t="shared" si="10"/>
        <v>55987965.750098228</v>
      </c>
      <c r="M16" s="722">
        <f t="shared" si="10"/>
        <v>56949928.265100196</v>
      </c>
    </row>
    <row r="17" spans="1:14" ht="14" customHeight="1">
      <c r="A17" s="723" t="s">
        <v>34</v>
      </c>
      <c r="B17" s="10"/>
      <c r="C17" s="107">
        <f>C16-0.25*C14-0.7*C15-0.32*C16</f>
        <v>0</v>
      </c>
      <c r="D17" s="107">
        <f t="shared" ref="D17:M17" si="11">D16-0.25*D14-0.7*D15-0.32*D16</f>
        <v>0</v>
      </c>
      <c r="E17" s="107">
        <f t="shared" si="11"/>
        <v>0</v>
      </c>
      <c r="F17" s="107">
        <f t="shared" si="11"/>
        <v>0</v>
      </c>
      <c r="G17" s="107">
        <f t="shared" si="11"/>
        <v>11448784.979916478</v>
      </c>
      <c r="H17" s="107">
        <f t="shared" si="11"/>
        <v>11679968.19951481</v>
      </c>
      <c r="I17" s="107">
        <f t="shared" si="11"/>
        <v>19331496.601993047</v>
      </c>
      <c r="J17" s="107">
        <f t="shared" si="11"/>
        <v>19721282.470032904</v>
      </c>
      <c r="K17" s="107">
        <f t="shared" si="11"/>
        <v>20118864.055433564</v>
      </c>
      <c r="L17" s="107">
        <f t="shared" si="11"/>
        <v>20524397.272542238</v>
      </c>
      <c r="M17" s="724">
        <f t="shared" si="11"/>
        <v>20938041.153993089</v>
      </c>
    </row>
    <row r="18" spans="1:14" ht="18" customHeight="1">
      <c r="A18" s="573" t="s">
        <v>20</v>
      </c>
      <c r="B18" s="62"/>
      <c r="C18" s="62"/>
      <c r="D18" s="63"/>
      <c r="E18" s="63"/>
      <c r="F18" s="63"/>
      <c r="G18" s="63"/>
      <c r="H18" s="63"/>
      <c r="I18" s="108">
        <f>I17-G17</f>
        <v>7882711.6220765691</v>
      </c>
      <c r="J18" s="63"/>
      <c r="K18" s="63"/>
      <c r="L18" s="63"/>
      <c r="M18" s="717"/>
    </row>
    <row r="19" spans="1:14" ht="14" customHeight="1">
      <c r="A19" s="709" t="s">
        <v>159</v>
      </c>
      <c r="B19" s="33"/>
      <c r="C19" s="36">
        <f>0%</f>
        <v>0</v>
      </c>
      <c r="D19" s="36">
        <f>0%</f>
        <v>0</v>
      </c>
      <c r="E19" s="36">
        <f>0%</f>
        <v>0</v>
      </c>
      <c r="F19" s="36">
        <f>0%</f>
        <v>0</v>
      </c>
      <c r="G19" s="44">
        <f>70%</f>
        <v>0.7</v>
      </c>
      <c r="H19" s="44">
        <f>G19</f>
        <v>0.7</v>
      </c>
      <c r="I19" s="44">
        <f>100%</f>
        <v>1</v>
      </c>
      <c r="J19" s="44">
        <f>I19</f>
        <v>1</v>
      </c>
      <c r="K19" s="44">
        <f t="shared" ref="K19:M19" si="12">J19</f>
        <v>1</v>
      </c>
      <c r="L19" s="44">
        <f t="shared" si="12"/>
        <v>1</v>
      </c>
      <c r="M19" s="725">
        <f t="shared" si="12"/>
        <v>1</v>
      </c>
    </row>
    <row r="20" spans="1:14" ht="14" customHeight="1">
      <c r="A20" s="709" t="s">
        <v>160</v>
      </c>
      <c r="B20" s="33"/>
      <c r="C20" s="267">
        <f>-'Detailed Uses'!$O$25/2</f>
        <v>0</v>
      </c>
      <c r="D20" s="267">
        <f>-'Detailed Uses'!$O$25/2</f>
        <v>0</v>
      </c>
      <c r="E20" s="267">
        <f>'Detailed Uses'!$Y$25/2</f>
        <v>25097654.201985814</v>
      </c>
      <c r="F20" s="267">
        <f>'Detailed Uses'!$Y$25/2</f>
        <v>25097654.201985814</v>
      </c>
      <c r="G20" s="562">
        <f ca="1">'Detailed Uses'!$AI$25/2</f>
        <v>11865525.821853459</v>
      </c>
      <c r="H20" s="562">
        <f ca="1">'Detailed Uses'!$AI$25/2</f>
        <v>11865525.821853459</v>
      </c>
      <c r="I20" s="267">
        <v>0</v>
      </c>
      <c r="J20" s="267">
        <v>0</v>
      </c>
      <c r="K20" s="267">
        <v>0</v>
      </c>
      <c r="L20" s="267">
        <v>0</v>
      </c>
      <c r="M20" s="726">
        <v>0</v>
      </c>
    </row>
    <row r="21" spans="1:14" ht="14" customHeight="1">
      <c r="A21" s="709" t="s">
        <v>161</v>
      </c>
      <c r="B21" s="33"/>
      <c r="C21" s="267">
        <f ca="1">-'Detailed Uses'!$O$44/2</f>
        <v>0</v>
      </c>
      <c r="D21" s="267">
        <f ca="1">-'Detailed Uses'!$O$44/2</f>
        <v>0</v>
      </c>
      <c r="E21" s="267">
        <f ca="1">'Detailed Uses'!$Y$44/2</f>
        <v>2963511.3396263807</v>
      </c>
      <c r="F21" s="267">
        <f ca="1">'Detailed Uses'!$Y$44/2</f>
        <v>2963511.3396263807</v>
      </c>
      <c r="G21" s="562">
        <f ca="1">'Detailed Uses'!$AI$44/2</f>
        <v>1364074.0261180568</v>
      </c>
      <c r="H21" s="562">
        <f ca="1">'Detailed Uses'!$AI$44/2</f>
        <v>1364074.0261180568</v>
      </c>
      <c r="I21" s="267">
        <v>0</v>
      </c>
      <c r="J21" s="267">
        <v>0</v>
      </c>
      <c r="K21" s="267">
        <v>0</v>
      </c>
      <c r="L21" s="267">
        <v>0</v>
      </c>
      <c r="M21" s="726">
        <v>0</v>
      </c>
    </row>
    <row r="22" spans="1:14" ht="14" customHeight="1">
      <c r="A22" s="709" t="s">
        <v>26</v>
      </c>
      <c r="B22" s="33"/>
      <c r="C22" s="267">
        <f>-'Detailed Uses'!$O$60/2</f>
        <v>0</v>
      </c>
      <c r="D22" s="267">
        <f>-'Detailed Uses'!$O$60/2</f>
        <v>0</v>
      </c>
      <c r="E22" s="267">
        <f>'Detailed Uses'!$Y$60/2</f>
        <v>117047.19844822722</v>
      </c>
      <c r="F22" s="267">
        <f>'Detailed Uses'!$Y$60/2</f>
        <v>117047.19844822722</v>
      </c>
      <c r="G22" s="562">
        <f>'Detailed Uses'!$AI$60/2</f>
        <v>37008.373933289811</v>
      </c>
      <c r="H22" s="562">
        <f>'Detailed Uses'!$AI$60/2</f>
        <v>37008.373933289811</v>
      </c>
      <c r="I22" s="267">
        <v>0</v>
      </c>
      <c r="J22" s="267">
        <v>0</v>
      </c>
      <c r="K22" s="267">
        <v>0</v>
      </c>
      <c r="L22" s="267">
        <v>0</v>
      </c>
      <c r="M22" s="726">
        <v>0</v>
      </c>
    </row>
    <row r="23" spans="1:14" ht="14" customHeight="1">
      <c r="A23" s="709" t="s">
        <v>27</v>
      </c>
      <c r="B23" s="33"/>
      <c r="C23" s="267">
        <f ca="1">-'Detailed Uses'!$O$64/2</f>
        <v>0</v>
      </c>
      <c r="D23" s="267">
        <f ca="1">-'Detailed Uses'!$O$64/2</f>
        <v>0</v>
      </c>
      <c r="E23" s="267">
        <f ca="1">'Detailed Uses'!$Y$64/2</f>
        <v>966376.75081782998</v>
      </c>
      <c r="F23" s="267">
        <f ca="1">'Detailed Uses'!$Y$64/2</f>
        <v>966376.75081782998</v>
      </c>
      <c r="G23" s="562">
        <f ca="1">'Detailed Uses'!$AI$64/2</f>
        <v>329108.91002261848</v>
      </c>
      <c r="H23" s="562">
        <f ca="1">'Detailed Uses'!$AI$64/2</f>
        <v>329108.91002261848</v>
      </c>
      <c r="I23" s="267">
        <v>0</v>
      </c>
      <c r="J23" s="267">
        <v>0</v>
      </c>
      <c r="K23" s="267">
        <v>0</v>
      </c>
      <c r="L23" s="267">
        <v>0</v>
      </c>
      <c r="M23" s="726">
        <v>0</v>
      </c>
    </row>
    <row r="24" spans="1:14" ht="14" customHeight="1">
      <c r="A24" s="709" t="s">
        <v>28</v>
      </c>
      <c r="B24" s="33"/>
      <c r="C24" s="267">
        <f>-'Detailed Uses'!$O$11/2</f>
        <v>0</v>
      </c>
      <c r="D24" s="267">
        <f>-'Detailed Uses'!$O$11/2</f>
        <v>0</v>
      </c>
      <c r="E24" s="267">
        <f>'Detailed Uses'!$Y$11/2</f>
        <v>3261781.562845245</v>
      </c>
      <c r="F24" s="267">
        <f>'Detailed Uses'!$Y$11/2</f>
        <v>3261781.562845245</v>
      </c>
      <c r="G24" s="562">
        <f>'Detailed Uses'!$AI$11/2</f>
        <v>1776658.1905358632</v>
      </c>
      <c r="H24" s="562">
        <f>'Detailed Uses'!$AI$11/2</f>
        <v>1776658.1905358632</v>
      </c>
      <c r="I24" s="267">
        <v>0</v>
      </c>
      <c r="J24" s="267">
        <v>0</v>
      </c>
      <c r="K24" s="267">
        <v>0</v>
      </c>
      <c r="L24" s="267">
        <v>0</v>
      </c>
      <c r="M24" s="726">
        <v>0</v>
      </c>
    </row>
    <row r="25" spans="1:14" ht="14" customHeight="1">
      <c r="A25" s="727" t="s">
        <v>29</v>
      </c>
      <c r="B25" s="42"/>
      <c r="C25" s="563">
        <f>-'Detailed Uses'!$O$17/2</f>
        <v>0</v>
      </c>
      <c r="D25" s="563">
        <f>-'Detailed Uses'!$O$17/2</f>
        <v>0</v>
      </c>
      <c r="E25" s="563">
        <f>'Detailed Uses'!$Y$17/2</f>
        <v>1437635.2069850671</v>
      </c>
      <c r="F25" s="563">
        <f>'Detailed Uses'!$Y$17/2</f>
        <v>1437635.2069850671</v>
      </c>
      <c r="G25" s="564">
        <f>'Detailed Uses'!$AI$17/2</f>
        <v>622228.25069680333</v>
      </c>
      <c r="H25" s="564">
        <f>'Detailed Uses'!$AI$17/2</f>
        <v>622228.25069680333</v>
      </c>
      <c r="I25" s="563">
        <v>0</v>
      </c>
      <c r="J25" s="563">
        <v>0</v>
      </c>
      <c r="K25" s="563">
        <v>0</v>
      </c>
      <c r="L25" s="563">
        <v>0</v>
      </c>
      <c r="M25" s="728">
        <v>0</v>
      </c>
    </row>
    <row r="26" spans="1:14" ht="14" customHeight="1">
      <c r="A26" s="723" t="s">
        <v>32</v>
      </c>
      <c r="B26" s="111"/>
      <c r="C26" s="565">
        <f ca="1">SUM(C19:C25)</f>
        <v>0</v>
      </c>
      <c r="D26" s="565">
        <f t="shared" ref="D26" ca="1" si="13">SUM(D19:D25)</f>
        <v>0</v>
      </c>
      <c r="E26" s="565">
        <f ca="1">SUM(E20:E25)</f>
        <v>33844006.260708563</v>
      </c>
      <c r="F26" s="565">
        <f t="shared" ref="F26:M26" ca="1" si="14">SUM(F20:F25)</f>
        <v>33844006.260708563</v>
      </c>
      <c r="G26" s="565">
        <f t="shared" ca="1" si="14"/>
        <v>15994603.57316009</v>
      </c>
      <c r="H26" s="565">
        <f t="shared" ca="1" si="14"/>
        <v>15994603.57316009</v>
      </c>
      <c r="I26" s="565">
        <f t="shared" si="14"/>
        <v>0</v>
      </c>
      <c r="J26" s="565">
        <f t="shared" si="14"/>
        <v>0</v>
      </c>
      <c r="K26" s="565">
        <f t="shared" si="14"/>
        <v>0</v>
      </c>
      <c r="L26" s="565">
        <f t="shared" si="14"/>
        <v>0</v>
      </c>
      <c r="M26" s="729">
        <f t="shared" si="14"/>
        <v>0</v>
      </c>
    </row>
    <row r="27" spans="1:14" ht="18" customHeight="1">
      <c r="A27" s="573" t="s">
        <v>33</v>
      </c>
      <c r="B27" s="62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717"/>
    </row>
    <row r="28" spans="1:14" ht="14" customHeight="1">
      <c r="A28" s="709" t="s">
        <v>34</v>
      </c>
      <c r="B28" s="266"/>
      <c r="C28" s="266">
        <f>C17</f>
        <v>0</v>
      </c>
      <c r="D28" s="266">
        <f t="shared" ref="D28:M28" si="15">D17</f>
        <v>0</v>
      </c>
      <c r="E28" s="266">
        <f t="shared" si="15"/>
        <v>0</v>
      </c>
      <c r="F28" s="266">
        <f t="shared" si="15"/>
        <v>0</v>
      </c>
      <c r="G28" s="266">
        <f t="shared" si="15"/>
        <v>11448784.979916478</v>
      </c>
      <c r="H28" s="266">
        <f t="shared" si="15"/>
        <v>11679968.19951481</v>
      </c>
      <c r="I28" s="266">
        <f t="shared" si="15"/>
        <v>19331496.601993047</v>
      </c>
      <c r="J28" s="266">
        <f t="shared" si="15"/>
        <v>19721282.470032904</v>
      </c>
      <c r="K28" s="266">
        <f t="shared" si="15"/>
        <v>20118864.055433564</v>
      </c>
      <c r="L28" s="266">
        <f t="shared" si="15"/>
        <v>20524397.272542238</v>
      </c>
      <c r="M28" s="730">
        <f t="shared" si="15"/>
        <v>20938041.153993089</v>
      </c>
    </row>
    <row r="29" spans="1:14" ht="14" customHeight="1">
      <c r="A29" s="709" t="s">
        <v>162</v>
      </c>
      <c r="B29" s="266"/>
      <c r="C29" s="266"/>
      <c r="D29" s="267"/>
      <c r="E29" s="267"/>
      <c r="F29" s="267"/>
      <c r="G29" s="267">
        <f>G28/8%</f>
        <v>143109812.24895597</v>
      </c>
      <c r="H29" s="267"/>
      <c r="I29" s="267">
        <f>I28/8%</f>
        <v>241643707.52491307</v>
      </c>
      <c r="J29" s="267"/>
      <c r="K29" s="267"/>
      <c r="L29" s="267"/>
      <c r="M29" s="726">
        <f>M28/8%</f>
        <v>261725514.42491361</v>
      </c>
      <c r="N29" s="8"/>
    </row>
    <row r="30" spans="1:14" ht="14" customHeight="1">
      <c r="A30" s="709" t="s">
        <v>163</v>
      </c>
      <c r="B30" s="266"/>
      <c r="C30" s="266"/>
      <c r="D30" s="267"/>
      <c r="E30" s="267"/>
      <c r="F30" s="267"/>
      <c r="G30" s="267"/>
      <c r="H30" s="267"/>
      <c r="I30" s="267"/>
      <c r="J30" s="267"/>
      <c r="K30" s="267"/>
      <c r="L30" s="267"/>
      <c r="M30" s="726">
        <f>-M29*0.02</f>
        <v>-5234510.2884982722</v>
      </c>
      <c r="N30" s="8"/>
    </row>
    <row r="31" spans="1:14" ht="14" customHeight="1">
      <c r="A31" s="727" t="s">
        <v>32</v>
      </c>
      <c r="B31" s="109"/>
      <c r="C31" s="109">
        <f ca="1">-C26</f>
        <v>0</v>
      </c>
      <c r="D31" s="109">
        <f t="shared" ref="D31:M31" ca="1" si="16">-D26</f>
        <v>0</v>
      </c>
      <c r="E31" s="109">
        <f t="shared" ca="1" si="16"/>
        <v>-33844006.260708563</v>
      </c>
      <c r="F31" s="109">
        <f t="shared" ca="1" si="16"/>
        <v>-33844006.260708563</v>
      </c>
      <c r="G31" s="109">
        <f ca="1">-G26</f>
        <v>-15994603.57316009</v>
      </c>
      <c r="H31" s="109">
        <f t="shared" ca="1" si="16"/>
        <v>-15994603.57316009</v>
      </c>
      <c r="I31" s="109">
        <f t="shared" si="16"/>
        <v>0</v>
      </c>
      <c r="J31" s="109">
        <f t="shared" si="16"/>
        <v>0</v>
      </c>
      <c r="K31" s="109">
        <f t="shared" si="16"/>
        <v>0</v>
      </c>
      <c r="L31" s="109">
        <f t="shared" si="16"/>
        <v>0</v>
      </c>
      <c r="M31" s="731">
        <f t="shared" si="16"/>
        <v>0</v>
      </c>
      <c r="N31" s="8"/>
    </row>
    <row r="32" spans="1:14" ht="14" customHeight="1">
      <c r="A32" s="715" t="s">
        <v>37</v>
      </c>
      <c r="B32" s="110"/>
      <c r="C32" s="110">
        <f ca="1">C28+C31</f>
        <v>0</v>
      </c>
      <c r="D32" s="110">
        <f t="shared" ref="D32:L32" ca="1" si="17">D28+D31</f>
        <v>0</v>
      </c>
      <c r="E32" s="110">
        <f t="shared" ca="1" si="17"/>
        <v>-33844006.260708563</v>
      </c>
      <c r="F32" s="110">
        <f t="shared" ca="1" si="17"/>
        <v>-33844006.260708563</v>
      </c>
      <c r="G32" s="110">
        <f t="shared" ca="1" si="17"/>
        <v>-4545818.593243612</v>
      </c>
      <c r="H32" s="110">
        <f t="shared" ca="1" si="17"/>
        <v>-4314635.3736452796</v>
      </c>
      <c r="I32" s="110">
        <f t="shared" si="17"/>
        <v>19331496.601993047</v>
      </c>
      <c r="J32" s="110">
        <f t="shared" si="17"/>
        <v>19721282.470032904</v>
      </c>
      <c r="K32" s="110">
        <f t="shared" si="17"/>
        <v>20118864.055433564</v>
      </c>
      <c r="L32" s="110">
        <f t="shared" si="17"/>
        <v>20524397.272542238</v>
      </c>
      <c r="M32" s="732">
        <f>SUM(M28:M31)</f>
        <v>277429045.29040843</v>
      </c>
      <c r="N32" s="8"/>
    </row>
    <row r="33" spans="1:14" ht="18" customHeight="1">
      <c r="A33" s="733" t="s">
        <v>40</v>
      </c>
      <c r="B33" s="263">
        <f ca="1">E32+NPV(B37,F32:M32)</f>
        <v>143496309.63117436</v>
      </c>
      <c r="C33" s="263"/>
      <c r="D33" s="566"/>
      <c r="E33" s="566"/>
      <c r="F33" s="566"/>
      <c r="G33" s="566"/>
      <c r="H33" s="566"/>
      <c r="I33" s="566"/>
      <c r="J33" s="566"/>
      <c r="K33" s="566"/>
      <c r="L33" s="566"/>
      <c r="M33" s="734"/>
      <c r="N33" s="8"/>
    </row>
    <row r="34" spans="1:14" ht="18" customHeight="1">
      <c r="A34" s="735" t="s">
        <v>42</v>
      </c>
      <c r="B34" s="50">
        <f ca="1">IRR(C32:M32)</f>
        <v>0.262729599471899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736"/>
      <c r="N34" s="8"/>
    </row>
    <row r="35" spans="1:14" ht="18" customHeight="1">
      <c r="A35" s="735" t="s">
        <v>164</v>
      </c>
      <c r="B35" s="50"/>
      <c r="C35" s="340">
        <f ca="1">C31-(SUM('Summary Board II -  S+U'!F37:F39)*C31/'Summary Board II -  S+U'!F45)</f>
        <v>0</v>
      </c>
      <c r="D35" s="340">
        <f ca="1">C35</f>
        <v>0</v>
      </c>
      <c r="E35" s="340">
        <f ca="1">E31-(SUM('Summary Board II -  S+U'!H31:H33)*E31/'Summary Board II -  S+U'!H39)</f>
        <v>-4751033.953856796</v>
      </c>
      <c r="F35" s="340">
        <f ca="1">E35</f>
        <v>-4751033.953856796</v>
      </c>
      <c r="G35" s="340">
        <f ca="1">G31-(SUM('Summary Board II -  S+U'!J31:J33)*G31/'Summary Board II -  S+U'!J39)</f>
        <v>-2723893.0472811479</v>
      </c>
      <c r="H35" s="340">
        <f ca="1">G35</f>
        <v>-2723893.0472811479</v>
      </c>
      <c r="I35" s="340">
        <f>I32</f>
        <v>19331496.601993047</v>
      </c>
      <c r="J35" s="340">
        <f>J32</f>
        <v>19721282.470032904</v>
      </c>
      <c r="K35" s="340">
        <f>K32</f>
        <v>20118864.055433564</v>
      </c>
      <c r="L35" s="340">
        <f>L32</f>
        <v>20524397.272542238</v>
      </c>
      <c r="M35" s="737">
        <f>M32</f>
        <v>277429045.29040843</v>
      </c>
      <c r="N35" s="8"/>
    </row>
    <row r="36" spans="1:14" ht="18" customHeight="1" thickBot="1">
      <c r="A36" s="738" t="s">
        <v>44</v>
      </c>
      <c r="B36" s="739">
        <f ca="1">IRR(E35:M35)</f>
        <v>0.69903864004918392</v>
      </c>
      <c r="C36" s="740"/>
      <c r="D36" s="740"/>
      <c r="E36" s="740"/>
      <c r="F36" s="740"/>
      <c r="G36" s="740"/>
      <c r="H36" s="740"/>
      <c r="I36" s="740"/>
      <c r="J36" s="740"/>
      <c r="K36" s="740"/>
      <c r="L36" s="740"/>
      <c r="M36" s="741"/>
      <c r="N36" s="8"/>
    </row>
    <row r="37" spans="1:14" hidden="1">
      <c r="B37" s="24">
        <v>7.0000000000000007E-2</v>
      </c>
    </row>
    <row r="38" spans="1:14" hidden="1">
      <c r="I38" s="81">
        <f>I29-G29*1.02^2</f>
        <v>92752258.861099273</v>
      </c>
    </row>
    <row r="40" spans="1:14">
      <c r="D40" s="25"/>
    </row>
    <row r="41" spans="1:14">
      <c r="D41" s="25"/>
    </row>
    <row r="45" spans="1:14">
      <c r="D45" s="3"/>
    </row>
    <row r="46" spans="1:14">
      <c r="D46" s="3"/>
    </row>
    <row r="47" spans="1:14">
      <c r="D47" s="3"/>
    </row>
    <row r="48" spans="1:14">
      <c r="D48" s="3"/>
    </row>
    <row r="49" spans="4:4">
      <c r="D49" s="3"/>
    </row>
    <row r="50" spans="4:4">
      <c r="D50" s="3"/>
    </row>
    <row r="51" spans="4:4">
      <c r="D51" s="3"/>
    </row>
  </sheetData>
  <phoneticPr fontId="2" type="noConversion"/>
  <pageMargins left="0.5" right="0.5" top="1" bottom="0.5" header="0.5" footer="0.5"/>
  <pageSetup orientation="landscape" r:id="rId1"/>
  <headerFooter alignWithMargins="0">
    <oddHeader>&amp;L&amp;"Arial,Bold"9. Income Statement: Hotel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50"/>
  <sheetViews>
    <sheetView zoomScaleNormal="100" workbookViewId="0">
      <selection activeCell="M1" sqref="L1:M1"/>
    </sheetView>
  </sheetViews>
  <sheetFormatPr baseColWidth="10" defaultColWidth="9.1640625" defaultRowHeight="13"/>
  <cols>
    <col min="1" max="1" width="23.1640625" style="2" customWidth="1"/>
    <col min="2" max="2" width="16.83203125" style="3" customWidth="1"/>
    <col min="3" max="3" width="16.33203125" style="3" customWidth="1"/>
    <col min="4" max="13" width="16.33203125" style="2" customWidth="1"/>
    <col min="14" max="15" width="9.33203125" style="2" bestFit="1" customWidth="1"/>
    <col min="16" max="16" width="9.1640625" style="2"/>
    <col min="17" max="17" width="13.33203125" style="2" bestFit="1" customWidth="1"/>
    <col min="18" max="19" width="12.1640625" style="2" bestFit="1" customWidth="1"/>
    <col min="20" max="20" width="15.5" style="2" customWidth="1"/>
    <col min="21" max="21" width="9.33203125" style="2" bestFit="1" customWidth="1"/>
    <col min="22" max="22" width="15" style="2" bestFit="1" customWidth="1"/>
    <col min="23" max="23" width="9.33203125" style="2" bestFit="1" customWidth="1"/>
    <col min="24" max="24" width="16.83203125" style="2" customWidth="1"/>
    <col min="25" max="25" width="9.33203125" style="2" bestFit="1" customWidth="1"/>
    <col min="26" max="26" width="13" style="2" customWidth="1"/>
    <col min="27" max="16384" width="9.1640625" style="2"/>
  </cols>
  <sheetData>
    <row r="1" spans="1:26" ht="14" customHeight="1" thickBot="1">
      <c r="L1" s="1063" t="s">
        <v>1</v>
      </c>
      <c r="M1" s="1064" t="s">
        <v>2</v>
      </c>
    </row>
    <row r="2" spans="1:26" ht="14" customHeight="1" thickBot="1">
      <c r="L2" s="100"/>
      <c r="M2" s="101"/>
    </row>
    <row r="3" spans="1:26" ht="14" customHeight="1">
      <c r="A3" s="570"/>
      <c r="B3" s="703"/>
      <c r="C3" s="703" t="s">
        <v>3</v>
      </c>
      <c r="D3" s="571"/>
      <c r="E3" s="742" t="s">
        <v>4</v>
      </c>
      <c r="F3" s="742"/>
      <c r="G3" s="742" t="s">
        <v>5</v>
      </c>
      <c r="H3" s="742"/>
      <c r="I3" s="742" t="s">
        <v>6</v>
      </c>
      <c r="J3" s="742"/>
      <c r="K3" s="742"/>
      <c r="L3" s="742"/>
      <c r="M3" s="743"/>
      <c r="N3" s="8"/>
      <c r="O3" s="8"/>
      <c r="P3" s="8"/>
    </row>
    <row r="4" spans="1:26" ht="14" customHeight="1">
      <c r="A4" s="631"/>
      <c r="B4" s="278" t="s">
        <v>141</v>
      </c>
      <c r="C4" s="278" t="s">
        <v>8</v>
      </c>
      <c r="D4" s="278">
        <v>2022</v>
      </c>
      <c r="E4" s="278">
        <f t="shared" ref="E4:M4" si="0">D4+1</f>
        <v>2023</v>
      </c>
      <c r="F4" s="278">
        <f t="shared" si="0"/>
        <v>2024</v>
      </c>
      <c r="G4" s="278">
        <f t="shared" si="0"/>
        <v>2025</v>
      </c>
      <c r="H4" s="278">
        <f t="shared" si="0"/>
        <v>2026</v>
      </c>
      <c r="I4" s="278">
        <f t="shared" si="0"/>
        <v>2027</v>
      </c>
      <c r="J4" s="278">
        <f t="shared" si="0"/>
        <v>2028</v>
      </c>
      <c r="K4" s="278">
        <f t="shared" si="0"/>
        <v>2029</v>
      </c>
      <c r="L4" s="278">
        <f t="shared" si="0"/>
        <v>2030</v>
      </c>
      <c r="M4" s="892">
        <f t="shared" si="0"/>
        <v>2031</v>
      </c>
      <c r="N4" s="8"/>
      <c r="O4" s="8"/>
      <c r="P4" s="8"/>
      <c r="Q4" s="2" t="s">
        <v>207</v>
      </c>
    </row>
    <row r="5" spans="1:26" ht="18" customHeight="1">
      <c r="A5" s="449" t="s">
        <v>174</v>
      </c>
      <c r="B5" s="33"/>
      <c r="C5" s="33"/>
      <c r="D5" s="34"/>
      <c r="E5" s="34"/>
      <c r="F5" s="34"/>
      <c r="G5" s="34"/>
      <c r="H5" s="34"/>
      <c r="I5" s="34"/>
      <c r="J5" s="34"/>
      <c r="K5" s="34"/>
      <c r="L5" s="34"/>
      <c r="M5" s="229"/>
      <c r="O5" s="2" t="s">
        <v>208</v>
      </c>
      <c r="P5" s="2" t="s">
        <v>93</v>
      </c>
      <c r="Q5" s="2" t="s">
        <v>209</v>
      </c>
      <c r="R5" s="2" t="s">
        <v>210</v>
      </c>
      <c r="S5" s="2" t="s">
        <v>109</v>
      </c>
      <c r="T5" s="2" t="s">
        <v>15</v>
      </c>
      <c r="U5" s="2" t="s">
        <v>211</v>
      </c>
      <c r="V5" s="2" t="s">
        <v>212</v>
      </c>
      <c r="W5" s="2" t="s">
        <v>23</v>
      </c>
      <c r="X5" s="2" t="s">
        <v>213</v>
      </c>
      <c r="Y5" s="2" t="s">
        <v>214</v>
      </c>
      <c r="Z5" s="2" t="s">
        <v>215</v>
      </c>
    </row>
    <row r="6" spans="1:26" ht="14" customHeight="1">
      <c r="A6" s="227" t="s">
        <v>100</v>
      </c>
      <c r="B6" s="36">
        <v>0.02</v>
      </c>
      <c r="C6" s="36"/>
      <c r="D6" s="34"/>
      <c r="E6" s="34"/>
      <c r="F6" s="34"/>
      <c r="G6" s="34"/>
      <c r="H6" s="34"/>
      <c r="I6" s="34"/>
      <c r="J6" s="34"/>
      <c r="K6" s="34"/>
      <c r="L6" s="34"/>
      <c r="M6" s="229"/>
      <c r="O6" s="2">
        <v>1</v>
      </c>
      <c r="P6" s="112" t="s">
        <v>98</v>
      </c>
      <c r="Q6" s="113">
        <v>15588</v>
      </c>
      <c r="R6" s="113">
        <v>62352</v>
      </c>
      <c r="S6" s="114">
        <v>41033</v>
      </c>
      <c r="T6" s="114">
        <v>243036</v>
      </c>
      <c r="U6" s="115">
        <v>0</v>
      </c>
      <c r="V6" s="114">
        <v>123099</v>
      </c>
      <c r="W6" s="115">
        <v>0</v>
      </c>
      <c r="X6" s="115">
        <v>0</v>
      </c>
      <c r="Y6" s="2">
        <f>X6/330</f>
        <v>0</v>
      </c>
      <c r="Z6" s="78">
        <f>'Parcel breakdown'!X6</f>
        <v>0</v>
      </c>
    </row>
    <row r="7" spans="1:26" ht="14" customHeight="1">
      <c r="A7" s="227" t="s">
        <v>197</v>
      </c>
      <c r="B7" s="36"/>
      <c r="C7" s="64">
        <f>0</f>
        <v>0</v>
      </c>
      <c r="D7" s="116">
        <v>0</v>
      </c>
      <c r="E7" s="140">
        <f>'Parcel breakdown'!AJ19</f>
        <v>320618.75</v>
      </c>
      <c r="F7" s="140">
        <f>E7</f>
        <v>320618.75</v>
      </c>
      <c r="G7" s="140">
        <f>'Parcel breakdown'!AJ19+'Parcel breakdown'!AJ20</f>
        <v>320618.75</v>
      </c>
      <c r="H7" s="140">
        <f>G7</f>
        <v>320618.75</v>
      </c>
      <c r="I7" s="140">
        <f>'Parcel breakdown'!AJ19+'Parcel breakdown'!AJ20+'Parcel breakdown'!AJ21</f>
        <v>514224.5</v>
      </c>
      <c r="J7" s="140">
        <f>I7</f>
        <v>514224.5</v>
      </c>
      <c r="K7" s="140">
        <f t="shared" ref="K7:M7" si="1">J7</f>
        <v>514224.5</v>
      </c>
      <c r="L7" s="140">
        <f t="shared" si="1"/>
        <v>514224.5</v>
      </c>
      <c r="M7" s="744">
        <f t="shared" si="1"/>
        <v>514224.5</v>
      </c>
      <c r="P7" s="112"/>
      <c r="Q7" s="113"/>
      <c r="R7" s="113"/>
      <c r="S7" s="114"/>
      <c r="T7" s="114"/>
      <c r="U7" s="115"/>
      <c r="V7" s="114"/>
      <c r="W7" s="115"/>
      <c r="X7" s="115"/>
      <c r="Z7" s="78"/>
    </row>
    <row r="8" spans="1:26" ht="14" customHeight="1">
      <c r="A8" s="227" t="s">
        <v>216</v>
      </c>
      <c r="B8" s="33"/>
      <c r="C8" s="33">
        <v>0</v>
      </c>
      <c r="D8" s="34">
        <v>0</v>
      </c>
      <c r="E8" s="140">
        <f>SUMIFS(Y6:Y18,P6:P18, "I")</f>
        <v>971.57196969696975</v>
      </c>
      <c r="F8" s="140">
        <f>E8</f>
        <v>971.57196969696975</v>
      </c>
      <c r="G8" s="140">
        <f>F8+SUMIFS(Y6:Y18,P6:P18, "II")</f>
        <v>971.57196969696975</v>
      </c>
      <c r="H8" s="140">
        <f>G8</f>
        <v>971.57196969696975</v>
      </c>
      <c r="I8" s="140">
        <f>H8+SUMIFS(Y6:Y18,P6:P18, "III")</f>
        <v>1558.2560606060606</v>
      </c>
      <c r="J8" s="140">
        <f>I8</f>
        <v>1558.2560606060606</v>
      </c>
      <c r="K8" s="140">
        <f t="shared" ref="K8:M8" si="2">J8</f>
        <v>1558.2560606060606</v>
      </c>
      <c r="L8" s="140">
        <f t="shared" si="2"/>
        <v>1558.2560606060606</v>
      </c>
      <c r="M8" s="744">
        <f t="shared" si="2"/>
        <v>1558.2560606060606</v>
      </c>
      <c r="O8" s="2">
        <v>2</v>
      </c>
      <c r="P8" s="112" t="s">
        <v>97</v>
      </c>
      <c r="Q8" s="113">
        <v>0</v>
      </c>
      <c r="R8" s="113">
        <v>0</v>
      </c>
      <c r="S8" s="117">
        <v>16321.25</v>
      </c>
      <c r="T8" s="115">
        <v>0</v>
      </c>
      <c r="U8" s="115">
        <v>0</v>
      </c>
      <c r="V8" s="114">
        <v>649011</v>
      </c>
      <c r="W8" s="115">
        <v>0</v>
      </c>
      <c r="X8" s="114">
        <v>244818.75</v>
      </c>
      <c r="Y8" s="118">
        <f t="shared" ref="Y8:Y18" si="3">X8/330</f>
        <v>741.875</v>
      </c>
      <c r="Z8" s="78">
        <f>'Parcel breakdown'!X7</f>
        <v>15017881.607142858</v>
      </c>
    </row>
    <row r="9" spans="1:26" ht="14" customHeight="1">
      <c r="A9" s="227" t="s">
        <v>217</v>
      </c>
      <c r="B9" s="33"/>
      <c r="C9" s="33"/>
      <c r="D9" s="34"/>
      <c r="E9" s="34"/>
      <c r="F9" s="34"/>
      <c r="G9" s="34"/>
      <c r="H9" s="34"/>
      <c r="I9" s="34"/>
      <c r="J9" s="34"/>
      <c r="K9" s="34"/>
      <c r="L9" s="34"/>
      <c r="M9" s="229"/>
      <c r="O9" s="2">
        <v>3</v>
      </c>
      <c r="P9" s="119" t="s">
        <v>97</v>
      </c>
      <c r="Q9" s="120">
        <v>93163.8</v>
      </c>
      <c r="R9" s="120">
        <v>372655.2</v>
      </c>
      <c r="S9" s="121">
        <v>0</v>
      </c>
      <c r="T9" s="122">
        <v>0</v>
      </c>
      <c r="U9" s="121">
        <v>17043</v>
      </c>
      <c r="V9" s="122">
        <v>0</v>
      </c>
      <c r="W9" s="122">
        <v>0</v>
      </c>
      <c r="X9" s="121">
        <v>51129</v>
      </c>
      <c r="Y9" s="118">
        <f t="shared" si="3"/>
        <v>154.93636363636364</v>
      </c>
      <c r="Z9" s="78">
        <f>'Parcel breakdown'!X8</f>
        <v>3136398.942857143</v>
      </c>
    </row>
    <row r="10" spans="1:26" ht="14" customHeight="1">
      <c r="A10" s="709" t="s">
        <v>218</v>
      </c>
      <c r="B10" s="54">
        <v>200</v>
      </c>
      <c r="C10" s="105">
        <f>B10*1.02</f>
        <v>204</v>
      </c>
      <c r="D10" s="105">
        <f t="shared" ref="D10:M10" si="4">C10*1.02</f>
        <v>208.08</v>
      </c>
      <c r="E10" s="105">
        <f t="shared" si="4"/>
        <v>212.24160000000001</v>
      </c>
      <c r="F10" s="105">
        <f t="shared" si="4"/>
        <v>216.48643200000001</v>
      </c>
      <c r="G10" s="105">
        <f t="shared" si="4"/>
        <v>220.81616064000002</v>
      </c>
      <c r="H10" s="105">
        <f t="shared" si="4"/>
        <v>225.23248385280002</v>
      </c>
      <c r="I10" s="105">
        <f t="shared" si="4"/>
        <v>229.73713352985601</v>
      </c>
      <c r="J10" s="105">
        <f t="shared" si="4"/>
        <v>234.33187620045314</v>
      </c>
      <c r="K10" s="105">
        <f t="shared" si="4"/>
        <v>239.0185137244622</v>
      </c>
      <c r="L10" s="105">
        <f t="shared" si="4"/>
        <v>243.79888399895145</v>
      </c>
      <c r="M10" s="718">
        <f t="shared" si="4"/>
        <v>248.67486167893048</v>
      </c>
      <c r="O10" s="2">
        <v>4</v>
      </c>
      <c r="P10" s="119" t="s">
        <v>99</v>
      </c>
      <c r="Q10" s="120">
        <v>0</v>
      </c>
      <c r="R10" s="120">
        <v>0</v>
      </c>
      <c r="S10" s="121">
        <v>4964.25</v>
      </c>
      <c r="T10" s="121">
        <v>104268</v>
      </c>
      <c r="U10" s="122">
        <v>0</v>
      </c>
      <c r="V10" s="122">
        <v>0</v>
      </c>
      <c r="W10" s="122">
        <v>0</v>
      </c>
      <c r="X10" s="121">
        <v>74463.75</v>
      </c>
      <c r="Y10" s="118">
        <f t="shared" si="3"/>
        <v>225.64772727272728</v>
      </c>
      <c r="Z10" s="78">
        <f>'Parcel breakdown'!X9</f>
        <v>4567819.1785714291</v>
      </c>
    </row>
    <row r="11" spans="1:26" ht="14" customHeight="1">
      <c r="A11" s="709" t="s">
        <v>219</v>
      </c>
      <c r="B11" s="36">
        <v>0.7</v>
      </c>
      <c r="C11" s="33">
        <f>C8*0.9</f>
        <v>0</v>
      </c>
      <c r="D11" s="33">
        <f t="shared" ref="D11:M11" si="5">D8*0.9</f>
        <v>0</v>
      </c>
      <c r="E11" s="123">
        <f t="shared" si="5"/>
        <v>874.41477272727275</v>
      </c>
      <c r="F11" s="123">
        <f t="shared" si="5"/>
        <v>874.41477272727275</v>
      </c>
      <c r="G11" s="123">
        <f t="shared" si="5"/>
        <v>874.41477272727275</v>
      </c>
      <c r="H11" s="123">
        <f t="shared" si="5"/>
        <v>874.41477272727275</v>
      </c>
      <c r="I11" s="123">
        <f t="shared" si="5"/>
        <v>1402.4304545454545</v>
      </c>
      <c r="J11" s="123">
        <f t="shared" si="5"/>
        <v>1402.4304545454545</v>
      </c>
      <c r="K11" s="123">
        <f t="shared" si="5"/>
        <v>1402.4304545454545</v>
      </c>
      <c r="L11" s="123">
        <f t="shared" si="5"/>
        <v>1402.4304545454545</v>
      </c>
      <c r="M11" s="745">
        <f t="shared" si="5"/>
        <v>1402.4304545454545</v>
      </c>
      <c r="O11" s="2">
        <v>5</v>
      </c>
      <c r="P11" s="119" t="s">
        <v>98</v>
      </c>
      <c r="Q11" s="120">
        <v>12259.2</v>
      </c>
      <c r="R11" s="120">
        <v>49036.800000000003</v>
      </c>
      <c r="S11" s="121">
        <v>17221</v>
      </c>
      <c r="T11" s="122">
        <v>0</v>
      </c>
      <c r="U11" s="122">
        <v>0</v>
      </c>
      <c r="V11" s="121">
        <v>34442</v>
      </c>
      <c r="W11" s="121">
        <v>17221</v>
      </c>
      <c r="X11" s="122">
        <v>0</v>
      </c>
      <c r="Y11" s="118">
        <f t="shared" si="3"/>
        <v>0</v>
      </c>
      <c r="Z11" s="78">
        <f>'Parcel breakdown'!X10</f>
        <v>0</v>
      </c>
    </row>
    <row r="12" spans="1:26" ht="14" customHeight="1">
      <c r="A12" s="709" t="s">
        <v>220</v>
      </c>
      <c r="B12" s="36">
        <v>0.9</v>
      </c>
      <c r="C12" s="33">
        <f>C11*0.9</f>
        <v>0</v>
      </c>
      <c r="D12" s="33">
        <f t="shared" ref="D12:M12" si="6">D11*0.9</f>
        <v>0</v>
      </c>
      <c r="E12" s="123">
        <f t="shared" si="6"/>
        <v>786.97329545454545</v>
      </c>
      <c r="F12" s="123">
        <f t="shared" si="6"/>
        <v>786.97329545454545</v>
      </c>
      <c r="G12" s="123">
        <f t="shared" si="6"/>
        <v>786.97329545454545</v>
      </c>
      <c r="H12" s="123">
        <f t="shared" si="6"/>
        <v>786.97329545454545</v>
      </c>
      <c r="I12" s="123">
        <f t="shared" si="6"/>
        <v>1262.1874090909091</v>
      </c>
      <c r="J12" s="123">
        <f t="shared" si="6"/>
        <v>1262.1874090909091</v>
      </c>
      <c r="K12" s="123">
        <f t="shared" si="6"/>
        <v>1262.1874090909091</v>
      </c>
      <c r="L12" s="123">
        <f t="shared" si="6"/>
        <v>1262.1874090909091</v>
      </c>
      <c r="M12" s="745">
        <f t="shared" si="6"/>
        <v>1262.1874090909091</v>
      </c>
      <c r="O12" s="2">
        <v>6</v>
      </c>
      <c r="P12" s="124" t="s">
        <v>97</v>
      </c>
      <c r="Q12" s="125">
        <v>0</v>
      </c>
      <c r="R12" s="125">
        <v>0</v>
      </c>
      <c r="S12" s="126">
        <v>0</v>
      </c>
      <c r="T12" s="126">
        <v>0</v>
      </c>
      <c r="U12" s="126">
        <v>0</v>
      </c>
      <c r="V12" s="126">
        <v>0</v>
      </c>
      <c r="W12" s="126">
        <v>0</v>
      </c>
      <c r="X12" s="126">
        <v>0</v>
      </c>
      <c r="Y12" s="118">
        <f t="shared" si="3"/>
        <v>0</v>
      </c>
      <c r="Z12" s="78">
        <f>'Parcel breakdown'!X11</f>
        <v>0</v>
      </c>
    </row>
    <row r="13" spans="1:26" ht="14" customHeight="1">
      <c r="A13" s="227" t="s">
        <v>221</v>
      </c>
      <c r="B13" s="33"/>
      <c r="C13" s="33"/>
      <c r="D13" s="34"/>
      <c r="E13" s="34"/>
      <c r="F13" s="34"/>
      <c r="G13" s="34"/>
      <c r="H13" s="34"/>
      <c r="I13" s="34"/>
      <c r="J13" s="34"/>
      <c r="K13" s="34"/>
      <c r="L13" s="34"/>
      <c r="M13" s="229"/>
      <c r="O13" s="2">
        <v>7</v>
      </c>
      <c r="P13" s="124" t="s">
        <v>97</v>
      </c>
      <c r="Q13" s="125">
        <v>0</v>
      </c>
      <c r="R13" s="125">
        <v>0</v>
      </c>
      <c r="S13" s="126">
        <v>0</v>
      </c>
      <c r="T13" s="126">
        <v>0</v>
      </c>
      <c r="U13" s="127">
        <v>132702</v>
      </c>
      <c r="V13" s="126">
        <v>0</v>
      </c>
      <c r="W13" s="126">
        <v>0</v>
      </c>
      <c r="X13" s="126">
        <v>0</v>
      </c>
      <c r="Y13" s="118">
        <f t="shared" si="3"/>
        <v>0</v>
      </c>
      <c r="Z13" s="78">
        <f>'Parcel breakdown'!X12</f>
        <v>0</v>
      </c>
    </row>
    <row r="14" spans="1:26" ht="14" customHeight="1">
      <c r="A14" s="709" t="s">
        <v>222</v>
      </c>
      <c r="B14" s="36">
        <v>0.3</v>
      </c>
      <c r="C14" s="33">
        <v>0</v>
      </c>
      <c r="D14" s="34">
        <v>0</v>
      </c>
      <c r="E14" s="128">
        <f>+E8*$B$14</f>
        <v>291.47159090909093</v>
      </c>
      <c r="F14" s="128">
        <f t="shared" ref="F14:M14" si="7">+F8*$B$14</f>
        <v>291.47159090909093</v>
      </c>
      <c r="G14" s="128">
        <f t="shared" si="7"/>
        <v>291.47159090909093</v>
      </c>
      <c r="H14" s="128">
        <f t="shared" si="7"/>
        <v>291.47159090909093</v>
      </c>
      <c r="I14" s="128">
        <f t="shared" si="7"/>
        <v>467.47681818181815</v>
      </c>
      <c r="J14" s="128">
        <f t="shared" si="7"/>
        <v>467.47681818181815</v>
      </c>
      <c r="K14" s="128">
        <f t="shared" si="7"/>
        <v>467.47681818181815</v>
      </c>
      <c r="L14" s="128">
        <f t="shared" si="7"/>
        <v>467.47681818181815</v>
      </c>
      <c r="M14" s="746">
        <f t="shared" si="7"/>
        <v>467.47681818181815</v>
      </c>
      <c r="O14" s="2">
        <v>8</v>
      </c>
      <c r="P14" s="124" t="s">
        <v>99</v>
      </c>
      <c r="Q14" s="125">
        <v>20853.600000000002</v>
      </c>
      <c r="R14" s="125">
        <v>83414.400000000009</v>
      </c>
      <c r="S14" s="127">
        <v>4964.25</v>
      </c>
      <c r="T14" s="126">
        <v>0</v>
      </c>
      <c r="U14" s="127">
        <v>14892.75</v>
      </c>
      <c r="V14" s="126">
        <v>0</v>
      </c>
      <c r="W14" s="126">
        <v>0</v>
      </c>
      <c r="X14" s="127">
        <v>59571</v>
      </c>
      <c r="Y14" s="118">
        <f t="shared" si="3"/>
        <v>180.51818181818183</v>
      </c>
      <c r="Z14" s="78">
        <f>'Parcel breakdown'!X13</f>
        <v>3654255.3428571434</v>
      </c>
    </row>
    <row r="15" spans="1:26" ht="14" customHeight="1">
      <c r="A15" s="709" t="s">
        <v>223</v>
      </c>
      <c r="B15" s="33">
        <v>115</v>
      </c>
      <c r="C15" s="33"/>
      <c r="D15" s="34"/>
      <c r="E15" s="34"/>
      <c r="F15" s="34"/>
      <c r="G15" s="34"/>
      <c r="H15" s="34"/>
      <c r="I15" s="34"/>
      <c r="J15" s="34"/>
      <c r="K15" s="34"/>
      <c r="L15" s="34"/>
      <c r="M15" s="229"/>
      <c r="O15" s="2">
        <v>9</v>
      </c>
      <c r="P15" s="119" t="s">
        <v>98</v>
      </c>
      <c r="Q15" s="120">
        <v>6108</v>
      </c>
      <c r="R15" s="120">
        <v>24432</v>
      </c>
      <c r="S15" s="121">
        <v>13459</v>
      </c>
      <c r="T15" s="122">
        <v>0</v>
      </c>
      <c r="U15" s="122">
        <v>0</v>
      </c>
      <c r="V15" s="121">
        <v>26918</v>
      </c>
      <c r="W15" s="121">
        <v>13459</v>
      </c>
      <c r="X15" s="122">
        <v>0</v>
      </c>
      <c r="Y15" s="118">
        <f t="shared" si="3"/>
        <v>0</v>
      </c>
      <c r="Z15" s="78">
        <f>'Parcel breakdown'!X14</f>
        <v>0</v>
      </c>
    </row>
    <row r="16" spans="1:26" ht="14" customHeight="1">
      <c r="A16" s="709" t="s">
        <v>224</v>
      </c>
      <c r="B16" s="33">
        <v>12</v>
      </c>
      <c r="C16" s="33"/>
      <c r="D16" s="34"/>
      <c r="E16" s="34"/>
      <c r="F16" s="34"/>
      <c r="G16" s="34"/>
      <c r="H16" s="34"/>
      <c r="I16" s="34"/>
      <c r="J16" s="34"/>
      <c r="K16" s="34"/>
      <c r="L16" s="34"/>
      <c r="M16" s="229"/>
      <c r="O16" s="2">
        <v>10</v>
      </c>
      <c r="P16" s="119" t="s">
        <v>97</v>
      </c>
      <c r="Q16" s="120">
        <v>0</v>
      </c>
      <c r="R16" s="120">
        <v>0</v>
      </c>
      <c r="S16" s="121">
        <v>6167.75</v>
      </c>
      <c r="T16" s="122">
        <v>0</v>
      </c>
      <c r="U16" s="122">
        <v>0</v>
      </c>
      <c r="V16" s="121">
        <v>33038</v>
      </c>
      <c r="W16" s="121">
        <v>18503.25</v>
      </c>
      <c r="X16" s="121">
        <v>24671</v>
      </c>
      <c r="Y16" s="118">
        <f t="shared" si="3"/>
        <v>74.760606060606065</v>
      </c>
      <c r="Z16" s="78">
        <f>'Parcel breakdown'!X15</f>
        <v>1513389.6285714288</v>
      </c>
    </row>
    <row r="17" spans="1:26" ht="14" customHeight="1">
      <c r="A17" s="709" t="s">
        <v>225</v>
      </c>
      <c r="B17" s="36">
        <v>0.9</v>
      </c>
      <c r="C17" s="33">
        <v>0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229">
        <v>0</v>
      </c>
      <c r="O17" s="2">
        <v>11</v>
      </c>
      <c r="P17" s="124" t="s">
        <v>97</v>
      </c>
      <c r="Q17" s="125">
        <v>14287.6</v>
      </c>
      <c r="R17" s="125">
        <v>57150.400000000001</v>
      </c>
      <c r="S17" s="126">
        <v>0</v>
      </c>
      <c r="T17" s="126">
        <v>0</v>
      </c>
      <c r="U17" s="126">
        <v>0</v>
      </c>
      <c r="V17" s="126">
        <v>0</v>
      </c>
      <c r="W17" s="126">
        <v>0</v>
      </c>
      <c r="X17" s="126">
        <v>0</v>
      </c>
      <c r="Y17" s="118">
        <f t="shared" si="3"/>
        <v>0</v>
      </c>
      <c r="Z17" s="78">
        <f>'Parcel breakdown'!X16</f>
        <v>0</v>
      </c>
    </row>
    <row r="18" spans="1:26" ht="14" customHeight="1">
      <c r="A18" s="709" t="s">
        <v>226</v>
      </c>
      <c r="B18" s="33">
        <v>250</v>
      </c>
      <c r="C18" s="33"/>
      <c r="D18" s="34"/>
      <c r="E18" s="567">
        <f>E14*$B$18</f>
        <v>72867.897727272735</v>
      </c>
      <c r="F18" s="567">
        <f t="shared" ref="F18:M18" si="8">F14*$B$18</f>
        <v>72867.897727272735</v>
      </c>
      <c r="G18" s="567">
        <f t="shared" si="8"/>
        <v>72867.897727272735</v>
      </c>
      <c r="H18" s="567">
        <f t="shared" si="8"/>
        <v>72867.897727272735</v>
      </c>
      <c r="I18" s="567">
        <f t="shared" si="8"/>
        <v>116869.20454545453</v>
      </c>
      <c r="J18" s="567">
        <f t="shared" si="8"/>
        <v>116869.20454545453</v>
      </c>
      <c r="K18" s="567">
        <f t="shared" si="8"/>
        <v>116869.20454545453</v>
      </c>
      <c r="L18" s="567">
        <f t="shared" si="8"/>
        <v>116869.20454545453</v>
      </c>
      <c r="M18" s="747">
        <f t="shared" si="8"/>
        <v>116869.20454545453</v>
      </c>
      <c r="O18" s="2">
        <v>12</v>
      </c>
      <c r="P18" s="124" t="s">
        <v>99</v>
      </c>
      <c r="Q18" s="125">
        <v>20853.600000000002</v>
      </c>
      <c r="R18" s="125">
        <v>83414.400000000009</v>
      </c>
      <c r="S18" s="127">
        <v>4964.25</v>
      </c>
      <c r="T18" s="126">
        <v>0</v>
      </c>
      <c r="U18" s="127">
        <v>14892.75</v>
      </c>
      <c r="V18" s="126">
        <v>0</v>
      </c>
      <c r="W18" s="126">
        <v>0</v>
      </c>
      <c r="X18" s="127">
        <v>59571</v>
      </c>
      <c r="Y18" s="118">
        <f t="shared" si="3"/>
        <v>180.51818181818183</v>
      </c>
      <c r="Z18" s="78">
        <f>'Parcel breakdown'!X17</f>
        <v>3654255.3428571434</v>
      </c>
    </row>
    <row r="19" spans="1:26" ht="14" customHeight="1">
      <c r="A19" s="709" t="s">
        <v>224</v>
      </c>
      <c r="B19" s="33">
        <v>12</v>
      </c>
      <c r="C19" s="33"/>
      <c r="D19" s="34"/>
      <c r="E19" s="567">
        <f>E18*12</f>
        <v>874414.77272727282</v>
      </c>
      <c r="F19" s="567">
        <f t="shared" ref="F19:M19" si="9">F18*12</f>
        <v>874414.77272727282</v>
      </c>
      <c r="G19" s="567">
        <f t="shared" si="9"/>
        <v>874414.77272727282</v>
      </c>
      <c r="H19" s="567">
        <f t="shared" si="9"/>
        <v>874414.77272727282</v>
      </c>
      <c r="I19" s="567">
        <f t="shared" si="9"/>
        <v>1402430.4545454544</v>
      </c>
      <c r="J19" s="567">
        <f t="shared" si="9"/>
        <v>1402430.4545454544</v>
      </c>
      <c r="K19" s="567">
        <f t="shared" si="9"/>
        <v>1402430.4545454544</v>
      </c>
      <c r="L19" s="567">
        <f t="shared" si="9"/>
        <v>1402430.4545454544</v>
      </c>
      <c r="M19" s="747">
        <f t="shared" si="9"/>
        <v>1402430.4545454544</v>
      </c>
      <c r="Z19" s="78">
        <f>'Parcel breakdown'!X18</f>
        <v>31544000.042857148</v>
      </c>
    </row>
    <row r="20" spans="1:26" ht="14" customHeight="1">
      <c r="A20" s="709" t="s">
        <v>225</v>
      </c>
      <c r="B20" s="36">
        <v>0.9</v>
      </c>
      <c r="C20" s="33"/>
      <c r="D20" s="34"/>
      <c r="E20" s="567">
        <f>0.9*E19</f>
        <v>786973.29545454553</v>
      </c>
      <c r="F20" s="567">
        <f t="shared" ref="F20:M20" si="10">0.9*F19</f>
        <v>786973.29545454553</v>
      </c>
      <c r="G20" s="567">
        <f t="shared" si="10"/>
        <v>786973.29545454553</v>
      </c>
      <c r="H20" s="567">
        <f t="shared" si="10"/>
        <v>786973.29545454553</v>
      </c>
      <c r="I20" s="567">
        <f t="shared" si="10"/>
        <v>1262187.4090909089</v>
      </c>
      <c r="J20" s="567">
        <f t="shared" si="10"/>
        <v>1262187.4090909089</v>
      </c>
      <c r="K20" s="567">
        <f t="shared" si="10"/>
        <v>1262187.4090909089</v>
      </c>
      <c r="L20" s="567">
        <f t="shared" si="10"/>
        <v>1262187.4090909089</v>
      </c>
      <c r="M20" s="747">
        <f t="shared" si="10"/>
        <v>1262187.4090909089</v>
      </c>
      <c r="Z20" s="78">
        <f>'Parcel breakdown'!X19</f>
        <v>19667670.178571429</v>
      </c>
    </row>
    <row r="21" spans="1:26" ht="14" customHeight="1">
      <c r="A21" s="709" t="s">
        <v>227</v>
      </c>
      <c r="B21" s="54">
        <v>2</v>
      </c>
      <c r="C21" s="33"/>
      <c r="D21" s="34"/>
      <c r="E21" s="47">
        <f>E20*2</f>
        <v>1573946.5909090911</v>
      </c>
      <c r="F21" s="47">
        <f t="shared" ref="F21:M21" si="11">F20*2</f>
        <v>1573946.5909090911</v>
      </c>
      <c r="G21" s="47">
        <f t="shared" si="11"/>
        <v>1573946.5909090911</v>
      </c>
      <c r="H21" s="47">
        <f t="shared" si="11"/>
        <v>1573946.5909090911</v>
      </c>
      <c r="I21" s="47">
        <f t="shared" si="11"/>
        <v>2524374.8181818179</v>
      </c>
      <c r="J21" s="47">
        <f t="shared" si="11"/>
        <v>2524374.8181818179</v>
      </c>
      <c r="K21" s="47">
        <f t="shared" si="11"/>
        <v>2524374.8181818179</v>
      </c>
      <c r="L21" s="47">
        <f t="shared" si="11"/>
        <v>2524374.8181818179</v>
      </c>
      <c r="M21" s="989">
        <f t="shared" si="11"/>
        <v>2524374.8181818179</v>
      </c>
      <c r="Z21" s="78">
        <f>'Parcel breakdown'!X20</f>
        <v>0</v>
      </c>
    </row>
    <row r="22" spans="1:26" ht="14" customHeight="1">
      <c r="A22" s="227" t="s">
        <v>228</v>
      </c>
      <c r="B22" s="54">
        <v>500</v>
      </c>
      <c r="C22" s="33"/>
      <c r="D22" s="34"/>
      <c r="E22" s="1049">
        <f>$B$22*E8</f>
        <v>485785.98484848486</v>
      </c>
      <c r="F22" s="1049">
        <f t="shared" ref="F22:M22" si="12">$B$22*F8</f>
        <v>485785.98484848486</v>
      </c>
      <c r="G22" s="1049">
        <f t="shared" si="12"/>
        <v>485785.98484848486</v>
      </c>
      <c r="H22" s="1049">
        <f t="shared" si="12"/>
        <v>485785.98484848486</v>
      </c>
      <c r="I22" s="1049">
        <f t="shared" si="12"/>
        <v>779128.03030303027</v>
      </c>
      <c r="J22" s="1049">
        <f t="shared" si="12"/>
        <v>779128.03030303027</v>
      </c>
      <c r="K22" s="1049">
        <f t="shared" si="12"/>
        <v>779128.03030303027</v>
      </c>
      <c r="L22" s="1049">
        <f t="shared" si="12"/>
        <v>779128.03030303027</v>
      </c>
      <c r="M22" s="1050">
        <f t="shared" si="12"/>
        <v>779128.03030303027</v>
      </c>
      <c r="Z22" s="78">
        <f>'Parcel breakdown'!X21</f>
        <v>11876329.864285715</v>
      </c>
    </row>
    <row r="23" spans="1:26" ht="14" customHeight="1">
      <c r="A23" s="748" t="s">
        <v>229</v>
      </c>
      <c r="B23" s="33"/>
      <c r="C23" s="33"/>
      <c r="D23" s="34"/>
      <c r="E23" s="71">
        <f>E22/(E21+E12*E10)</f>
        <v>0.27903098405584809</v>
      </c>
      <c r="F23" s="71">
        <f t="shared" ref="F23:M23" si="13">F22/(F21+F12*F10)</f>
        <v>0.27849660692950451</v>
      </c>
      <c r="G23" s="71">
        <f t="shared" si="13"/>
        <v>0.27795364675272971</v>
      </c>
      <c r="H23" s="71">
        <f t="shared" si="13"/>
        <v>0.27740200410363841</v>
      </c>
      <c r="I23" s="71">
        <f t="shared" si="13"/>
        <v>0.27684157981442103</v>
      </c>
      <c r="J23" s="71">
        <f t="shared" si="13"/>
        <v>0.27627227503328355</v>
      </c>
      <c r="K23" s="71">
        <f t="shared" si="13"/>
        <v>0.27569399128838473</v>
      </c>
      <c r="L23" s="71">
        <f t="shared" si="13"/>
        <v>0.27510663055378026</v>
      </c>
      <c r="M23" s="230">
        <f t="shared" si="13"/>
        <v>0.27451009531738196</v>
      </c>
      <c r="Z23" s="78"/>
    </row>
    <row r="24" spans="1:26" ht="18" customHeight="1">
      <c r="A24" s="573" t="s">
        <v>34</v>
      </c>
      <c r="B24" s="62"/>
      <c r="C24" s="62"/>
      <c r="D24" s="19"/>
      <c r="E24" s="19"/>
      <c r="F24" s="19"/>
      <c r="G24" s="19"/>
      <c r="H24" s="19"/>
      <c r="I24" s="19"/>
      <c r="J24" s="19"/>
      <c r="K24" s="19"/>
      <c r="L24" s="19"/>
      <c r="M24" s="749"/>
      <c r="Z24" s="78"/>
    </row>
    <row r="25" spans="1:26" ht="14" customHeight="1">
      <c r="A25" s="227" t="s">
        <v>230</v>
      </c>
      <c r="B25" s="33"/>
      <c r="C25" s="33"/>
      <c r="D25" s="34"/>
      <c r="E25" s="34"/>
      <c r="F25" s="34"/>
      <c r="G25" s="34"/>
      <c r="H25" s="34"/>
      <c r="I25" s="34"/>
      <c r="J25" s="34"/>
      <c r="K25" s="34"/>
      <c r="L25" s="34"/>
      <c r="M25" s="229"/>
      <c r="Z25" s="78"/>
    </row>
    <row r="26" spans="1:26" ht="14" customHeight="1">
      <c r="A26" s="709" t="s">
        <v>231</v>
      </c>
      <c r="B26" s="33"/>
      <c r="C26" s="266">
        <f>C10*C12</f>
        <v>0</v>
      </c>
      <c r="D26" s="266">
        <f t="shared" ref="D26" si="14">D10*D12</f>
        <v>0</v>
      </c>
      <c r="E26" s="266">
        <f>E10*E12*12</f>
        <v>2004341.6566145457</v>
      </c>
      <c r="F26" s="266">
        <f t="shared" ref="F26:M26" si="15">F10*F12*12</f>
        <v>2044428.4897468365</v>
      </c>
      <c r="G26" s="266">
        <f t="shared" si="15"/>
        <v>2085317.0595417731</v>
      </c>
      <c r="H26" s="266">
        <f t="shared" si="15"/>
        <v>2127023.400732609</v>
      </c>
      <c r="I26" s="266">
        <f t="shared" si="15"/>
        <v>3479655.8081042538</v>
      </c>
      <c r="J26" s="266">
        <f t="shared" si="15"/>
        <v>3549248.9242663393</v>
      </c>
      <c r="K26" s="266">
        <f t="shared" si="15"/>
        <v>3620233.9027516665</v>
      </c>
      <c r="L26" s="266">
        <f t="shared" si="15"/>
        <v>3692638.5808066996</v>
      </c>
      <c r="M26" s="730">
        <f t="shared" si="15"/>
        <v>3766491.3524228339</v>
      </c>
      <c r="Z26" s="78"/>
    </row>
    <row r="27" spans="1:26" ht="14" customHeight="1">
      <c r="A27" s="709" t="s">
        <v>232</v>
      </c>
      <c r="B27" s="33"/>
      <c r="C27" s="266">
        <f>C21</f>
        <v>0</v>
      </c>
      <c r="D27" s="266">
        <f t="shared" ref="D27:M27" si="16">D21</f>
        <v>0</v>
      </c>
      <c r="E27" s="266">
        <f t="shared" si="16"/>
        <v>1573946.5909090911</v>
      </c>
      <c r="F27" s="266">
        <f t="shared" si="16"/>
        <v>1573946.5909090911</v>
      </c>
      <c r="G27" s="266">
        <f t="shared" si="16"/>
        <v>1573946.5909090911</v>
      </c>
      <c r="H27" s="266">
        <f t="shared" si="16"/>
        <v>1573946.5909090911</v>
      </c>
      <c r="I27" s="266">
        <f t="shared" si="16"/>
        <v>2524374.8181818179</v>
      </c>
      <c r="J27" s="266">
        <f t="shared" si="16"/>
        <v>2524374.8181818179</v>
      </c>
      <c r="K27" s="266">
        <f t="shared" si="16"/>
        <v>2524374.8181818179</v>
      </c>
      <c r="L27" s="266">
        <f t="shared" si="16"/>
        <v>2524374.8181818179</v>
      </c>
      <c r="M27" s="730">
        <f t="shared" si="16"/>
        <v>2524374.8181818179</v>
      </c>
    </row>
    <row r="28" spans="1:26" ht="14" customHeight="1">
      <c r="A28" s="227" t="s">
        <v>233</v>
      </c>
      <c r="B28" s="33"/>
      <c r="C28" s="266">
        <f>SUM(C26:C27)</f>
        <v>0</v>
      </c>
      <c r="D28" s="266">
        <f t="shared" ref="D28:M28" si="17">SUM(D26:D27)</f>
        <v>0</v>
      </c>
      <c r="E28" s="266">
        <f t="shared" si="17"/>
        <v>3578288.2475236366</v>
      </c>
      <c r="F28" s="266">
        <f t="shared" si="17"/>
        <v>3618375.0806559278</v>
      </c>
      <c r="G28" s="266">
        <f t="shared" si="17"/>
        <v>3659263.6504508639</v>
      </c>
      <c r="H28" s="266">
        <f t="shared" si="17"/>
        <v>3700969.9916417003</v>
      </c>
      <c r="I28" s="266">
        <f t="shared" si="17"/>
        <v>6004030.6262860717</v>
      </c>
      <c r="J28" s="266">
        <f t="shared" si="17"/>
        <v>6073623.7424481567</v>
      </c>
      <c r="K28" s="266">
        <f t="shared" si="17"/>
        <v>6144608.7209334839</v>
      </c>
      <c r="L28" s="266">
        <f t="shared" si="17"/>
        <v>6217013.398988517</v>
      </c>
      <c r="M28" s="730">
        <f t="shared" si="17"/>
        <v>6290866.1706046518</v>
      </c>
    </row>
    <row r="29" spans="1:26" ht="14" customHeight="1">
      <c r="A29" s="232" t="s">
        <v>228</v>
      </c>
      <c r="B29" s="42"/>
      <c r="C29" s="109">
        <f>-C22</f>
        <v>0</v>
      </c>
      <c r="D29" s="109">
        <f t="shared" ref="D29:M29" si="18">-D22</f>
        <v>0</v>
      </c>
      <c r="E29" s="109">
        <f t="shared" si="18"/>
        <v>-485785.98484848486</v>
      </c>
      <c r="F29" s="109">
        <f t="shared" si="18"/>
        <v>-485785.98484848486</v>
      </c>
      <c r="G29" s="109">
        <f t="shared" si="18"/>
        <v>-485785.98484848486</v>
      </c>
      <c r="H29" s="109">
        <f t="shared" si="18"/>
        <v>-485785.98484848486</v>
      </c>
      <c r="I29" s="109">
        <f t="shared" si="18"/>
        <v>-779128.03030303027</v>
      </c>
      <c r="J29" s="109">
        <f t="shared" si="18"/>
        <v>-779128.03030303027</v>
      </c>
      <c r="K29" s="109">
        <f t="shared" si="18"/>
        <v>-779128.03030303027</v>
      </c>
      <c r="L29" s="109">
        <f t="shared" si="18"/>
        <v>-779128.03030303027</v>
      </c>
      <c r="M29" s="731">
        <f t="shared" si="18"/>
        <v>-779128.03030303027</v>
      </c>
    </row>
    <row r="30" spans="1:26" ht="14" customHeight="1">
      <c r="A30" s="449" t="s">
        <v>34</v>
      </c>
      <c r="B30" s="33"/>
      <c r="C30" s="266">
        <f>C28+C29</f>
        <v>0</v>
      </c>
      <c r="D30" s="266">
        <f t="shared" ref="D30:M30" si="19">D28+D29</f>
        <v>0</v>
      </c>
      <c r="E30" s="266">
        <f t="shared" si="19"/>
        <v>3092502.2626751517</v>
      </c>
      <c r="F30" s="266">
        <f t="shared" si="19"/>
        <v>3132589.0958074429</v>
      </c>
      <c r="G30" s="266">
        <f t="shared" si="19"/>
        <v>3173477.665602379</v>
      </c>
      <c r="H30" s="266">
        <f t="shared" si="19"/>
        <v>3215184.0067932154</v>
      </c>
      <c r="I30" s="266">
        <f t="shared" si="19"/>
        <v>5224902.5959830415</v>
      </c>
      <c r="J30" s="266">
        <f t="shared" si="19"/>
        <v>5294495.7121451264</v>
      </c>
      <c r="K30" s="266">
        <f t="shared" si="19"/>
        <v>5365480.6906304536</v>
      </c>
      <c r="L30" s="266">
        <f t="shared" si="19"/>
        <v>5437885.3686854867</v>
      </c>
      <c r="M30" s="730">
        <f t="shared" si="19"/>
        <v>5511738.1403016215</v>
      </c>
    </row>
    <row r="31" spans="1:26" ht="18" customHeight="1">
      <c r="A31" s="573" t="s">
        <v>20</v>
      </c>
      <c r="B31" s="62"/>
      <c r="C31" s="129"/>
      <c r="D31" s="130"/>
      <c r="E31" s="130"/>
      <c r="F31" s="130"/>
      <c r="G31" s="130"/>
      <c r="H31" s="130"/>
      <c r="I31" s="130"/>
      <c r="J31" s="130"/>
      <c r="K31" s="130"/>
      <c r="L31" s="130"/>
      <c r="M31" s="750"/>
      <c r="V31" s="131">
        <v>1518897.35</v>
      </c>
    </row>
    <row r="32" spans="1:26" s="69" customFormat="1" ht="14" customHeight="1">
      <c r="A32" s="751" t="s">
        <v>159</v>
      </c>
      <c r="B32" s="94"/>
      <c r="C32" s="94">
        <v>0</v>
      </c>
      <c r="D32" s="71">
        <v>0</v>
      </c>
      <c r="E32" s="71">
        <f>E8/M8</f>
        <v>0.62349956098941228</v>
      </c>
      <c r="F32" s="71">
        <f>E32</f>
        <v>0.62349956098941228</v>
      </c>
      <c r="G32" s="71">
        <f t="shared" ref="G32:H32" si="20">F32</f>
        <v>0.62349956098941228</v>
      </c>
      <c r="H32" s="71">
        <f t="shared" si="20"/>
        <v>0.62349956098941228</v>
      </c>
      <c r="I32" s="71">
        <f>100%</f>
        <v>1</v>
      </c>
      <c r="J32" s="71">
        <f>100%</f>
        <v>1</v>
      </c>
      <c r="K32" s="71">
        <f>100%</f>
        <v>1</v>
      </c>
      <c r="L32" s="71">
        <f>100%</f>
        <v>1</v>
      </c>
      <c r="M32" s="230">
        <f>100%</f>
        <v>1</v>
      </c>
      <c r="V32" s="132">
        <v>561659.56870944973</v>
      </c>
    </row>
    <row r="33" spans="1:22" ht="14" customHeight="1">
      <c r="A33" s="709" t="s">
        <v>160</v>
      </c>
      <c r="B33" s="33"/>
      <c r="C33" s="267">
        <f>'Detailed Uses'!$S$25/2</f>
        <v>10848333.917464422</v>
      </c>
      <c r="D33" s="267">
        <f>'Detailed Uses'!$S$25/2</f>
        <v>10848333.917464422</v>
      </c>
      <c r="E33" s="267">
        <f>'Detailed Uses'!$AC$25/2</f>
        <v>0</v>
      </c>
      <c r="F33" s="267">
        <f>'Detailed Uses'!$AC$25/2</f>
        <v>0</v>
      </c>
      <c r="G33" s="562">
        <f ca="1">'Detailed Uses'!$AM$25/2</f>
        <v>6884614.634705944</v>
      </c>
      <c r="H33" s="562">
        <f ca="1">'Detailed Uses'!$AM$25/2</f>
        <v>6884614.634705944</v>
      </c>
      <c r="I33" s="562">
        <v>0</v>
      </c>
      <c r="J33" s="562">
        <v>0</v>
      </c>
      <c r="K33" s="562">
        <v>0</v>
      </c>
      <c r="L33" s="562">
        <v>0</v>
      </c>
      <c r="M33" s="754">
        <v>0</v>
      </c>
      <c r="V33" s="131">
        <v>403623.52500000002</v>
      </c>
    </row>
    <row r="34" spans="1:22" ht="14" customHeight="1">
      <c r="A34" s="709" t="s">
        <v>161</v>
      </c>
      <c r="B34" s="33"/>
      <c r="C34" s="267">
        <f ca="1">'Detailed Uses'!$S$44/2</f>
        <v>3279957.9506936586</v>
      </c>
      <c r="D34" s="267">
        <f ca="1">'Detailed Uses'!$S$44/2</f>
        <v>3279957.9506936586</v>
      </c>
      <c r="E34" s="267">
        <f ca="1">'Detailed Uses'!$AC$44/2</f>
        <v>0</v>
      </c>
      <c r="F34" s="267">
        <f ca="1">'Detailed Uses'!$AC$44/2</f>
        <v>0</v>
      </c>
      <c r="G34" s="562">
        <f ca="1">'Detailed Uses'!$AM$44/2</f>
        <v>2532824.7869155062</v>
      </c>
      <c r="H34" s="562">
        <f ca="1">'Detailed Uses'!$AM$44/2</f>
        <v>2532824.7869155062</v>
      </c>
      <c r="I34" s="562">
        <v>0</v>
      </c>
      <c r="J34" s="562">
        <v>0</v>
      </c>
      <c r="K34" s="562">
        <v>0</v>
      </c>
      <c r="L34" s="562">
        <v>0</v>
      </c>
      <c r="M34" s="754">
        <v>0</v>
      </c>
      <c r="V34" s="133"/>
    </row>
    <row r="35" spans="1:22" ht="14" customHeight="1">
      <c r="A35" s="709" t="s">
        <v>26</v>
      </c>
      <c r="B35" s="33"/>
      <c r="C35" s="267">
        <f>'Detailed Uses'!$S$60/2</f>
        <v>107539.15759434953</v>
      </c>
      <c r="D35" s="267">
        <f>'Detailed Uses'!$S$60/2</f>
        <v>107539.15759434953</v>
      </c>
      <c r="E35" s="267">
        <f>'Detailed Uses'!$AC$60/2</f>
        <v>0</v>
      </c>
      <c r="F35" s="267">
        <f>'Detailed Uses'!$AC$60/2</f>
        <v>0</v>
      </c>
      <c r="G35" s="562">
        <f>'Detailed Uses'!$AM$60/2</f>
        <v>68717.477957139519</v>
      </c>
      <c r="H35" s="562">
        <f>'Detailed Uses'!$AM$60/2</f>
        <v>68717.477957139519</v>
      </c>
      <c r="I35" s="562">
        <v>0</v>
      </c>
      <c r="J35" s="562">
        <v>0</v>
      </c>
      <c r="K35" s="562">
        <v>0</v>
      </c>
      <c r="L35" s="562">
        <v>0</v>
      </c>
      <c r="M35" s="754">
        <v>0</v>
      </c>
      <c r="V35" s="133"/>
    </row>
    <row r="36" spans="1:22" ht="14" customHeight="1">
      <c r="A36" s="709" t="s">
        <v>27</v>
      </c>
      <c r="B36" s="33"/>
      <c r="C36" s="267">
        <f ca="1">'Detailed Uses'!$S$64/2</f>
        <v>1334255.4285062919</v>
      </c>
      <c r="D36" s="267">
        <f ca="1">'Detailed Uses'!$S$64/2</f>
        <v>1334255.4285062919</v>
      </c>
      <c r="E36" s="267">
        <f ca="1">'Detailed Uses'!$AC$64/2</f>
        <v>0</v>
      </c>
      <c r="F36" s="267">
        <f ca="1">'Detailed Uses'!$AC$64/2</f>
        <v>0</v>
      </c>
      <c r="G36" s="562">
        <f ca="1">'Detailed Uses'!$AM$64/2</f>
        <v>611092.35198346153</v>
      </c>
      <c r="H36" s="562">
        <f ca="1">'Detailed Uses'!$AM$64/2</f>
        <v>611092.35198346153</v>
      </c>
      <c r="I36" s="562">
        <v>0</v>
      </c>
      <c r="J36" s="562">
        <v>0</v>
      </c>
      <c r="K36" s="562">
        <v>0</v>
      </c>
      <c r="L36" s="562">
        <v>0</v>
      </c>
      <c r="M36" s="754">
        <v>0</v>
      </c>
      <c r="V36" s="133"/>
    </row>
    <row r="37" spans="1:22" ht="14" customHeight="1">
      <c r="A37" s="709" t="s">
        <v>28</v>
      </c>
      <c r="B37" s="33"/>
      <c r="C37" s="267">
        <f>'Detailed Uses'!$S$11/2</f>
        <v>914408.45027743536</v>
      </c>
      <c r="D37" s="267">
        <f>'Detailed Uses'!$S$11/2</f>
        <v>914408.45027743536</v>
      </c>
      <c r="E37" s="267">
        <f>'Detailed Uses'!$AC$11/2</f>
        <v>0</v>
      </c>
      <c r="F37" s="267">
        <f>'Detailed Uses'!$AC$11/2</f>
        <v>0</v>
      </c>
      <c r="G37" s="562">
        <f>'Detailed Uses'!$AM$11/2</f>
        <v>3298914.733881332</v>
      </c>
      <c r="H37" s="562">
        <f>'Detailed Uses'!$AM$11/2</f>
        <v>3298914.733881332</v>
      </c>
      <c r="I37" s="562">
        <v>0</v>
      </c>
      <c r="J37" s="562">
        <v>0</v>
      </c>
      <c r="K37" s="562">
        <v>0</v>
      </c>
      <c r="L37" s="562">
        <v>0</v>
      </c>
      <c r="M37" s="754">
        <v>0</v>
      </c>
      <c r="V37" s="133"/>
    </row>
    <row r="38" spans="1:22" ht="14" customHeight="1">
      <c r="A38" s="715" t="s">
        <v>29</v>
      </c>
      <c r="B38" s="22"/>
      <c r="C38" s="1047">
        <f>'Detailed Uses'!$S$17/2</f>
        <v>4411914.241522897</v>
      </c>
      <c r="D38" s="1047">
        <f>'Detailed Uses'!$S$17/2</f>
        <v>4411914.241522897</v>
      </c>
      <c r="E38" s="1047">
        <f>'Detailed Uses'!$AC$17/2</f>
        <v>0</v>
      </c>
      <c r="F38" s="1047">
        <f>'Detailed Uses'!$AC$17/2</f>
        <v>0</v>
      </c>
      <c r="G38" s="1048">
        <f>'Detailed Uses'!$AM$17/2</f>
        <v>1155358.9514265417</v>
      </c>
      <c r="H38" s="1048">
        <f>'Detailed Uses'!$AM$17/2</f>
        <v>1155358.9514265417</v>
      </c>
      <c r="I38" s="564">
        <v>0</v>
      </c>
      <c r="J38" s="564">
        <v>0</v>
      </c>
      <c r="K38" s="564">
        <v>0</v>
      </c>
      <c r="L38" s="564">
        <v>0</v>
      </c>
      <c r="M38" s="755">
        <v>0</v>
      </c>
    </row>
    <row r="39" spans="1:22" ht="14" customHeight="1" thickBot="1">
      <c r="A39" s="752" t="s">
        <v>32</v>
      </c>
      <c r="B39" s="134"/>
      <c r="C39" s="135">
        <f ca="1">SUM(C33:C38)</f>
        <v>20896409.146059051</v>
      </c>
      <c r="D39" s="135">
        <f t="shared" ref="D39:M39" ca="1" si="21">SUM(D33:D38)</f>
        <v>20896409.146059051</v>
      </c>
      <c r="E39" s="135">
        <f t="shared" ca="1" si="21"/>
        <v>0</v>
      </c>
      <c r="F39" s="135">
        <f t="shared" ca="1" si="21"/>
        <v>0</v>
      </c>
      <c r="G39" s="135">
        <f t="shared" ca="1" si="21"/>
        <v>14551522.936869923</v>
      </c>
      <c r="H39" s="135">
        <f t="shared" ca="1" si="21"/>
        <v>14551522.936869923</v>
      </c>
      <c r="I39" s="135">
        <f t="shared" si="21"/>
        <v>0</v>
      </c>
      <c r="J39" s="135">
        <f t="shared" si="21"/>
        <v>0</v>
      </c>
      <c r="K39" s="135">
        <f t="shared" si="21"/>
        <v>0</v>
      </c>
      <c r="L39" s="135">
        <f t="shared" si="21"/>
        <v>0</v>
      </c>
      <c r="M39" s="753">
        <f t="shared" si="21"/>
        <v>0</v>
      </c>
      <c r="Q39" s="136">
        <v>26102130</v>
      </c>
      <c r="R39" s="136">
        <v>5452230</v>
      </c>
      <c r="S39" s="136">
        <v>4613265</v>
      </c>
      <c r="T39" s="137">
        <v>36167625</v>
      </c>
    </row>
    <row r="40" spans="1:22" ht="18" customHeight="1">
      <c r="A40" s="573" t="s">
        <v>33</v>
      </c>
      <c r="B40" s="62"/>
      <c r="C40" s="129"/>
      <c r="D40" s="130"/>
      <c r="E40" s="130"/>
      <c r="F40" s="130"/>
      <c r="G40" s="130"/>
      <c r="H40" s="130"/>
      <c r="I40" s="130"/>
      <c r="J40" s="130"/>
      <c r="K40" s="130"/>
      <c r="L40" s="130"/>
      <c r="M40" s="750"/>
    </row>
    <row r="41" spans="1:22" ht="14" customHeight="1">
      <c r="A41" s="227" t="s">
        <v>34</v>
      </c>
      <c r="B41" s="33"/>
      <c r="C41" s="266">
        <f>C30</f>
        <v>0</v>
      </c>
      <c r="D41" s="266">
        <f t="shared" ref="D41:M41" si="22">D30</f>
        <v>0</v>
      </c>
      <c r="E41" s="266">
        <f t="shared" si="22"/>
        <v>3092502.2626751517</v>
      </c>
      <c r="F41" s="266">
        <f t="shared" si="22"/>
        <v>3132589.0958074429</v>
      </c>
      <c r="G41" s="266">
        <f t="shared" si="22"/>
        <v>3173477.665602379</v>
      </c>
      <c r="H41" s="266">
        <f t="shared" si="22"/>
        <v>3215184.0067932154</v>
      </c>
      <c r="I41" s="266">
        <f t="shared" si="22"/>
        <v>5224902.5959830415</v>
      </c>
      <c r="J41" s="266">
        <f t="shared" si="22"/>
        <v>5294495.7121451264</v>
      </c>
      <c r="K41" s="266">
        <f t="shared" si="22"/>
        <v>5365480.6906304536</v>
      </c>
      <c r="L41" s="266">
        <f t="shared" si="22"/>
        <v>5437885.3686854867</v>
      </c>
      <c r="M41" s="730">
        <f t="shared" si="22"/>
        <v>5511738.1403016215</v>
      </c>
    </row>
    <row r="42" spans="1:22" ht="14" customHeight="1">
      <c r="A42" s="227" t="s">
        <v>162</v>
      </c>
      <c r="B42" s="33"/>
      <c r="C42" s="266"/>
      <c r="D42" s="562"/>
      <c r="E42" s="562"/>
      <c r="F42" s="562">
        <f>F41/$N$42</f>
        <v>48193678.397037581</v>
      </c>
      <c r="G42" s="562"/>
      <c r="H42" s="562">
        <f>H41/$N$42</f>
        <v>49464369.335280232</v>
      </c>
      <c r="I42" s="562"/>
      <c r="J42" s="562">
        <f>J41/$N$42</f>
        <v>81453780.186848089</v>
      </c>
      <c r="K42" s="562"/>
      <c r="L42" s="562"/>
      <c r="M42" s="754">
        <f>M41/N42</f>
        <v>84795971.389255717</v>
      </c>
      <c r="N42" s="69">
        <v>6.5000000000000002E-2</v>
      </c>
    </row>
    <row r="43" spans="1:22" ht="14" customHeight="1">
      <c r="A43" s="227" t="s">
        <v>163</v>
      </c>
      <c r="B43" s="33"/>
      <c r="C43" s="266"/>
      <c r="D43" s="562"/>
      <c r="E43" s="562"/>
      <c r="F43" s="562"/>
      <c r="G43" s="562"/>
      <c r="H43" s="562"/>
      <c r="I43" s="562"/>
      <c r="J43" s="562"/>
      <c r="K43" s="562"/>
      <c r="L43" s="562"/>
      <c r="M43" s="754">
        <f>M42*-0.02</f>
        <v>-1695919.4277851144</v>
      </c>
    </row>
    <row r="44" spans="1:22" ht="14" customHeight="1">
      <c r="A44" s="227" t="s">
        <v>32</v>
      </c>
      <c r="B44" s="266"/>
      <c r="C44" s="266">
        <f ca="1">-C39</f>
        <v>-20896409.146059051</v>
      </c>
      <c r="D44" s="266">
        <f t="shared" ref="D44:L44" ca="1" si="23">-D39</f>
        <v>-20896409.146059051</v>
      </c>
      <c r="E44" s="266">
        <f t="shared" ca="1" si="23"/>
        <v>0</v>
      </c>
      <c r="F44" s="266">
        <f t="shared" ca="1" si="23"/>
        <v>0</v>
      </c>
      <c r="G44" s="266">
        <f t="shared" ca="1" si="23"/>
        <v>-14551522.936869923</v>
      </c>
      <c r="H44" s="266">
        <f t="shared" ca="1" si="23"/>
        <v>-14551522.936869923</v>
      </c>
      <c r="I44" s="266">
        <f t="shared" si="23"/>
        <v>0</v>
      </c>
      <c r="J44" s="266">
        <f t="shared" si="23"/>
        <v>0</v>
      </c>
      <c r="K44" s="266">
        <f t="shared" si="23"/>
        <v>0</v>
      </c>
      <c r="L44" s="266">
        <f t="shared" si="23"/>
        <v>0</v>
      </c>
      <c r="M44" s="730">
        <f>-M39</f>
        <v>0</v>
      </c>
    </row>
    <row r="45" spans="1:22" ht="14" customHeight="1">
      <c r="A45" s="227" t="s">
        <v>37</v>
      </c>
      <c r="B45" s="266"/>
      <c r="C45" s="266">
        <f ca="1">C44+C41</f>
        <v>-20896409.146059051</v>
      </c>
      <c r="D45" s="266">
        <f t="shared" ref="D45:K45" ca="1" si="24">D44+D41</f>
        <v>-20896409.146059051</v>
      </c>
      <c r="E45" s="266">
        <f t="shared" ca="1" si="24"/>
        <v>3092502.2626751517</v>
      </c>
      <c r="F45" s="266">
        <f t="shared" ca="1" si="24"/>
        <v>3132589.0958074429</v>
      </c>
      <c r="G45" s="266">
        <f t="shared" ca="1" si="24"/>
        <v>-11378045.271267544</v>
      </c>
      <c r="H45" s="266">
        <f t="shared" ca="1" si="24"/>
        <v>-11336338.930076707</v>
      </c>
      <c r="I45" s="266">
        <f t="shared" si="24"/>
        <v>5224902.5959830415</v>
      </c>
      <c r="J45" s="266">
        <f t="shared" si="24"/>
        <v>5294495.7121451264</v>
      </c>
      <c r="K45" s="266">
        <f t="shared" si="24"/>
        <v>5365480.6906304536</v>
      </c>
      <c r="L45" s="266">
        <f>L44+L41</f>
        <v>5437885.3686854867</v>
      </c>
      <c r="M45" s="730">
        <f>SUM(M41:M44)</f>
        <v>88611790.101772219</v>
      </c>
    </row>
    <row r="46" spans="1:22" ht="14" customHeight="1">
      <c r="A46" s="232" t="s">
        <v>40</v>
      </c>
      <c r="B46" s="109">
        <f ca="1">C45+NPV(B50,D45:M45)</f>
        <v>5974632.1192574315</v>
      </c>
      <c r="C46" s="109"/>
      <c r="D46" s="564"/>
      <c r="E46" s="564"/>
      <c r="F46" s="564"/>
      <c r="G46" s="564"/>
      <c r="H46" s="564"/>
      <c r="I46" s="564"/>
      <c r="J46" s="564"/>
      <c r="K46" s="564"/>
      <c r="L46" s="564"/>
      <c r="M46" s="755"/>
    </row>
    <row r="47" spans="1:22" ht="18" customHeight="1">
      <c r="A47" s="756" t="s">
        <v>42</v>
      </c>
      <c r="B47" s="56">
        <f ca="1">IRR(C45:M45)</f>
        <v>8.4899513558902129E-2</v>
      </c>
      <c r="C47" s="42"/>
      <c r="D47" s="48"/>
      <c r="E47" s="48"/>
      <c r="F47" s="48"/>
      <c r="G47" s="48"/>
      <c r="H47" s="48"/>
      <c r="I47" s="48"/>
      <c r="J47" s="48"/>
      <c r="K47" s="48"/>
      <c r="L47" s="48"/>
      <c r="M47" s="237"/>
    </row>
    <row r="48" spans="1:22" ht="18" customHeight="1">
      <c r="A48" s="756" t="s">
        <v>234</v>
      </c>
      <c r="B48" s="50"/>
      <c r="C48" s="340">
        <f ca="1">C44-(SUM('Summary Board II -  S+U'!F31:F33)*C44/'Summary Board II -  S+U'!F39)</f>
        <v>-6456786.9076881129</v>
      </c>
      <c r="D48" s="340">
        <f ca="1">C48</f>
        <v>-6456786.9076881129</v>
      </c>
      <c r="E48" s="340">
        <f ca="1">E45</f>
        <v>3092502.2626751517</v>
      </c>
      <c r="F48" s="340">
        <f ca="1">E48</f>
        <v>3092502.2626751517</v>
      </c>
      <c r="G48" s="340">
        <f ca="1">G44-(SUM('Summary Board II -  S+U'!J31:J33)*G44/'Summary Board II -  S+U'!J39)</f>
        <v>-2478135.3269427102</v>
      </c>
      <c r="H48" s="340">
        <f ca="1">G48</f>
        <v>-2478135.3269427102</v>
      </c>
      <c r="I48" s="340">
        <f>I45</f>
        <v>5224902.5959830415</v>
      </c>
      <c r="J48" s="340">
        <f>J45</f>
        <v>5294495.7121451264</v>
      </c>
      <c r="K48" s="340">
        <f>K45</f>
        <v>5365480.6906304536</v>
      </c>
      <c r="L48" s="340">
        <f>L45</f>
        <v>5437885.3686854867</v>
      </c>
      <c r="M48" s="737">
        <f>M45</f>
        <v>88611790.101772219</v>
      </c>
    </row>
    <row r="49" spans="1:13" ht="18" customHeight="1" thickBot="1">
      <c r="A49" s="234" t="s">
        <v>44</v>
      </c>
      <c r="B49" s="739">
        <f ca="1">IRR(C48:M48)</f>
        <v>0.29694580999592812</v>
      </c>
      <c r="C49" s="740"/>
      <c r="D49" s="740"/>
      <c r="E49" s="740"/>
      <c r="F49" s="740"/>
      <c r="G49" s="740"/>
      <c r="H49" s="740"/>
      <c r="I49" s="740"/>
      <c r="J49" s="740"/>
      <c r="K49" s="740"/>
      <c r="L49" s="740"/>
      <c r="M49" s="741"/>
    </row>
    <row r="50" spans="1:13" hidden="1">
      <c r="A50" s="73"/>
      <c r="B50" s="138">
        <v>7.0000000000000007E-2</v>
      </c>
      <c r="C50" s="139"/>
      <c r="D50" s="73"/>
      <c r="E50" s="73"/>
      <c r="F50" s="87">
        <f>F42</f>
        <v>48193678.397037581</v>
      </c>
      <c r="G50" s="73"/>
      <c r="H50" s="87">
        <f>H42-F50</f>
        <v>1270690.9382426515</v>
      </c>
      <c r="I50" s="73"/>
      <c r="J50" s="87">
        <f>J42-F50</f>
        <v>33260101.789810508</v>
      </c>
      <c r="K50" s="73"/>
      <c r="L50" s="73"/>
      <c r="M50" s="73"/>
    </row>
  </sheetData>
  <phoneticPr fontId="2" type="noConversion"/>
  <pageMargins left="0.5" right="0.5" top="1" bottom="0.5" header="0.5" footer="0.5"/>
  <pageSetup paperSize="4" orientation="landscape" r:id="rId1"/>
  <headerFooter alignWithMargins="0">
    <oddHeader>&amp;L&amp;"Arial,Bold"10. Income Statement: Structured Parking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037B7-8D73-874D-8730-25232FF9F944}">
  <dimension ref="B1:AF76"/>
  <sheetViews>
    <sheetView workbookViewId="0">
      <selection activeCell="K23" sqref="K23"/>
    </sheetView>
  </sheetViews>
  <sheetFormatPr baseColWidth="10" defaultColWidth="10.83203125" defaultRowHeight="13"/>
  <cols>
    <col min="1" max="1" width="15.33203125" style="270" customWidth="1"/>
    <col min="2" max="2" width="23.6640625" style="270" customWidth="1"/>
    <col min="3" max="3" width="10.83203125" style="270"/>
    <col min="4" max="4" width="15.83203125" style="270" customWidth="1"/>
    <col min="5" max="5" width="13.33203125" style="270" customWidth="1"/>
    <col min="6" max="6" width="17.83203125" style="270" customWidth="1"/>
    <col min="7" max="7" width="13.1640625" style="270" customWidth="1"/>
    <col min="8" max="8" width="20.6640625" style="270" customWidth="1"/>
    <col min="9" max="13" width="10.83203125" style="270"/>
    <col min="14" max="14" width="20.1640625" style="270" customWidth="1"/>
    <col min="15" max="18" width="15.1640625" style="270" customWidth="1"/>
    <col min="19" max="19" width="17.1640625" style="270" customWidth="1"/>
    <col min="20" max="20" width="15.1640625" style="270" customWidth="1"/>
    <col min="21" max="16384" width="10.83203125" style="270"/>
  </cols>
  <sheetData>
    <row r="1" spans="2:32" ht="14" thickBot="1">
      <c r="I1" s="1063" t="s">
        <v>1</v>
      </c>
      <c r="J1" s="1064" t="s">
        <v>2</v>
      </c>
    </row>
    <row r="2" spans="2:32" ht="14" thickBot="1">
      <c r="B2" s="1057" t="s">
        <v>235</v>
      </c>
      <c r="C2" s="1058"/>
      <c r="D2" s="1058"/>
      <c r="E2" s="1058"/>
      <c r="F2" s="1059"/>
    </row>
    <row r="3" spans="2:32" s="569" customFormat="1" ht="14" thickBot="1">
      <c r="B3" s="300"/>
      <c r="C3" s="300"/>
      <c r="D3" s="300"/>
      <c r="E3" s="300"/>
      <c r="F3" s="300"/>
    </row>
    <row r="4" spans="2:32">
      <c r="B4" s="570" t="s">
        <v>236</v>
      </c>
      <c r="C4" s="571" t="s">
        <v>237</v>
      </c>
      <c r="D4" s="571" t="s">
        <v>238</v>
      </c>
      <c r="E4" s="571" t="s">
        <v>239</v>
      </c>
      <c r="F4" s="572" t="s">
        <v>240</v>
      </c>
      <c r="N4" s="1189" t="s">
        <v>644</v>
      </c>
      <c r="O4" s="1190"/>
      <c r="P4" s="1190"/>
      <c r="Q4" s="1190"/>
      <c r="R4" s="1190"/>
      <c r="S4" s="1190"/>
      <c r="T4" s="1191"/>
    </row>
    <row r="5" spans="2:32">
      <c r="B5" s="573" t="s">
        <v>241</v>
      </c>
      <c r="C5" s="30"/>
      <c r="D5" s="30"/>
      <c r="E5" s="30"/>
      <c r="F5" s="574"/>
      <c r="N5" s="631"/>
      <c r="O5" s="630" t="s">
        <v>242</v>
      </c>
      <c r="P5" s="630" t="s">
        <v>243</v>
      </c>
      <c r="Q5" s="630" t="s">
        <v>244</v>
      </c>
      <c r="R5" s="630" t="s">
        <v>245</v>
      </c>
      <c r="S5" s="630" t="s">
        <v>246</v>
      </c>
      <c r="T5" s="632" t="s">
        <v>247</v>
      </c>
    </row>
    <row r="6" spans="2:32">
      <c r="B6" s="575" t="s">
        <v>248</v>
      </c>
      <c r="C6" s="576"/>
      <c r="D6" s="576" t="s">
        <v>249</v>
      </c>
      <c r="E6" s="576" t="s">
        <v>250</v>
      </c>
      <c r="F6" s="577">
        <v>48.5</v>
      </c>
      <c r="G6" s="272"/>
      <c r="N6" s="633" t="s">
        <v>251</v>
      </c>
      <c r="O6" s="576" t="s">
        <v>252</v>
      </c>
      <c r="P6" s="576" t="s">
        <v>253</v>
      </c>
      <c r="Q6" s="576" t="s">
        <v>254</v>
      </c>
      <c r="R6" s="576" t="s">
        <v>255</v>
      </c>
      <c r="S6" s="576" t="s">
        <v>256</v>
      </c>
      <c r="T6" s="634"/>
    </row>
    <row r="7" spans="2:32">
      <c r="B7" s="575" t="s">
        <v>257</v>
      </c>
      <c r="C7" s="576"/>
      <c r="D7" s="576" t="s">
        <v>258</v>
      </c>
      <c r="E7" s="576"/>
      <c r="F7" s="578">
        <v>38</v>
      </c>
      <c r="G7" s="272"/>
      <c r="N7" s="633" t="s">
        <v>259</v>
      </c>
      <c r="O7" s="576" t="s">
        <v>260</v>
      </c>
      <c r="P7" s="576" t="s">
        <v>261</v>
      </c>
      <c r="Q7" s="576" t="s">
        <v>262</v>
      </c>
      <c r="R7" s="576" t="s">
        <v>263</v>
      </c>
      <c r="S7" s="576" t="s">
        <v>264</v>
      </c>
      <c r="T7" s="634"/>
    </row>
    <row r="8" spans="2:32">
      <c r="B8" s="575" t="s">
        <v>265</v>
      </c>
      <c r="C8" s="576" t="s">
        <v>266</v>
      </c>
      <c r="D8" s="579">
        <v>15781</v>
      </c>
      <c r="E8" s="576" t="s">
        <v>250</v>
      </c>
      <c r="F8" s="578">
        <v>38</v>
      </c>
      <c r="G8" s="272"/>
      <c r="N8" s="633" t="s">
        <v>267</v>
      </c>
      <c r="O8" s="635">
        <v>0.1</v>
      </c>
      <c r="P8" s="635">
        <v>0.1</v>
      </c>
      <c r="Q8" s="635">
        <v>0.2</v>
      </c>
      <c r="R8" s="635">
        <v>0.4</v>
      </c>
      <c r="S8" s="635">
        <v>0.2</v>
      </c>
      <c r="T8" s="634"/>
    </row>
    <row r="9" spans="2:32" ht="14" thickBot="1">
      <c r="B9" s="580" t="s">
        <v>268</v>
      </c>
      <c r="C9" s="277" t="s">
        <v>269</v>
      </c>
      <c r="D9" s="277" t="s">
        <v>270</v>
      </c>
      <c r="E9" s="277" t="s">
        <v>271</v>
      </c>
      <c r="F9" s="581">
        <v>45</v>
      </c>
      <c r="G9" s="272"/>
      <c r="N9" s="633" t="s">
        <v>272</v>
      </c>
      <c r="O9" s="635">
        <v>2017</v>
      </c>
      <c r="P9" s="635">
        <v>2019</v>
      </c>
      <c r="Q9" s="635">
        <v>2019</v>
      </c>
      <c r="R9" s="635">
        <v>2019</v>
      </c>
      <c r="S9" s="635">
        <v>2019</v>
      </c>
      <c r="T9" s="634"/>
    </row>
    <row r="10" spans="2:32" ht="14" thickBot="1">
      <c r="B10" s="580"/>
      <c r="C10" s="277"/>
      <c r="D10" s="277"/>
      <c r="E10" s="277"/>
      <c r="F10" s="582">
        <f>AVERAGE(F6:F9)</f>
        <v>42.375</v>
      </c>
      <c r="N10" s="633" t="s">
        <v>273</v>
      </c>
      <c r="O10" s="635" t="s">
        <v>274</v>
      </c>
      <c r="P10" s="635" t="s">
        <v>274</v>
      </c>
      <c r="Q10" s="635" t="s">
        <v>274</v>
      </c>
      <c r="R10" s="635" t="s">
        <v>274</v>
      </c>
      <c r="S10" s="635" t="s">
        <v>274</v>
      </c>
      <c r="T10" s="634"/>
    </row>
    <row r="11" spans="2:32" ht="14" thickBot="1">
      <c r="B11" s="270" t="s">
        <v>309</v>
      </c>
      <c r="N11" s="633" t="s">
        <v>275</v>
      </c>
      <c r="O11" s="636">
        <v>309</v>
      </c>
      <c r="P11" s="636">
        <v>387</v>
      </c>
      <c r="Q11" s="274">
        <v>447</v>
      </c>
      <c r="R11" s="636">
        <v>289</v>
      </c>
      <c r="S11" s="636">
        <v>400</v>
      </c>
      <c r="T11" s="637"/>
    </row>
    <row r="12" spans="2:32">
      <c r="B12" s="570" t="s">
        <v>109</v>
      </c>
      <c r="C12" s="571"/>
      <c r="D12" s="571"/>
      <c r="E12" s="571"/>
      <c r="F12" s="572"/>
      <c r="N12" s="638" t="s">
        <v>276</v>
      </c>
      <c r="O12" s="275">
        <v>1905</v>
      </c>
      <c r="P12" s="275">
        <v>1977</v>
      </c>
      <c r="Q12" s="636">
        <v>1525</v>
      </c>
      <c r="R12" s="275">
        <v>1976</v>
      </c>
      <c r="S12" s="275">
        <v>2151</v>
      </c>
      <c r="T12" s="639">
        <f>(P12+O12+R12+S12)/4</f>
        <v>2002.25</v>
      </c>
    </row>
    <row r="13" spans="2:32">
      <c r="B13" s="575" t="s">
        <v>282</v>
      </c>
      <c r="C13" s="576"/>
      <c r="D13" s="576" t="s">
        <v>283</v>
      </c>
      <c r="E13" s="576" t="s">
        <v>250</v>
      </c>
      <c r="F13" s="583" t="s">
        <v>284</v>
      </c>
      <c r="G13" s="272"/>
      <c r="N13" s="640" t="s">
        <v>285</v>
      </c>
      <c r="O13" s="636">
        <v>560</v>
      </c>
      <c r="P13" s="636">
        <v>610</v>
      </c>
      <c r="Q13" s="636">
        <v>386</v>
      </c>
      <c r="R13" s="636">
        <v>555</v>
      </c>
      <c r="S13" s="636">
        <v>538</v>
      </c>
      <c r="T13" s="639"/>
      <c r="AA13" s="271"/>
      <c r="AB13" s="271"/>
      <c r="AC13" s="271"/>
      <c r="AD13" s="271"/>
      <c r="AE13" s="271"/>
      <c r="AF13" s="271"/>
    </row>
    <row r="14" spans="2:32">
      <c r="B14" s="575" t="s">
        <v>287</v>
      </c>
      <c r="C14" s="576"/>
      <c r="D14" s="576" t="s">
        <v>288</v>
      </c>
      <c r="E14" s="576" t="s">
        <v>250</v>
      </c>
      <c r="F14" s="578">
        <v>50</v>
      </c>
      <c r="N14" s="641" t="s">
        <v>289</v>
      </c>
      <c r="O14" s="276">
        <f>(O12/O13)*12</f>
        <v>40.821428571428569</v>
      </c>
      <c r="P14" s="276">
        <f>(P12/P13)*12</f>
        <v>38.891803278688528</v>
      </c>
      <c r="Q14" s="276">
        <f>(Q12/Q13)*12</f>
        <v>47.409326424870464</v>
      </c>
      <c r="R14" s="276">
        <f>(R12/R13)*12</f>
        <v>42.724324324324328</v>
      </c>
      <c r="S14" s="276">
        <f>(S12/S13)*12</f>
        <v>47.977695167286242</v>
      </c>
      <c r="T14" s="642"/>
      <c r="AA14" s="271"/>
      <c r="AB14" s="271"/>
      <c r="AC14" s="271"/>
      <c r="AD14" s="271"/>
      <c r="AE14" s="271"/>
      <c r="AF14" s="271"/>
    </row>
    <row r="15" spans="2:32">
      <c r="B15" s="575" t="s">
        <v>290</v>
      </c>
      <c r="C15" s="576"/>
      <c r="D15" s="576" t="s">
        <v>291</v>
      </c>
      <c r="E15" s="576" t="s">
        <v>271</v>
      </c>
      <c r="F15" s="578">
        <v>45</v>
      </c>
      <c r="G15" s="272"/>
      <c r="N15" s="633" t="s">
        <v>292</v>
      </c>
      <c r="O15" s="643">
        <v>2470</v>
      </c>
      <c r="P15" s="643">
        <v>2186</v>
      </c>
      <c r="Q15" s="644">
        <v>2125</v>
      </c>
      <c r="R15" s="643">
        <v>2315</v>
      </c>
      <c r="S15" s="643">
        <v>2215</v>
      </c>
      <c r="T15" s="639">
        <f>(P15+O15+R15+S15)/4</f>
        <v>2296.5</v>
      </c>
      <c r="AA15" s="271"/>
      <c r="AB15" s="271"/>
      <c r="AC15" s="271"/>
      <c r="AD15" s="271"/>
      <c r="AE15" s="271"/>
    </row>
    <row r="16" spans="2:32">
      <c r="B16" s="575" t="s">
        <v>293</v>
      </c>
      <c r="C16" s="576"/>
      <c r="D16" s="576" t="s">
        <v>294</v>
      </c>
      <c r="E16" s="576" t="s">
        <v>250</v>
      </c>
      <c r="F16" s="578">
        <v>48</v>
      </c>
      <c r="G16" s="272"/>
      <c r="N16" s="640" t="s">
        <v>285</v>
      </c>
      <c r="O16" s="636">
        <v>707</v>
      </c>
      <c r="P16" s="636">
        <v>729</v>
      </c>
      <c r="Q16" s="636">
        <v>675</v>
      </c>
      <c r="R16" s="636">
        <v>742</v>
      </c>
      <c r="S16" s="636">
        <v>754</v>
      </c>
      <c r="T16" s="639"/>
    </row>
    <row r="17" spans="2:20">
      <c r="B17" s="575" t="s">
        <v>295</v>
      </c>
      <c r="C17" s="576"/>
      <c r="D17" s="576" t="s">
        <v>296</v>
      </c>
      <c r="E17" s="576" t="s">
        <v>250</v>
      </c>
      <c r="F17" s="578">
        <v>60</v>
      </c>
      <c r="G17" s="272"/>
      <c r="N17" s="641" t="s">
        <v>289</v>
      </c>
      <c r="O17" s="276">
        <f>(O15/O16)*12</f>
        <v>41.923620933521924</v>
      </c>
      <c r="P17" s="276">
        <f>(P15/P16)*12</f>
        <v>35.983539094650205</v>
      </c>
      <c r="Q17" s="276">
        <f>(Q15/Q16)*12</f>
        <v>37.777777777777779</v>
      </c>
      <c r="R17" s="276">
        <f>(R15/R16)*12</f>
        <v>37.439353099730454</v>
      </c>
      <c r="S17" s="276">
        <f>(S15/S16)*12</f>
        <v>35.251989389920425</v>
      </c>
      <c r="T17" s="642"/>
    </row>
    <row r="18" spans="2:20" ht="14" thickBot="1">
      <c r="B18" s="580" t="s">
        <v>297</v>
      </c>
      <c r="C18" s="277"/>
      <c r="D18" s="277" t="s">
        <v>298</v>
      </c>
      <c r="E18" s="277" t="s">
        <v>250</v>
      </c>
      <c r="F18" s="584">
        <v>85</v>
      </c>
      <c r="G18" s="272"/>
      <c r="N18" s="633" t="s">
        <v>299</v>
      </c>
      <c r="O18" s="643">
        <v>2855</v>
      </c>
      <c r="P18" s="643">
        <v>2826</v>
      </c>
      <c r="Q18" s="643">
        <v>2750</v>
      </c>
      <c r="R18" s="643">
        <v>3444</v>
      </c>
      <c r="S18" s="643">
        <v>3059</v>
      </c>
      <c r="T18" s="639">
        <f>(P18+O18+R18+S18)/4</f>
        <v>3046</v>
      </c>
    </row>
    <row r="19" spans="2:20" ht="14" thickBot="1">
      <c r="B19" s="580"/>
      <c r="C19" s="277"/>
      <c r="D19" s="277"/>
      <c r="E19" s="277"/>
      <c r="F19" s="584">
        <f>AVERAGE(F14:F18)</f>
        <v>57.6</v>
      </c>
      <c r="N19" s="640" t="s">
        <v>285</v>
      </c>
      <c r="O19" s="636">
        <v>1008</v>
      </c>
      <c r="P19" s="636">
        <v>1011</v>
      </c>
      <c r="Q19" s="636">
        <v>975</v>
      </c>
      <c r="R19" s="636">
        <v>1195</v>
      </c>
      <c r="S19" s="636">
        <v>1029</v>
      </c>
      <c r="T19" s="639"/>
    </row>
    <row r="20" spans="2:20" ht="14" thickBot="1">
      <c r="B20" s="270" t="s">
        <v>309</v>
      </c>
      <c r="N20" s="641" t="s">
        <v>289</v>
      </c>
      <c r="O20" s="276">
        <f>(O18/O19)*12</f>
        <v>33.988095238095241</v>
      </c>
      <c r="P20" s="276">
        <f>(P18/P19)*12</f>
        <v>33.543026706231451</v>
      </c>
      <c r="Q20" s="276">
        <f>(Q18/Q19)*12</f>
        <v>33.846153846153847</v>
      </c>
      <c r="R20" s="276">
        <f>(R18/R19)*12</f>
        <v>34.584100418410046</v>
      </c>
      <c r="S20" s="276">
        <f>(S18/S19)*12</f>
        <v>35.673469387755105</v>
      </c>
      <c r="T20" s="642"/>
    </row>
    <row r="21" spans="2:20">
      <c r="B21" s="570" t="s">
        <v>300</v>
      </c>
      <c r="C21" s="571"/>
      <c r="D21" s="571"/>
      <c r="E21" s="571"/>
      <c r="F21" s="572"/>
      <c r="N21" s="633" t="s">
        <v>301</v>
      </c>
      <c r="O21" s="643" t="s">
        <v>302</v>
      </c>
      <c r="P21" s="643" t="s">
        <v>302</v>
      </c>
      <c r="Q21" s="643">
        <v>3750</v>
      </c>
      <c r="R21" s="643">
        <v>4344</v>
      </c>
      <c r="S21" s="643" t="s">
        <v>302</v>
      </c>
      <c r="T21" s="639">
        <f>AVERAGE(Q21:R21)</f>
        <v>4047</v>
      </c>
    </row>
    <row r="22" spans="2:20">
      <c r="B22" s="575" t="s">
        <v>303</v>
      </c>
      <c r="C22" s="576"/>
      <c r="D22" s="576" t="s">
        <v>304</v>
      </c>
      <c r="E22" s="576" t="s">
        <v>250</v>
      </c>
      <c r="F22" s="578">
        <v>45</v>
      </c>
      <c r="G22" s="272"/>
      <c r="N22" s="640" t="s">
        <v>285</v>
      </c>
      <c r="O22" s="636" t="s">
        <v>302</v>
      </c>
      <c r="P22" s="636" t="s">
        <v>302</v>
      </c>
      <c r="Q22" s="636">
        <v>1431</v>
      </c>
      <c r="R22" s="636">
        <v>1515</v>
      </c>
      <c r="S22" s="636" t="s">
        <v>302</v>
      </c>
      <c r="T22" s="634"/>
    </row>
    <row r="23" spans="2:20" ht="14" thickBot="1">
      <c r="B23" s="575" t="s">
        <v>305</v>
      </c>
      <c r="C23" s="576"/>
      <c r="D23" s="576" t="s">
        <v>306</v>
      </c>
      <c r="E23" s="576" t="s">
        <v>271</v>
      </c>
      <c r="F23" s="578">
        <v>20</v>
      </c>
      <c r="G23" s="272"/>
      <c r="N23" s="645" t="s">
        <v>289</v>
      </c>
      <c r="O23" s="646" t="s">
        <v>302</v>
      </c>
      <c r="P23" s="646" t="s">
        <v>302</v>
      </c>
      <c r="Q23" s="646">
        <f>(Q21/Q22)*12</f>
        <v>31.446540880503147</v>
      </c>
      <c r="R23" s="646">
        <f>(R21/R22)*12</f>
        <v>34.40792079207921</v>
      </c>
      <c r="S23" s="646" t="s">
        <v>302</v>
      </c>
      <c r="T23" s="647"/>
    </row>
    <row r="24" spans="2:20" ht="14" thickBot="1">
      <c r="B24" s="580" t="s">
        <v>307</v>
      </c>
      <c r="C24" s="277"/>
      <c r="D24" s="277" t="s">
        <v>308</v>
      </c>
      <c r="E24" s="277" t="s">
        <v>250</v>
      </c>
      <c r="F24" s="581">
        <v>35</v>
      </c>
      <c r="G24" s="272"/>
      <c r="N24" s="777" t="s">
        <v>649</v>
      </c>
      <c r="O24" s="776"/>
      <c r="P24" s="776"/>
      <c r="Q24" s="776"/>
      <c r="R24" s="776"/>
      <c r="S24" s="776"/>
      <c r="T24" s="576"/>
    </row>
    <row r="25" spans="2:20" ht="14" thickBot="1">
      <c r="B25" s="585"/>
      <c r="C25" s="586"/>
      <c r="D25" s="586"/>
      <c r="E25" s="586"/>
      <c r="F25" s="587"/>
    </row>
    <row r="26" spans="2:20">
      <c r="B26" s="270" t="s">
        <v>309</v>
      </c>
      <c r="N26" s="570"/>
      <c r="O26" s="571" t="s">
        <v>277</v>
      </c>
      <c r="P26" s="571" t="s">
        <v>278</v>
      </c>
      <c r="Q26" s="571" t="s">
        <v>279</v>
      </c>
      <c r="R26" s="571" t="s">
        <v>280</v>
      </c>
      <c r="S26" s="572" t="s">
        <v>281</v>
      </c>
    </row>
    <row r="27" spans="2:20" ht="14" thickBot="1">
      <c r="N27" s="575" t="s">
        <v>286</v>
      </c>
      <c r="O27" s="648">
        <v>1084</v>
      </c>
      <c r="P27" s="648">
        <v>1285</v>
      </c>
      <c r="Q27" s="648">
        <v>1625</v>
      </c>
      <c r="R27" s="648">
        <v>2164</v>
      </c>
      <c r="S27" s="649">
        <v>2621</v>
      </c>
    </row>
    <row r="28" spans="2:20">
      <c r="B28" s="570" t="s">
        <v>15</v>
      </c>
      <c r="C28" s="571"/>
      <c r="D28" s="572" t="s">
        <v>311</v>
      </c>
      <c r="E28" s="300"/>
      <c r="N28" s="575" t="s">
        <v>310</v>
      </c>
      <c r="O28" s="648">
        <v>997</v>
      </c>
      <c r="P28" s="648">
        <v>1182</v>
      </c>
      <c r="Q28" s="648">
        <v>1495</v>
      </c>
      <c r="R28" s="648">
        <v>1991</v>
      </c>
      <c r="S28" s="649">
        <v>2411</v>
      </c>
    </row>
    <row r="29" spans="2:20" ht="14" thickBot="1">
      <c r="B29" s="575" t="s">
        <v>313</v>
      </c>
      <c r="C29" s="35" t="s">
        <v>199</v>
      </c>
      <c r="D29" s="588">
        <v>280</v>
      </c>
      <c r="N29" s="580" t="s">
        <v>312</v>
      </c>
      <c r="O29" s="650">
        <v>889</v>
      </c>
      <c r="P29" s="650">
        <v>953</v>
      </c>
      <c r="Q29" s="650">
        <v>1144</v>
      </c>
      <c r="R29" s="650">
        <v>1321</v>
      </c>
      <c r="S29" s="651">
        <v>1474</v>
      </c>
    </row>
    <row r="30" spans="2:20" ht="14" thickBot="1">
      <c r="B30" s="575" t="s">
        <v>314</v>
      </c>
      <c r="C30" s="35" t="s">
        <v>199</v>
      </c>
      <c r="D30" s="588">
        <v>287</v>
      </c>
      <c r="N30" s="272" t="s">
        <v>645</v>
      </c>
    </row>
    <row r="31" spans="2:20">
      <c r="B31" s="575" t="s">
        <v>315</v>
      </c>
      <c r="C31" s="35" t="s">
        <v>199</v>
      </c>
      <c r="D31" s="588">
        <v>258</v>
      </c>
      <c r="N31" s="590"/>
      <c r="O31" s="591"/>
      <c r="P31" s="591"/>
      <c r="Q31" s="591"/>
      <c r="R31" s="591"/>
      <c r="S31" s="591"/>
      <c r="T31" s="592"/>
    </row>
    <row r="32" spans="2:20">
      <c r="B32" s="575" t="s">
        <v>316</v>
      </c>
      <c r="C32" s="35" t="s">
        <v>199</v>
      </c>
      <c r="D32" s="588">
        <v>201</v>
      </c>
      <c r="N32" s="573"/>
      <c r="O32" s="30" t="s">
        <v>500</v>
      </c>
      <c r="P32" s="30"/>
      <c r="Q32" s="30" t="s">
        <v>501</v>
      </c>
      <c r="R32" s="30"/>
      <c r="S32" s="30" t="s">
        <v>502</v>
      </c>
      <c r="T32" s="574"/>
    </row>
    <row r="33" spans="2:20">
      <c r="B33" s="575" t="s">
        <v>320</v>
      </c>
      <c r="C33" s="35" t="s">
        <v>199</v>
      </c>
      <c r="D33" s="588">
        <v>269</v>
      </c>
      <c r="N33" s="573" t="s">
        <v>317</v>
      </c>
      <c r="O33" s="30" t="s">
        <v>318</v>
      </c>
      <c r="P33" s="30" t="s">
        <v>319</v>
      </c>
      <c r="Q33" s="30" t="s">
        <v>318</v>
      </c>
      <c r="R33" s="30" t="s">
        <v>319</v>
      </c>
      <c r="S33" s="30" t="s">
        <v>318</v>
      </c>
      <c r="T33" s="574" t="s">
        <v>319</v>
      </c>
    </row>
    <row r="34" spans="2:20">
      <c r="B34" s="575" t="s">
        <v>321</v>
      </c>
      <c r="C34" s="35" t="s">
        <v>198</v>
      </c>
      <c r="D34" s="588">
        <v>160</v>
      </c>
      <c r="N34" s="575" t="s">
        <v>650</v>
      </c>
      <c r="O34" s="778">
        <f>'Parcel breakdown'!F19</f>
        <v>170172</v>
      </c>
      <c r="P34" s="576">
        <f>O34*0.5</f>
        <v>85086</v>
      </c>
      <c r="Q34" s="778">
        <f>'Parcel breakdown'!F20</f>
        <v>102393</v>
      </c>
      <c r="R34" s="576">
        <f>Q34*0.5</f>
        <v>51196.5</v>
      </c>
      <c r="S34" s="778">
        <f>'Parcel breakdown'!F21</f>
        <v>59571</v>
      </c>
      <c r="T34" s="583">
        <f>S34*0.5</f>
        <v>29785.5</v>
      </c>
    </row>
    <row r="35" spans="2:20" ht="14" thickBot="1">
      <c r="B35" s="580" t="s">
        <v>323</v>
      </c>
      <c r="C35" s="268" t="s">
        <v>198</v>
      </c>
      <c r="D35" s="589">
        <v>187</v>
      </c>
      <c r="N35" s="575" t="s">
        <v>322</v>
      </c>
      <c r="O35" s="579">
        <v>3000</v>
      </c>
      <c r="P35" s="576"/>
      <c r="Q35" s="576"/>
      <c r="R35" s="576"/>
      <c r="S35" s="576"/>
      <c r="T35" s="583"/>
    </row>
    <row r="36" spans="2:20">
      <c r="B36" s="270" t="s">
        <v>653</v>
      </c>
      <c r="N36" s="575" t="s">
        <v>324</v>
      </c>
      <c r="O36" s="576">
        <f>131.4*12</f>
        <v>1576.8000000000002</v>
      </c>
      <c r="P36" s="576"/>
      <c r="Q36" s="576"/>
      <c r="R36" s="576"/>
      <c r="S36" s="576"/>
      <c r="T36" s="583"/>
    </row>
    <row r="37" spans="2:20" ht="14" thickBot="1">
      <c r="B37" s="576"/>
      <c r="C37" s="576"/>
      <c r="D37" s="576"/>
      <c r="E37" s="576"/>
      <c r="F37" s="576"/>
      <c r="G37" s="576"/>
      <c r="N37" s="575" t="s">
        <v>325</v>
      </c>
      <c r="O37" s="576">
        <v>100</v>
      </c>
      <c r="P37" s="576"/>
      <c r="Q37" s="576"/>
      <c r="R37" s="576"/>
      <c r="S37" s="576"/>
      <c r="T37" s="583"/>
    </row>
    <row r="38" spans="2:20">
      <c r="B38" s="570" t="s">
        <v>327</v>
      </c>
      <c r="C38" s="571"/>
      <c r="D38" s="571"/>
      <c r="E38" s="571"/>
      <c r="F38" s="571"/>
      <c r="G38" s="572"/>
      <c r="N38" s="575" t="s">
        <v>326</v>
      </c>
      <c r="O38" s="576" t="s">
        <v>4</v>
      </c>
      <c r="P38" s="576">
        <f>P34/$O$37</f>
        <v>850.86</v>
      </c>
      <c r="Q38" s="576" t="s">
        <v>5</v>
      </c>
      <c r="R38" s="576">
        <f>R34/$O$37</f>
        <v>511.96499999999997</v>
      </c>
      <c r="S38" s="576" t="s">
        <v>6</v>
      </c>
      <c r="T38" s="583">
        <f>T34/$O$37</f>
        <v>297.85500000000002</v>
      </c>
    </row>
    <row r="39" spans="2:20">
      <c r="B39" s="631" t="s">
        <v>329</v>
      </c>
      <c r="C39" s="947" t="s">
        <v>330</v>
      </c>
      <c r="D39" s="947" t="s">
        <v>331</v>
      </c>
      <c r="E39" s="947" t="s">
        <v>332</v>
      </c>
      <c r="F39" s="947" t="s">
        <v>333</v>
      </c>
      <c r="G39" s="948" t="s">
        <v>334</v>
      </c>
      <c r="N39" s="575" t="s">
        <v>328</v>
      </c>
      <c r="O39" s="576"/>
      <c r="P39" s="705">
        <f>$O$35*P38*(1-$O$43)</f>
        <v>1888909.2</v>
      </c>
      <c r="Q39" s="576"/>
      <c r="R39" s="705">
        <f>$O$35*R38*(1-$O$43)</f>
        <v>1136562.3</v>
      </c>
      <c r="S39" s="576"/>
      <c r="T39" s="779">
        <f>$O$35*T38*(1-$O$43)</f>
        <v>661238.1</v>
      </c>
    </row>
    <row r="40" spans="2:20">
      <c r="B40" s="575" t="s">
        <v>336</v>
      </c>
      <c r="C40" s="576" t="s">
        <v>337</v>
      </c>
      <c r="D40" s="576">
        <v>15</v>
      </c>
      <c r="E40" s="1051">
        <v>300000</v>
      </c>
      <c r="F40" s="1053">
        <v>153.75</v>
      </c>
      <c r="G40" s="577">
        <f t="shared" ref="G40:G47" si="0">F40*$C$54</f>
        <v>206.83035714285717</v>
      </c>
      <c r="N40" s="575" t="s">
        <v>335</v>
      </c>
      <c r="O40" s="576"/>
      <c r="P40" s="780">
        <f>P38*$O$36</f>
        <v>1341636.0480000002</v>
      </c>
      <c r="Q40" s="780"/>
      <c r="R40" s="780">
        <f>R38*$O$36</f>
        <v>807266.41200000001</v>
      </c>
      <c r="S40" s="780"/>
      <c r="T40" s="781">
        <f>T38*$O$36</f>
        <v>469657.76400000008</v>
      </c>
    </row>
    <row r="41" spans="2:20">
      <c r="B41" s="575" t="s">
        <v>15</v>
      </c>
      <c r="C41" s="576" t="s">
        <v>339</v>
      </c>
      <c r="D41" s="576">
        <v>15</v>
      </c>
      <c r="E41" s="1051">
        <v>300000</v>
      </c>
      <c r="F41" s="1054">
        <v>156.38</v>
      </c>
      <c r="G41" s="577">
        <f t="shared" si="0"/>
        <v>210.36833333333334</v>
      </c>
      <c r="N41" s="575" t="s">
        <v>338</v>
      </c>
      <c r="O41" s="576"/>
      <c r="P41" s="576">
        <v>0.12</v>
      </c>
      <c r="Q41" s="576"/>
      <c r="R41" s="576">
        <v>0.12</v>
      </c>
      <c r="S41" s="576"/>
      <c r="T41" s="583">
        <v>0.12</v>
      </c>
    </row>
    <row r="42" spans="2:20">
      <c r="B42" s="575" t="s">
        <v>212</v>
      </c>
      <c r="C42" s="576" t="s">
        <v>341</v>
      </c>
      <c r="D42" s="576">
        <v>15</v>
      </c>
      <c r="E42" s="1051">
        <v>300000</v>
      </c>
      <c r="F42" s="1053">
        <v>120.31</v>
      </c>
      <c r="G42" s="577">
        <f t="shared" si="0"/>
        <v>161.84559523809526</v>
      </c>
      <c r="N42" s="575" t="s">
        <v>340</v>
      </c>
      <c r="O42" s="576"/>
      <c r="P42" s="782">
        <f>P41*P40</f>
        <v>160996.32576000001</v>
      </c>
      <c r="Q42" s="782"/>
      <c r="R42" s="782">
        <f>R41*R40</f>
        <v>96871.969440000001</v>
      </c>
      <c r="S42" s="782"/>
      <c r="T42" s="783">
        <f>T41*T40</f>
        <v>56358.931680000009</v>
      </c>
    </row>
    <row r="43" spans="2:20" ht="14" thickBot="1">
      <c r="B43" s="575" t="s">
        <v>343</v>
      </c>
      <c r="C43" s="576" t="s">
        <v>337</v>
      </c>
      <c r="D43" s="576">
        <v>5</v>
      </c>
      <c r="E43" s="1051">
        <v>300000</v>
      </c>
      <c r="F43" s="1054">
        <v>45.6</v>
      </c>
      <c r="G43" s="577">
        <f t="shared" si="0"/>
        <v>61.342857142857149</v>
      </c>
      <c r="N43" s="580" t="s">
        <v>342</v>
      </c>
      <c r="O43" s="784">
        <v>0.26</v>
      </c>
      <c r="P43" s="277"/>
      <c r="Q43" s="277"/>
      <c r="R43" s="277"/>
      <c r="S43" s="277"/>
      <c r="T43" s="785"/>
    </row>
    <row r="44" spans="2:20">
      <c r="B44" s="575" t="s">
        <v>345</v>
      </c>
      <c r="C44" s="576" t="s">
        <v>346</v>
      </c>
      <c r="D44" s="576">
        <v>1</v>
      </c>
      <c r="E44" s="1051">
        <v>5000</v>
      </c>
      <c r="F44" s="1054">
        <v>180.22</v>
      </c>
      <c r="G44" s="577">
        <f t="shared" si="0"/>
        <v>242.43880952380954</v>
      </c>
      <c r="N44" s="270" t="s">
        <v>344</v>
      </c>
    </row>
    <row r="45" spans="2:20">
      <c r="B45" s="575" t="s">
        <v>347</v>
      </c>
      <c r="C45" s="576" t="s">
        <v>348</v>
      </c>
      <c r="D45" s="576">
        <v>2</v>
      </c>
      <c r="E45" s="1051">
        <v>18000</v>
      </c>
      <c r="F45" s="1054">
        <v>160.35</v>
      </c>
      <c r="G45" s="577">
        <f t="shared" si="0"/>
        <v>215.70892857142857</v>
      </c>
    </row>
    <row r="46" spans="2:20">
      <c r="B46" s="575" t="s">
        <v>349</v>
      </c>
      <c r="C46" s="576" t="s">
        <v>337</v>
      </c>
      <c r="D46" s="576">
        <v>1</v>
      </c>
      <c r="E46" s="1051">
        <v>10000</v>
      </c>
      <c r="F46" s="1054">
        <v>110.1</v>
      </c>
      <c r="G46" s="577">
        <f t="shared" si="0"/>
        <v>148.11071428571429</v>
      </c>
      <c r="H46" s="273"/>
    </row>
    <row r="47" spans="2:20" ht="14" thickBot="1">
      <c r="B47" s="580" t="s">
        <v>350</v>
      </c>
      <c r="C47" s="277" t="s">
        <v>351</v>
      </c>
      <c r="D47" s="277">
        <v>1</v>
      </c>
      <c r="E47" s="1052">
        <v>10000</v>
      </c>
      <c r="F47" s="1055">
        <v>93.17</v>
      </c>
      <c r="G47" s="1056">
        <f t="shared" si="0"/>
        <v>125.33583333333334</v>
      </c>
    </row>
    <row r="48" spans="2:20">
      <c r="B48" s="576" t="s">
        <v>654</v>
      </c>
      <c r="C48" s="576"/>
      <c r="D48" s="576"/>
      <c r="E48" s="579"/>
      <c r="F48" s="593"/>
      <c r="G48" s="593"/>
    </row>
    <row r="49" spans="2:8" ht="14" thickBot="1"/>
    <row r="50" spans="2:8">
      <c r="B50" s="570" t="s">
        <v>352</v>
      </c>
      <c r="C50" s="572"/>
    </row>
    <row r="51" spans="2:8">
      <c r="B51" s="573" t="s">
        <v>599</v>
      </c>
      <c r="C51" s="574" t="s">
        <v>647</v>
      </c>
    </row>
    <row r="52" spans="2:8">
      <c r="B52" s="770">
        <v>2011</v>
      </c>
      <c r="C52" s="771">
        <v>84</v>
      </c>
    </row>
    <row r="53" spans="2:8">
      <c r="B53" s="774">
        <v>2020</v>
      </c>
      <c r="C53" s="775">
        <v>113</v>
      </c>
    </row>
    <row r="54" spans="2:8" ht="14" thickBot="1">
      <c r="B54" s="772" t="s">
        <v>655</v>
      </c>
      <c r="C54" s="773">
        <f>((C53-C52)/C52)+1</f>
        <v>1.3452380952380953</v>
      </c>
    </row>
    <row r="55" spans="2:8">
      <c r="B55" s="270" t="s">
        <v>648</v>
      </c>
    </row>
    <row r="57" spans="2:8" ht="14" thickBot="1">
      <c r="B57" s="2"/>
      <c r="C57" s="2"/>
      <c r="D57" s="2"/>
      <c r="E57" s="2"/>
      <c r="F57" s="2"/>
    </row>
    <row r="58" spans="2:8">
      <c r="B58" s="1186" t="s">
        <v>353</v>
      </c>
      <c r="C58" s="1187"/>
      <c r="D58" s="1187"/>
      <c r="E58" s="757"/>
      <c r="F58" s="757"/>
      <c r="G58" s="652"/>
      <c r="H58" s="653"/>
    </row>
    <row r="59" spans="2:8">
      <c r="B59" s="631" t="s">
        <v>354</v>
      </c>
      <c r="C59" s="278" t="s">
        <v>93</v>
      </c>
      <c r="D59" s="947" t="s">
        <v>646</v>
      </c>
      <c r="E59" s="947" t="s">
        <v>355</v>
      </c>
      <c r="F59" s="947" t="s">
        <v>311</v>
      </c>
      <c r="G59" s="947" t="s">
        <v>356</v>
      </c>
      <c r="H59" s="948"/>
    </row>
    <row r="60" spans="2:8">
      <c r="B60" s="758">
        <v>2</v>
      </c>
      <c r="C60" s="759" t="s">
        <v>97</v>
      </c>
      <c r="D60" s="761">
        <f>G60+H60</f>
        <v>298811.13799999998</v>
      </c>
      <c r="E60" s="70">
        <f>H60/100</f>
        <v>2967.34</v>
      </c>
      <c r="F60" s="34">
        <f>0.7</f>
        <v>0.7</v>
      </c>
      <c r="G60" s="706">
        <f>E60*F60</f>
        <v>2077.1379999999999</v>
      </c>
      <c r="H60" s="760">
        <v>296734</v>
      </c>
    </row>
    <row r="61" spans="2:8">
      <c r="B61" s="758">
        <v>3</v>
      </c>
      <c r="C61" s="759" t="s">
        <v>97</v>
      </c>
      <c r="D61" s="761">
        <f t="shared" ref="D61:D71" si="1">G61+H61</f>
        <v>592537.93299999996</v>
      </c>
      <c r="E61" s="70">
        <f t="shared" ref="E61:E72" si="2">H61/100</f>
        <v>5884.19</v>
      </c>
      <c r="F61" s="34">
        <f t="shared" ref="F61:F72" si="3">0.7</f>
        <v>0.7</v>
      </c>
      <c r="G61" s="706">
        <f t="shared" ref="G61:G72" si="4">E61*F61</f>
        <v>4118.9329999999991</v>
      </c>
      <c r="H61" s="760">
        <v>588419</v>
      </c>
    </row>
    <row r="62" spans="2:8">
      <c r="B62" s="758">
        <v>6</v>
      </c>
      <c r="C62" s="759" t="s">
        <v>97</v>
      </c>
      <c r="D62" s="761">
        <f t="shared" si="1"/>
        <v>0</v>
      </c>
      <c r="E62" s="70">
        <f t="shared" si="2"/>
        <v>0</v>
      </c>
      <c r="F62" s="34">
        <f t="shared" si="3"/>
        <v>0.7</v>
      </c>
      <c r="G62" s="706">
        <f t="shared" si="4"/>
        <v>0</v>
      </c>
      <c r="H62" s="760">
        <v>0</v>
      </c>
    </row>
    <row r="63" spans="2:8">
      <c r="B63" s="758">
        <v>7</v>
      </c>
      <c r="C63" s="759" t="s">
        <v>97</v>
      </c>
      <c r="D63" s="761">
        <f t="shared" si="1"/>
        <v>0</v>
      </c>
      <c r="E63" s="70">
        <f t="shared" si="2"/>
        <v>0</v>
      </c>
      <c r="F63" s="34">
        <f t="shared" si="3"/>
        <v>0.7</v>
      </c>
      <c r="G63" s="706">
        <f t="shared" si="4"/>
        <v>0</v>
      </c>
      <c r="H63" s="760">
        <v>0</v>
      </c>
    </row>
    <row r="64" spans="2:8">
      <c r="B64" s="758">
        <v>10</v>
      </c>
      <c r="C64" s="759" t="s">
        <v>97</v>
      </c>
      <c r="D64" s="761">
        <f t="shared" si="1"/>
        <v>8980387.7339999992</v>
      </c>
      <c r="E64" s="70">
        <f t="shared" si="2"/>
        <v>89179.62</v>
      </c>
      <c r="F64" s="34">
        <f t="shared" si="3"/>
        <v>0.7</v>
      </c>
      <c r="G64" s="706">
        <f t="shared" si="4"/>
        <v>62425.733999999989</v>
      </c>
      <c r="H64" s="760">
        <v>8917962</v>
      </c>
    </row>
    <row r="65" spans="2:8">
      <c r="B65" s="758">
        <v>11</v>
      </c>
      <c r="C65" s="759" t="s">
        <v>97</v>
      </c>
      <c r="D65" s="761">
        <f t="shared" si="1"/>
        <v>0</v>
      </c>
      <c r="E65" s="70">
        <f t="shared" si="2"/>
        <v>0</v>
      </c>
      <c r="F65" s="34">
        <f t="shared" si="3"/>
        <v>0.7</v>
      </c>
      <c r="G65" s="706">
        <f t="shared" si="4"/>
        <v>0</v>
      </c>
      <c r="H65" s="760">
        <v>0</v>
      </c>
    </row>
    <row r="66" spans="2:8">
      <c r="B66" s="758">
        <v>1</v>
      </c>
      <c r="C66" s="759" t="s">
        <v>98</v>
      </c>
      <c r="D66" s="761">
        <f t="shared" si="1"/>
        <v>11015514.594000001</v>
      </c>
      <c r="E66" s="70">
        <f t="shared" si="2"/>
        <v>109389.42</v>
      </c>
      <c r="F66" s="34">
        <f t="shared" si="3"/>
        <v>0.7</v>
      </c>
      <c r="G66" s="706">
        <f t="shared" si="4"/>
        <v>76572.593999999997</v>
      </c>
      <c r="H66" s="760">
        <v>10938942</v>
      </c>
    </row>
    <row r="67" spans="2:8">
      <c r="B67" s="758">
        <v>5</v>
      </c>
      <c r="C67" s="759" t="s">
        <v>98</v>
      </c>
      <c r="D67" s="761">
        <f t="shared" si="1"/>
        <v>13674534.346000001</v>
      </c>
      <c r="E67" s="70">
        <f t="shared" si="2"/>
        <v>135794.78</v>
      </c>
      <c r="F67" s="34">
        <f t="shared" si="3"/>
        <v>0.7</v>
      </c>
      <c r="G67" s="706">
        <f t="shared" si="4"/>
        <v>95056.34599999999</v>
      </c>
      <c r="H67" s="760">
        <v>13579478</v>
      </c>
    </row>
    <row r="68" spans="2:8">
      <c r="B68" s="758">
        <v>9</v>
      </c>
      <c r="C68" s="759" t="s">
        <v>98</v>
      </c>
      <c r="D68" s="761">
        <f t="shared" si="1"/>
        <v>3301449.5</v>
      </c>
      <c r="E68" s="70">
        <f t="shared" si="2"/>
        <v>32785</v>
      </c>
      <c r="F68" s="34">
        <f t="shared" si="3"/>
        <v>0.7</v>
      </c>
      <c r="G68" s="706">
        <f t="shared" si="4"/>
        <v>22949.5</v>
      </c>
      <c r="H68" s="760">
        <v>3278500</v>
      </c>
    </row>
    <row r="69" spans="2:8">
      <c r="B69" s="758">
        <v>4</v>
      </c>
      <c r="C69" s="759" t="s">
        <v>99</v>
      </c>
      <c r="D69" s="761">
        <f t="shared" si="1"/>
        <v>7018879.6229999997</v>
      </c>
      <c r="E69" s="70">
        <f t="shared" si="2"/>
        <v>69700.89</v>
      </c>
      <c r="F69" s="34">
        <f t="shared" si="3"/>
        <v>0.7</v>
      </c>
      <c r="G69" s="706">
        <f t="shared" si="4"/>
        <v>48790.623</v>
      </c>
      <c r="H69" s="760">
        <v>6970089</v>
      </c>
    </row>
    <row r="70" spans="2:8">
      <c r="B70" s="758">
        <v>8</v>
      </c>
      <c r="C70" s="759" t="s">
        <v>99</v>
      </c>
      <c r="D70" s="761">
        <f t="shared" si="1"/>
        <v>0</v>
      </c>
      <c r="E70" s="70">
        <f t="shared" si="2"/>
        <v>0</v>
      </c>
      <c r="F70" s="34">
        <f t="shared" si="3"/>
        <v>0.7</v>
      </c>
      <c r="G70" s="706">
        <f t="shared" si="4"/>
        <v>0</v>
      </c>
      <c r="H70" s="760">
        <v>0</v>
      </c>
    </row>
    <row r="71" spans="2:8">
      <c r="B71" s="766">
        <v>12</v>
      </c>
      <c r="C71" s="767" t="s">
        <v>99</v>
      </c>
      <c r="D71" s="768">
        <f t="shared" si="1"/>
        <v>11761475.018999999</v>
      </c>
      <c r="E71" s="72">
        <f t="shared" si="2"/>
        <v>116797.17</v>
      </c>
      <c r="F71" s="48">
        <f t="shared" si="3"/>
        <v>0.7</v>
      </c>
      <c r="G71" s="944">
        <f t="shared" si="4"/>
        <v>81758.019</v>
      </c>
      <c r="H71" s="769">
        <v>11679717</v>
      </c>
    </row>
    <row r="72" spans="2:8" ht="14" thickBot="1">
      <c r="B72" s="762" t="s">
        <v>55</v>
      </c>
      <c r="C72" s="763"/>
      <c r="D72" s="764">
        <f>SUM(D60:D71)</f>
        <v>56643589.887000002</v>
      </c>
      <c r="E72" s="945">
        <f t="shared" si="2"/>
        <v>562498.41</v>
      </c>
      <c r="F72" s="240">
        <f t="shared" si="3"/>
        <v>0.7</v>
      </c>
      <c r="G72" s="946">
        <f t="shared" si="4"/>
        <v>393748.88699999999</v>
      </c>
      <c r="H72" s="765">
        <f>SUM(H60:H71)</f>
        <v>56249841</v>
      </c>
    </row>
    <row r="73" spans="2:8">
      <c r="B73" s="2"/>
      <c r="C73" s="2"/>
      <c r="D73" s="2"/>
      <c r="E73" s="2"/>
      <c r="F73" s="2"/>
    </row>
    <row r="74" spans="2:8">
      <c r="B74" s="11" t="s">
        <v>357</v>
      </c>
      <c r="C74" s="1188" t="s">
        <v>358</v>
      </c>
      <c r="D74" s="1188"/>
      <c r="E74" s="1188"/>
      <c r="F74" s="1188"/>
    </row>
    <row r="75" spans="2:8">
      <c r="B75" s="2"/>
      <c r="C75" s="1188"/>
      <c r="D75" s="1188"/>
      <c r="E75" s="1188"/>
      <c r="F75" s="1188"/>
    </row>
    <row r="76" spans="2:8">
      <c r="B76" s="2"/>
      <c r="C76" s="1188"/>
      <c r="D76" s="1188"/>
      <c r="E76" s="1188"/>
      <c r="F76" s="1188"/>
    </row>
  </sheetData>
  <mergeCells count="3">
    <mergeCell ref="B58:D58"/>
    <mergeCell ref="C74:F76"/>
    <mergeCell ref="N4:T4"/>
  </mergeCells>
  <hyperlinks>
    <hyperlink ref="N30" r:id="rId1" display="https://www.miamidade.gov/global/housing/fair-market-rents.page" xr:uid="{01840EE7-1E54-0147-901F-3E7C2565E4E2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E4361-8ADB-4516-BC62-8CD9A513B270}">
  <dimension ref="B1:K97"/>
  <sheetViews>
    <sheetView workbookViewId="0">
      <selection activeCell="H1" sqref="H1:I1"/>
    </sheetView>
  </sheetViews>
  <sheetFormatPr baseColWidth="10" defaultColWidth="8.83203125" defaultRowHeight="13"/>
  <cols>
    <col min="1" max="1" width="8.83203125" style="2"/>
    <col min="2" max="2" width="68" style="2" customWidth="1"/>
    <col min="3" max="6" width="15.5" style="2" customWidth="1"/>
    <col min="7" max="7" width="8.83203125" style="2"/>
    <col min="8" max="8" width="56.6640625" style="2" customWidth="1"/>
    <col min="9" max="9" width="12.33203125" style="2" bestFit="1" customWidth="1"/>
    <col min="10" max="10" width="83.5" style="2" customWidth="1"/>
    <col min="11" max="11" width="52.1640625" style="2" bestFit="1" customWidth="1"/>
    <col min="12" max="16384" width="8.83203125" style="2"/>
  </cols>
  <sheetData>
    <row r="1" spans="2:11" ht="14" thickBot="1">
      <c r="H1" s="5" t="s">
        <v>1</v>
      </c>
      <c r="I1" s="6" t="s">
        <v>2</v>
      </c>
    </row>
    <row r="2" spans="2:11">
      <c r="B2" s="882" t="s">
        <v>359</v>
      </c>
      <c r="C2" s="883" t="s">
        <v>55</v>
      </c>
      <c r="D2" s="883" t="s">
        <v>4</v>
      </c>
      <c r="E2" s="883" t="s">
        <v>5</v>
      </c>
      <c r="F2" s="884" t="s">
        <v>6</v>
      </c>
      <c r="H2" s="224" t="s">
        <v>362</v>
      </c>
      <c r="I2" s="662"/>
      <c r="J2" s="663"/>
    </row>
    <row r="3" spans="2:11" ht="14" thickBot="1">
      <c r="B3" s="227" t="s">
        <v>360</v>
      </c>
      <c r="C3" s="83">
        <f ca="1">SUM(D3:F3)</f>
        <v>55889876.997958258</v>
      </c>
      <c r="D3" s="83">
        <f ca="1">'Detailed Uses'!L25+(SUM('Detailed Uses'!L28:L37,'Detailed Uses'!K40:K43))+'Detailed Uses'!L47+'Detailed Uses'!L48+'Detailed Uses'!L64</f>
        <v>35692280.402860045</v>
      </c>
      <c r="E3" s="84">
        <f ca="1">'Detailed Uses'!V25+SUM('Detailed Uses'!V28:V37,'Detailed Uses'!V40:V43)+'Detailed Uses'!V47+'Detailed Uses'!V48+'Detailed Uses'!V63</f>
        <v>9167131.2114613131</v>
      </c>
      <c r="F3" s="228">
        <f ca="1">'Detailed Uses'!AF25+SUM('Detailed Uses'!AF28:AF37,'Detailed Uses'!AF40:AF43)+'Detailed Uses'!AF47+'Detailed Uses'!AF48+'Detailed Uses'!AF64</f>
        <v>11030465.383636899</v>
      </c>
      <c r="H3" s="664" t="s">
        <v>364</v>
      </c>
      <c r="I3" s="665" t="s">
        <v>365</v>
      </c>
      <c r="J3" s="666" t="s">
        <v>366</v>
      </c>
    </row>
    <row r="4" spans="2:11" ht="28">
      <c r="B4" s="227"/>
      <c r="C4" s="34"/>
      <c r="D4" s="34"/>
      <c r="E4" s="34"/>
      <c r="F4" s="229"/>
      <c r="H4" s="656" t="s">
        <v>367</v>
      </c>
      <c r="I4" s="9" t="s">
        <v>368</v>
      </c>
      <c r="J4" s="657" t="s">
        <v>369</v>
      </c>
    </row>
    <row r="5" spans="2:11" ht="28">
      <c r="B5" s="227" t="s">
        <v>361</v>
      </c>
      <c r="C5" s="83">
        <f ca="1">MIN(C3/'3.Affordable Rental Housing'!H11,250000)</f>
        <v>250000</v>
      </c>
      <c r="D5" s="83">
        <f ca="1">MIN(D3/'3.Affordable Rental Housing'!E11,250000)</f>
        <v>250000</v>
      </c>
      <c r="E5" s="83">
        <f ca="1">MIN(E3/E17, 250000)</f>
        <v>227858.02943525254</v>
      </c>
      <c r="F5" s="228">
        <f ca="1">MIN(F3/F17,250000)</f>
        <v>223213.25670756842</v>
      </c>
      <c r="H5" s="658" t="s">
        <v>371</v>
      </c>
      <c r="I5" s="9" t="s">
        <v>372</v>
      </c>
      <c r="J5" s="659" t="s">
        <v>373</v>
      </c>
    </row>
    <row r="6" spans="2:11" ht="19" customHeight="1">
      <c r="B6" s="227" t="s">
        <v>363</v>
      </c>
      <c r="C6" s="83">
        <f ca="1">MIN(C5*1.3,250000)</f>
        <v>250000</v>
      </c>
      <c r="D6" s="83">
        <v>250000</v>
      </c>
      <c r="E6" s="83">
        <f ca="1">MIN(E5*1.3,250000)</f>
        <v>250000</v>
      </c>
      <c r="F6" s="228">
        <f ca="1">MIN(F5*1.3,250000)</f>
        <v>250000</v>
      </c>
      <c r="H6" s="147" t="s">
        <v>375</v>
      </c>
      <c r="I6" s="9" t="s">
        <v>372</v>
      </c>
      <c r="J6" s="148" t="s">
        <v>376</v>
      </c>
      <c r="K6" s="300"/>
    </row>
    <row r="7" spans="2:11" ht="15" customHeight="1">
      <c r="B7" s="227"/>
      <c r="C7" s="34"/>
      <c r="D7" s="34"/>
      <c r="E7" s="34"/>
      <c r="F7" s="229"/>
      <c r="H7" s="147" t="s">
        <v>378</v>
      </c>
      <c r="I7" s="9" t="s">
        <v>372</v>
      </c>
      <c r="J7" s="148" t="s">
        <v>379</v>
      </c>
      <c r="K7" s="23"/>
    </row>
    <row r="8" spans="2:11" ht="14" customHeight="1">
      <c r="B8" s="227" t="s">
        <v>370</v>
      </c>
      <c r="C8" s="71"/>
      <c r="D8" s="71">
        <v>7.4300000000000005E-2</v>
      </c>
      <c r="E8" s="71">
        <v>3.2500000000000001E-2</v>
      </c>
      <c r="F8" s="230">
        <v>3.2500000000000001E-2</v>
      </c>
      <c r="H8" s="147" t="s">
        <v>381</v>
      </c>
      <c r="I8" s="9" t="s">
        <v>382</v>
      </c>
      <c r="J8" s="148" t="s">
        <v>383</v>
      </c>
      <c r="K8" s="23"/>
    </row>
    <row r="9" spans="2:11">
      <c r="B9" s="227" t="s">
        <v>374</v>
      </c>
      <c r="C9" s="83"/>
      <c r="D9" s="83">
        <f>D6*D8</f>
        <v>18575</v>
      </c>
      <c r="E9" s="83">
        <f ca="1">E6*E8</f>
        <v>8125</v>
      </c>
      <c r="F9" s="228">
        <f ca="1">F6*F8</f>
        <v>8125</v>
      </c>
      <c r="H9" s="147" t="s">
        <v>385</v>
      </c>
      <c r="I9" s="9" t="s">
        <v>382</v>
      </c>
      <c r="J9" s="148" t="s">
        <v>386</v>
      </c>
    </row>
    <row r="10" spans="2:11">
      <c r="B10" s="227" t="s">
        <v>377</v>
      </c>
      <c r="C10" s="34"/>
      <c r="D10" s="34">
        <v>10</v>
      </c>
      <c r="E10" s="34">
        <v>10</v>
      </c>
      <c r="F10" s="229">
        <v>10</v>
      </c>
      <c r="H10" s="147" t="s">
        <v>388</v>
      </c>
      <c r="I10" s="9" t="s">
        <v>389</v>
      </c>
      <c r="J10" s="148" t="s">
        <v>390</v>
      </c>
    </row>
    <row r="11" spans="2:11">
      <c r="B11" s="227" t="s">
        <v>380</v>
      </c>
      <c r="C11" s="83"/>
      <c r="D11" s="83">
        <f>D9*D10</f>
        <v>185750</v>
      </c>
      <c r="E11" s="83">
        <f ca="1">E9*E10</f>
        <v>81250</v>
      </c>
      <c r="F11" s="228">
        <f ca="1">F9*F10</f>
        <v>81250</v>
      </c>
      <c r="H11" s="147" t="s">
        <v>392</v>
      </c>
      <c r="I11" s="9" t="s">
        <v>393</v>
      </c>
      <c r="J11" s="148" t="s">
        <v>394</v>
      </c>
    </row>
    <row r="12" spans="2:11">
      <c r="B12" s="227" t="s">
        <v>384</v>
      </c>
      <c r="C12" s="71"/>
      <c r="D12" s="71">
        <v>0.99990000000000001</v>
      </c>
      <c r="E12" s="71">
        <v>0.99990000000000001</v>
      </c>
      <c r="F12" s="230">
        <v>0.99990000000000001</v>
      </c>
      <c r="H12" s="147" t="s">
        <v>90</v>
      </c>
      <c r="I12" s="9" t="s">
        <v>396</v>
      </c>
      <c r="J12" s="148" t="s">
        <v>397</v>
      </c>
    </row>
    <row r="13" spans="2:11">
      <c r="B13" s="227" t="s">
        <v>387</v>
      </c>
      <c r="C13" s="83"/>
      <c r="D13" s="83">
        <f>D12*D11</f>
        <v>185731.42499999999</v>
      </c>
      <c r="E13" s="83">
        <f ca="1">E12*E11</f>
        <v>81241.875</v>
      </c>
      <c r="F13" s="228">
        <f ca="1">F12*F11</f>
        <v>81241.875</v>
      </c>
      <c r="H13" s="147" t="s">
        <v>398</v>
      </c>
      <c r="I13" s="9" t="s">
        <v>389</v>
      </c>
      <c r="J13" s="148" t="s">
        <v>399</v>
      </c>
    </row>
    <row r="14" spans="2:11">
      <c r="B14" s="227" t="s">
        <v>391</v>
      </c>
      <c r="C14" s="85"/>
      <c r="D14" s="85">
        <v>0.93</v>
      </c>
      <c r="E14" s="85">
        <v>0.93</v>
      </c>
      <c r="F14" s="231">
        <v>0.93</v>
      </c>
      <c r="H14" s="147" t="s">
        <v>400</v>
      </c>
      <c r="I14" s="9" t="s">
        <v>401</v>
      </c>
      <c r="J14" s="148" t="s">
        <v>402</v>
      </c>
    </row>
    <row r="15" spans="2:11" ht="14" thickBot="1">
      <c r="B15" s="227" t="s">
        <v>395</v>
      </c>
      <c r="C15" s="83"/>
      <c r="D15" s="83">
        <f>D14*D13</f>
        <v>172730.22524999999</v>
      </c>
      <c r="E15" s="83">
        <f ca="1">E14*E13</f>
        <v>75554.943750000006</v>
      </c>
      <c r="F15" s="228">
        <f ca="1">F14*F13</f>
        <v>75554.943750000006</v>
      </c>
      <c r="H15" s="149" t="s">
        <v>92</v>
      </c>
      <c r="I15" s="258" t="s">
        <v>372</v>
      </c>
      <c r="J15" s="660" t="s">
        <v>404</v>
      </c>
    </row>
    <row r="16" spans="2:11">
      <c r="B16" s="227"/>
      <c r="C16" s="34"/>
      <c r="D16" s="34"/>
      <c r="E16" s="34"/>
      <c r="F16" s="229"/>
    </row>
    <row r="17" spans="2:8">
      <c r="B17" s="232" t="s">
        <v>275</v>
      </c>
      <c r="C17" s="86">
        <f>SUM(D17:F17)</f>
        <v>216.9621084848485</v>
      </c>
      <c r="D17" s="86">
        <f>'3.Affordable Rental Housing'!E11</f>
        <v>127.31362848484849</v>
      </c>
      <c r="E17" s="86">
        <f>'3.Affordable Rental Housing'!G11-'3.Affordable Rental Housing'!E11</f>
        <v>40.23176727272724</v>
      </c>
      <c r="F17" s="233">
        <f>'3.Affordable Rental Housing'!I11-'3.Affordable Rental Housing'!G11</f>
        <v>49.416712727272767</v>
      </c>
    </row>
    <row r="18" spans="2:8" ht="14" thickBot="1">
      <c r="B18" s="234" t="s">
        <v>403</v>
      </c>
      <c r="C18" s="303">
        <f ca="1">SUM(D18:F18)</f>
        <v>28764297.589255698</v>
      </c>
      <c r="D18" s="303">
        <f>D17*D15</f>
        <v>21990911.725582696</v>
      </c>
      <c r="E18" s="235">
        <f ca="1">E17*E15</f>
        <v>3039708.9132539979</v>
      </c>
      <c r="F18" s="236">
        <f ca="1">F17*F15</f>
        <v>3733676.9504190031</v>
      </c>
      <c r="H18" s="9"/>
    </row>
    <row r="19" spans="2:8">
      <c r="B19" s="2" t="s">
        <v>405</v>
      </c>
      <c r="C19" s="73"/>
      <c r="D19" s="73"/>
      <c r="E19" s="73"/>
      <c r="F19" s="73"/>
    </row>
    <row r="20" spans="2:8">
      <c r="B20" s="73"/>
      <c r="C20" s="73"/>
      <c r="D20" s="73"/>
      <c r="E20" s="73"/>
      <c r="F20" s="73"/>
    </row>
    <row r="21" spans="2:8">
      <c r="B21" s="882" t="s">
        <v>406</v>
      </c>
      <c r="C21" s="883" t="s">
        <v>55</v>
      </c>
      <c r="D21" s="883" t="s">
        <v>4</v>
      </c>
      <c r="E21" s="883" t="s">
        <v>5</v>
      </c>
      <c r="F21" s="884" t="s">
        <v>6</v>
      </c>
    </row>
    <row r="22" spans="2:8">
      <c r="B22" s="227" t="s">
        <v>407</v>
      </c>
      <c r="C22" s="83">
        <f>E22</f>
        <v>12000000</v>
      </c>
      <c r="D22" s="83"/>
      <c r="E22" s="83">
        <v>12000000</v>
      </c>
      <c r="F22" s="229"/>
    </row>
    <row r="23" spans="2:8">
      <c r="B23" s="227" t="s">
        <v>408</v>
      </c>
      <c r="C23" s="83">
        <f>E23</f>
        <v>4680000</v>
      </c>
      <c r="D23" s="83"/>
      <c r="E23" s="83">
        <f>E22*0.39</f>
        <v>4680000</v>
      </c>
      <c r="F23" s="229"/>
    </row>
    <row r="24" spans="2:8">
      <c r="B24" s="232" t="s">
        <v>409</v>
      </c>
      <c r="C24" s="88">
        <f>E24</f>
        <v>0.91</v>
      </c>
      <c r="D24" s="88"/>
      <c r="E24" s="88">
        <v>0.91</v>
      </c>
      <c r="F24" s="237"/>
    </row>
    <row r="25" spans="2:8">
      <c r="B25" s="238" t="s">
        <v>410</v>
      </c>
      <c r="C25" s="239">
        <f>E25</f>
        <v>4258800</v>
      </c>
      <c r="D25" s="240"/>
      <c r="E25" s="239">
        <f>E23*E24</f>
        <v>4258800</v>
      </c>
      <c r="F25" s="241"/>
    </row>
    <row r="26" spans="2:8">
      <c r="B26" s="73"/>
      <c r="C26" s="73"/>
      <c r="D26" s="73"/>
      <c r="E26" s="73"/>
      <c r="F26" s="73"/>
    </row>
    <row r="27" spans="2:8">
      <c r="B27" s="73"/>
      <c r="C27" s="73"/>
      <c r="D27" s="73"/>
      <c r="E27" s="73"/>
      <c r="F27" s="73"/>
    </row>
    <row r="28" spans="2:8">
      <c r="B28" s="882" t="s">
        <v>411</v>
      </c>
      <c r="C28" s="883" t="s">
        <v>55</v>
      </c>
      <c r="D28" s="883" t="s">
        <v>4</v>
      </c>
      <c r="E28" s="883" t="s">
        <v>5</v>
      </c>
      <c r="F28" s="884" t="s">
        <v>6</v>
      </c>
    </row>
    <row r="29" spans="2:8">
      <c r="B29" s="227" t="s">
        <v>71</v>
      </c>
      <c r="C29" s="34"/>
      <c r="D29" s="34" t="s">
        <v>97</v>
      </c>
      <c r="E29" s="34" t="s">
        <v>98</v>
      </c>
      <c r="F29" s="229" t="s">
        <v>99</v>
      </c>
    </row>
    <row r="30" spans="2:8">
      <c r="B30" s="227" t="s">
        <v>412</v>
      </c>
      <c r="C30" s="242">
        <f>SUM(D30:F30)</f>
        <v>0</v>
      </c>
      <c r="D30" s="242">
        <f>'3.Affordable Rental Housing'!F35</f>
        <v>0</v>
      </c>
      <c r="E30" s="242">
        <f>'3.Affordable Rental Housing'!H43</f>
        <v>0</v>
      </c>
      <c r="F30" s="243">
        <f>'3.Affordable Rental Housing'!J43</f>
        <v>0</v>
      </c>
    </row>
    <row r="31" spans="2:8">
      <c r="B31" s="227" t="s">
        <v>413</v>
      </c>
      <c r="C31" s="83">
        <f>SUM(D31:F31)</f>
        <v>325562528.71763015</v>
      </c>
      <c r="D31" s="242">
        <f>'2.Market-rate Rental Housing'!F46</f>
        <v>162201431.34130928</v>
      </c>
      <c r="E31" s="242">
        <f>'2.Market-rate Rental Housing'!H46</f>
        <v>74576398.495597988</v>
      </c>
      <c r="F31" s="243">
        <f>'2.Market-rate Rental Housing'!J46</f>
        <v>88784698.88072291</v>
      </c>
    </row>
    <row r="32" spans="2:8">
      <c r="B32" s="227" t="s">
        <v>414</v>
      </c>
      <c r="C32" s="83">
        <f>SUM(D32:F32)</f>
        <v>64331869.891090184</v>
      </c>
      <c r="D32" s="83">
        <f>'5.Market-rate Retail'!F37</f>
        <v>9083825.4450528026</v>
      </c>
      <c r="E32" s="83">
        <f>'5.Market-rate Retail'!H37</f>
        <v>37445687.890822664</v>
      </c>
      <c r="F32" s="228">
        <f>'5.Market-rate Retail'!J37</f>
        <v>17802356.555214718</v>
      </c>
    </row>
    <row r="33" spans="2:6">
      <c r="B33" s="227" t="s">
        <v>415</v>
      </c>
      <c r="C33" s="83">
        <f>SUM(D33:F33)</f>
        <v>398986075.62690371</v>
      </c>
      <c r="D33" s="242">
        <f>'4.Office_Commercial'!F36</f>
        <v>298916552.87344682</v>
      </c>
      <c r="E33" s="242">
        <f>'4.Office_Commercial'!H36</f>
        <v>84107472.487919688</v>
      </c>
      <c r="F33" s="243">
        <f>'4.Office_Commercial'!J36</f>
        <v>15962050.265537202</v>
      </c>
    </row>
    <row r="34" spans="2:6">
      <c r="B34" s="227" t="s">
        <v>416</v>
      </c>
      <c r="C34" s="83">
        <f>SUM(D34:F34)</f>
        <v>81453780.186848089</v>
      </c>
      <c r="D34" s="83">
        <f>'9.Structured Parking'!F50</f>
        <v>48193678.397037581</v>
      </c>
      <c r="E34" s="83">
        <v>0</v>
      </c>
      <c r="F34" s="228">
        <f>'9.Structured Parking'!J50</f>
        <v>33260101.789810508</v>
      </c>
    </row>
    <row r="35" spans="2:6">
      <c r="B35" s="227"/>
      <c r="C35" s="34"/>
      <c r="D35" s="34"/>
      <c r="E35" s="34"/>
      <c r="F35" s="229"/>
    </row>
    <row r="36" spans="2:6">
      <c r="B36" s="227" t="s">
        <v>417</v>
      </c>
      <c r="C36" s="34"/>
      <c r="D36" s="244">
        <v>0.65</v>
      </c>
      <c r="E36" s="244">
        <v>0.65</v>
      </c>
      <c r="F36" s="245">
        <v>0.65</v>
      </c>
    </row>
    <row r="37" spans="2:6">
      <c r="B37" s="227" t="s">
        <v>418</v>
      </c>
      <c r="C37" s="83">
        <f>SUM(D37:F37)</f>
        <v>565717265.37460685</v>
      </c>
      <c r="D37" s="83">
        <f>D36*SUM(D30:D34)</f>
        <v>336957067.23695022</v>
      </c>
      <c r="E37" s="83">
        <f>E36*SUM(E30:E34)</f>
        <v>127484213.26832123</v>
      </c>
      <c r="F37" s="228">
        <f>F36*SUM(F30:F34)</f>
        <v>101275984.86933546</v>
      </c>
    </row>
    <row r="38" spans="2:6">
      <c r="B38" s="227"/>
      <c r="C38" s="34"/>
      <c r="D38" s="34"/>
      <c r="E38" s="34"/>
      <c r="F38" s="229"/>
    </row>
    <row r="39" spans="2:6">
      <c r="B39" s="227" t="s">
        <v>419</v>
      </c>
      <c r="C39" s="83">
        <f>SUM(D39:F39)</f>
        <v>3253577.5701934397</v>
      </c>
      <c r="D39" s="83">
        <f>'3.Affordable Rental Housing'!F21</f>
        <v>750581.52648553473</v>
      </c>
      <c r="E39" s="83">
        <f>'3.Affordable Rental Housing'!H21</f>
        <v>1064402.737348042</v>
      </c>
      <c r="F39" s="228">
        <f>'3.Affordable Rental Housing'!J21</f>
        <v>1438593.3063598631</v>
      </c>
    </row>
    <row r="40" spans="2:6">
      <c r="B40" s="227" t="s">
        <v>420</v>
      </c>
      <c r="C40" s="83">
        <f>SUM(D40:F40)</f>
        <v>47716994.924381763</v>
      </c>
      <c r="D40" s="83">
        <f>'2.Market-rate Rental Housing'!F24</f>
        <v>10543093.037185103</v>
      </c>
      <c r="E40" s="83">
        <f>'2.Market-rate Rental Housing'!H24</f>
        <v>15390558.939398972</v>
      </c>
      <c r="F40" s="228">
        <f>'2.Market-rate Rental Housing'!J24</f>
        <v>21783342.947797682</v>
      </c>
    </row>
    <row r="41" spans="2:6">
      <c r="B41" s="227" t="s">
        <v>421</v>
      </c>
      <c r="C41" s="83">
        <f>SUM(D41:F41)</f>
        <v>8428064.1763316169</v>
      </c>
      <c r="D41" s="83">
        <f>'5.Market-rate Retail'!F17</f>
        <v>681286.9083789601</v>
      </c>
      <c r="E41" s="83">
        <f>'5.Market-rate Retail'!H17</f>
        <v>3489713.5001906599</v>
      </c>
      <c r="F41" s="228">
        <f>'5.Market-rate Retail'!J17</f>
        <v>4257063.767761996</v>
      </c>
    </row>
    <row r="42" spans="2:6">
      <c r="B42" s="227" t="s">
        <v>422</v>
      </c>
      <c r="C42" s="83">
        <f>SUM(D42:F42)</f>
        <v>71306239.299769729</v>
      </c>
      <c r="D42" s="83">
        <f>'4.Office_Commercial'!F16</f>
        <v>19429575.936774045</v>
      </c>
      <c r="E42" s="83">
        <f>'4.Office_Commercial'!H16</f>
        <v>25681516.516334496</v>
      </c>
      <c r="F42" s="228">
        <f>'4.Office_Commercial'!I16</f>
        <v>26195146.846661188</v>
      </c>
    </row>
    <row r="43" spans="2:6">
      <c r="B43" s="227" t="s">
        <v>423</v>
      </c>
      <c r="C43" s="83">
        <f>SUM(D43:F43)</f>
        <v>11642268.814745784</v>
      </c>
      <c r="D43" s="83">
        <f>'9.Structured Parking'!F30</f>
        <v>3132589.0958074429</v>
      </c>
      <c r="E43" s="83">
        <f>'9.Structured Parking'!H30</f>
        <v>3215184.0067932154</v>
      </c>
      <c r="F43" s="228">
        <f>'9.Structured Parking'!J30</f>
        <v>5294495.7121451264</v>
      </c>
    </row>
    <row r="44" spans="2:6">
      <c r="B44" s="227"/>
      <c r="C44" s="34"/>
      <c r="D44" s="34"/>
      <c r="E44" s="34"/>
      <c r="F44" s="229"/>
    </row>
    <row r="45" spans="2:6">
      <c r="B45" s="227" t="s">
        <v>424</v>
      </c>
      <c r="C45" s="34"/>
      <c r="D45" s="34" t="s">
        <v>425</v>
      </c>
      <c r="E45" s="34" t="s">
        <v>425</v>
      </c>
      <c r="F45" s="229" t="s">
        <v>425</v>
      </c>
    </row>
    <row r="46" spans="2:6">
      <c r="B46" s="227" t="s">
        <v>426</v>
      </c>
      <c r="C46" s="34"/>
      <c r="D46" s="83">
        <f>SUM(D39:D43)/1.25</f>
        <v>27629701.203704871</v>
      </c>
      <c r="E46" s="83">
        <f>SUM(E39:E43)/1.25</f>
        <v>39073100.560052313</v>
      </c>
      <c r="F46" s="228">
        <f>SUM(F39:F43)/1.25</f>
        <v>47174914.064580686</v>
      </c>
    </row>
    <row r="47" spans="2:6">
      <c r="B47" s="227" t="s">
        <v>427</v>
      </c>
      <c r="C47" s="34"/>
      <c r="D47" s="34" t="s">
        <v>428</v>
      </c>
      <c r="E47" s="34" t="s">
        <v>428</v>
      </c>
      <c r="F47" s="229" t="s">
        <v>428</v>
      </c>
    </row>
    <row r="48" spans="2:6">
      <c r="B48" s="227" t="s">
        <v>311</v>
      </c>
      <c r="C48" s="34"/>
      <c r="D48" s="71">
        <v>6.5000000000000002E-2</v>
      </c>
      <c r="E48" s="71">
        <v>6.5000000000000002E-2</v>
      </c>
      <c r="F48" s="230">
        <v>6.5000000000000002E-2</v>
      </c>
    </row>
    <row r="49" spans="2:6">
      <c r="B49" s="227" t="s">
        <v>429</v>
      </c>
      <c r="C49" s="83">
        <f>SUM(D49:F49)</f>
        <v>1487092183.9181581</v>
      </c>
      <c r="D49" s="83">
        <f>PV(D48,30,-D46)</f>
        <v>360807313.39887947</v>
      </c>
      <c r="E49" s="83">
        <f>PV(E48,30,-E46)</f>
        <v>510242956.85638267</v>
      </c>
      <c r="F49" s="228">
        <f>PV(F48,30,-F46)</f>
        <v>616041913.66289604</v>
      </c>
    </row>
    <row r="50" spans="2:6">
      <c r="B50" s="232"/>
      <c r="C50" s="48"/>
      <c r="D50" s="48"/>
      <c r="E50" s="48"/>
      <c r="F50" s="237"/>
    </row>
    <row r="51" spans="2:6">
      <c r="B51" s="238" t="s">
        <v>430</v>
      </c>
      <c r="C51" s="235">
        <f>SUM(D51:F51)</f>
        <v>565717265.37460685</v>
      </c>
      <c r="D51" s="235">
        <f>MIN(D37,D49)</f>
        <v>336957067.23695022</v>
      </c>
      <c r="E51" s="235">
        <f>MIN(E37,E49)</f>
        <v>127484213.26832123</v>
      </c>
      <c r="F51" s="236">
        <f>MIN(F37,F49)</f>
        <v>101275984.86933546</v>
      </c>
    </row>
    <row r="52" spans="2:6">
      <c r="B52" s="73"/>
      <c r="C52" s="73"/>
      <c r="D52" s="73"/>
      <c r="E52" s="73"/>
      <c r="F52" s="73"/>
    </row>
    <row r="53" spans="2:6">
      <c r="B53" s="246" t="s">
        <v>431</v>
      </c>
      <c r="C53" s="225" t="s">
        <v>55</v>
      </c>
      <c r="D53" s="225" t="s">
        <v>4</v>
      </c>
      <c r="E53" s="225" t="s">
        <v>5</v>
      </c>
      <c r="F53" s="226" t="s">
        <v>6</v>
      </c>
    </row>
    <row r="54" spans="2:6">
      <c r="B54" s="247" t="s">
        <v>432</v>
      </c>
      <c r="C54" s="248">
        <v>280772861</v>
      </c>
      <c r="D54" s="249"/>
      <c r="E54" s="248">
        <f>'8.Hotel'!G29</f>
        <v>143109812.24895597</v>
      </c>
      <c r="F54" s="250">
        <f>'8.Hotel'!I38</f>
        <v>92752258.861099273</v>
      </c>
    </row>
    <row r="55" spans="2:6">
      <c r="B55" s="247"/>
      <c r="C55" s="249"/>
      <c r="D55" s="249"/>
      <c r="E55" s="249"/>
      <c r="F55" s="251"/>
    </row>
    <row r="56" spans="2:6">
      <c r="B56" s="247" t="s">
        <v>417</v>
      </c>
      <c r="C56" s="252">
        <v>0.8</v>
      </c>
      <c r="D56" s="252">
        <v>0.8</v>
      </c>
      <c r="E56" s="252">
        <v>0.8</v>
      </c>
      <c r="F56" s="253">
        <v>0.8</v>
      </c>
    </row>
    <row r="57" spans="2:6">
      <c r="B57" s="247" t="s">
        <v>418</v>
      </c>
      <c r="C57" s="248">
        <f>SUM(D57:F57)</f>
        <v>188689656.88804418</v>
      </c>
      <c r="D57" s="248">
        <v>0</v>
      </c>
      <c r="E57" s="248">
        <f>E54*E56</f>
        <v>114487849.79916477</v>
      </c>
      <c r="F57" s="250">
        <f>F54*F56</f>
        <v>74201807.088879421</v>
      </c>
    </row>
    <row r="58" spans="2:6">
      <c r="B58" s="247"/>
      <c r="C58" s="249"/>
      <c r="D58" s="249"/>
      <c r="E58" s="249"/>
      <c r="F58" s="251"/>
    </row>
    <row r="59" spans="2:6">
      <c r="B59" s="247" t="s">
        <v>433</v>
      </c>
      <c r="C59" s="248">
        <f>SUM(D59:F59)</f>
        <v>19249411.754772507</v>
      </c>
      <c r="D59" s="248"/>
      <c r="E59" s="248">
        <f>'8.Hotel'!H17</f>
        <v>11679968.19951481</v>
      </c>
      <c r="F59" s="250">
        <f>'8.Hotel'!J17-E59*1.02^2</f>
        <v>7569443.5552576967</v>
      </c>
    </row>
    <row r="60" spans="2:6">
      <c r="B60" s="247"/>
      <c r="C60" s="249"/>
      <c r="D60" s="249"/>
      <c r="E60" s="249"/>
      <c r="F60" s="251"/>
    </row>
    <row r="61" spans="2:6">
      <c r="B61" s="247" t="s">
        <v>424</v>
      </c>
      <c r="C61" s="249"/>
      <c r="D61" s="249" t="s">
        <v>434</v>
      </c>
      <c r="E61" s="249" t="s">
        <v>434</v>
      </c>
      <c r="F61" s="251" t="s">
        <v>434</v>
      </c>
    </row>
    <row r="62" spans="2:6">
      <c r="B62" s="247" t="s">
        <v>426</v>
      </c>
      <c r="C62" s="249"/>
      <c r="D62" s="248"/>
      <c r="E62" s="248">
        <f>E59/1.3</f>
        <v>8984590.9227037001</v>
      </c>
      <c r="F62" s="250">
        <f>F59/1.3</f>
        <v>5822648.8886597669</v>
      </c>
    </row>
    <row r="63" spans="2:6">
      <c r="B63" s="247" t="s">
        <v>427</v>
      </c>
      <c r="C63" s="249"/>
      <c r="D63" s="249" t="s">
        <v>435</v>
      </c>
      <c r="E63" s="249" t="s">
        <v>435</v>
      </c>
      <c r="F63" s="251" t="s">
        <v>435</v>
      </c>
    </row>
    <row r="64" spans="2:6">
      <c r="B64" s="247" t="s">
        <v>311</v>
      </c>
      <c r="C64" s="249"/>
      <c r="D64" s="254">
        <v>0.06</v>
      </c>
      <c r="E64" s="254">
        <v>0.06</v>
      </c>
      <c r="F64" s="255">
        <v>0.06</v>
      </c>
    </row>
    <row r="65" spans="2:6">
      <c r="B65" s="247" t="s">
        <v>429</v>
      </c>
      <c r="C65" s="248">
        <f>SUM(D65:F65)</f>
        <v>246787330.18939114</v>
      </c>
      <c r="D65" s="248"/>
      <c r="E65" s="248">
        <f>E62/E64</f>
        <v>149743182.04506168</v>
      </c>
      <c r="F65" s="250">
        <f>F62/F64</f>
        <v>97044148.144329458</v>
      </c>
    </row>
    <row r="66" spans="2:6">
      <c r="B66" s="247"/>
      <c r="C66" s="249"/>
      <c r="D66" s="249"/>
      <c r="E66" s="249"/>
      <c r="F66" s="251"/>
    </row>
    <row r="67" spans="2:6">
      <c r="B67" s="256" t="s">
        <v>430</v>
      </c>
      <c r="C67" s="82">
        <f>SUM(D67:F67)</f>
        <v>188689656.88804418</v>
      </c>
      <c r="D67" s="82">
        <v>0</v>
      </c>
      <c r="E67" s="82">
        <f>MIN(E57,E65)</f>
        <v>114487849.79916477</v>
      </c>
      <c r="F67" s="257">
        <f>MIN(F57,F65)</f>
        <v>74201807.088879421</v>
      </c>
    </row>
    <row r="68" spans="2:6">
      <c r="B68" s="247" t="s">
        <v>436</v>
      </c>
      <c r="C68" s="249"/>
      <c r="D68" s="249"/>
      <c r="E68" s="248">
        <f>E67</f>
        <v>114487849.79916477</v>
      </c>
      <c r="F68" s="250">
        <f>F67</f>
        <v>74201807.088879421</v>
      </c>
    </row>
    <row r="69" spans="2:6">
      <c r="B69" s="149" t="s">
        <v>437</v>
      </c>
      <c r="C69" s="258"/>
      <c r="D69" s="258"/>
      <c r="E69" s="259">
        <f>E67-E68</f>
        <v>0</v>
      </c>
      <c r="F69" s="152">
        <f>F67-F68</f>
        <v>0</v>
      </c>
    </row>
    <row r="72" spans="2:6">
      <c r="B72" s="246" t="s">
        <v>438</v>
      </c>
      <c r="C72" s="225" t="s">
        <v>55</v>
      </c>
      <c r="D72" s="225" t="s">
        <v>4</v>
      </c>
      <c r="E72" s="225" t="s">
        <v>5</v>
      </c>
      <c r="F72" s="226" t="s">
        <v>6</v>
      </c>
    </row>
    <row r="73" spans="2:6">
      <c r="B73" s="247" t="s">
        <v>439</v>
      </c>
      <c r="C73" s="248"/>
      <c r="D73" s="249" t="s">
        <v>440</v>
      </c>
      <c r="E73" s="248" t="s">
        <v>440</v>
      </c>
      <c r="F73" s="250" t="s">
        <v>440</v>
      </c>
    </row>
    <row r="74" spans="2:6">
      <c r="B74" s="247" t="s">
        <v>441</v>
      </c>
      <c r="C74" s="312">
        <f>SUM(D74:F74)</f>
        <v>1879944.9603200001</v>
      </c>
      <c r="D74" s="312">
        <f>'Detailed Uses'!G22</f>
        <v>602000</v>
      </c>
      <c r="E74" s="312">
        <f>'Detailed Uses'!H22</f>
        <v>626320.80000000005</v>
      </c>
      <c r="F74" s="312">
        <f>'Detailed Uses'!I22</f>
        <v>651624.16032000002</v>
      </c>
    </row>
    <row r="75" spans="2:6">
      <c r="B75" s="247" t="s">
        <v>442</v>
      </c>
      <c r="C75" s="312">
        <f>SUM(D75:F75)</f>
        <v>6000000</v>
      </c>
      <c r="D75" s="312">
        <f>'Summary Board II -  S+U'!F12</f>
        <v>2000000</v>
      </c>
      <c r="E75" s="312">
        <f>'Summary Board II -  S+U'!H12</f>
        <v>2000000</v>
      </c>
      <c r="F75" s="313">
        <f>'Summary Board II -  S+U'!J12</f>
        <v>2000000</v>
      </c>
    </row>
    <row r="76" spans="2:6">
      <c r="B76" s="247" t="s">
        <v>443</v>
      </c>
      <c r="C76" s="312">
        <f>SUM(D76:F76)</f>
        <v>1500000</v>
      </c>
      <c r="D76" s="248">
        <f>'Summary Board II -  S+U'!F13</f>
        <v>500000</v>
      </c>
      <c r="E76" s="312">
        <f>'Summary Board II -  S+U'!H13</f>
        <v>500000</v>
      </c>
      <c r="F76" s="313">
        <f>'Summary Board II -  S+U'!J13</f>
        <v>500000</v>
      </c>
    </row>
    <row r="77" spans="2:6">
      <c r="C77" s="249"/>
      <c r="D77" s="249"/>
      <c r="E77" s="249"/>
      <c r="F77" s="251"/>
    </row>
    <row r="78" spans="2:6">
      <c r="B78" s="247" t="s">
        <v>444</v>
      </c>
      <c r="C78" s="248"/>
      <c r="D78" s="248"/>
      <c r="E78" s="248"/>
      <c r="F78" s="250"/>
    </row>
    <row r="79" spans="2:6">
      <c r="B79" s="247" t="s">
        <v>445</v>
      </c>
      <c r="C79" s="249">
        <f>SUM(D79:F79)</f>
        <v>866508</v>
      </c>
      <c r="D79" s="315">
        <f>'Parcel breakdown'!AH19</f>
        <v>682049</v>
      </c>
      <c r="E79" s="315">
        <f>'Parcel breakdown'!AH20</f>
        <v>184459</v>
      </c>
      <c r="F79" s="251"/>
    </row>
    <row r="80" spans="2:6" ht="12.75" customHeight="1">
      <c r="B80" s="247" t="s">
        <v>446</v>
      </c>
      <c r="C80" s="249"/>
      <c r="D80" s="316">
        <f>D79/300</f>
        <v>2273.4966666666664</v>
      </c>
      <c r="E80" s="316">
        <f>E79/300</f>
        <v>614.86333333333334</v>
      </c>
      <c r="F80" s="251"/>
    </row>
    <row r="81" spans="2:6" ht="15" customHeight="1">
      <c r="B81" s="317" t="s">
        <v>447</v>
      </c>
      <c r="C81" s="318">
        <f>SUM(D81:F81)</f>
        <v>7220899.9999999991</v>
      </c>
      <c r="D81" s="318">
        <f>D80*2500</f>
        <v>5683741.666666666</v>
      </c>
      <c r="E81" s="318">
        <f>E80*2500</f>
        <v>1537158.3333333333</v>
      </c>
      <c r="F81" s="319">
        <f>F78/1.3</f>
        <v>0</v>
      </c>
    </row>
    <row r="84" spans="2:6">
      <c r="B84" s="246" t="s">
        <v>448</v>
      </c>
      <c r="C84" s="225" t="s">
        <v>55</v>
      </c>
      <c r="D84" s="225" t="s">
        <v>4</v>
      </c>
      <c r="E84" s="225" t="s">
        <v>5</v>
      </c>
      <c r="F84" s="226" t="s">
        <v>6</v>
      </c>
    </row>
    <row r="85" spans="2:6">
      <c r="B85" s="247" t="s">
        <v>449</v>
      </c>
      <c r="C85" s="312">
        <f>SUM(D85:F85)</f>
        <v>4000000</v>
      </c>
      <c r="D85" s="312">
        <f>2000000</f>
        <v>2000000</v>
      </c>
      <c r="E85" s="312">
        <f>2000000</f>
        <v>2000000</v>
      </c>
      <c r="F85" s="250">
        <v>0</v>
      </c>
    </row>
    <row r="86" spans="2:6">
      <c r="B86" s="247" t="s">
        <v>450</v>
      </c>
      <c r="C86" s="312">
        <f>SUM(D86:F86)</f>
        <v>800000</v>
      </c>
      <c r="D86" s="312">
        <f>'Summary Board II -  S+U'!F63</f>
        <v>800000</v>
      </c>
      <c r="E86" s="312">
        <v>0</v>
      </c>
      <c r="F86" s="312">
        <v>0</v>
      </c>
    </row>
    <row r="87" spans="2:6">
      <c r="B87" s="317" t="s">
        <v>451</v>
      </c>
      <c r="C87" s="318">
        <f>SUM(D87:F87)</f>
        <v>2000000</v>
      </c>
      <c r="D87" s="318">
        <f>'Summary Board II -  S+U'!F61</f>
        <v>2000000</v>
      </c>
      <c r="E87" s="318">
        <f>'Summary Board II -  S+U'!H24</f>
        <v>0</v>
      </c>
      <c r="F87" s="320">
        <f>'Summary Board II -  S+U'!J24</f>
        <v>0</v>
      </c>
    </row>
    <row r="88" spans="2:6">
      <c r="B88" s="76" t="s">
        <v>452</v>
      </c>
    </row>
    <row r="91" spans="2:6">
      <c r="B91" s="246" t="s">
        <v>453</v>
      </c>
      <c r="C91" s="225" t="s">
        <v>55</v>
      </c>
      <c r="D91" s="225" t="s">
        <v>4</v>
      </c>
      <c r="E91" s="225" t="s">
        <v>5</v>
      </c>
      <c r="F91" s="226" t="s">
        <v>6</v>
      </c>
    </row>
    <row r="92" spans="2:6">
      <c r="B92" s="323" t="s">
        <v>454</v>
      </c>
      <c r="C92" s="324">
        <f>SUM(D92:F92)</f>
        <v>12973760.482441265</v>
      </c>
      <c r="D92" s="324">
        <v>0</v>
      </c>
      <c r="E92" s="324">
        <f>'4.Office_Commercial'!G17</f>
        <v>12973760.482441265</v>
      </c>
      <c r="F92" s="325">
        <v>0</v>
      </c>
    </row>
    <row r="93" spans="2:6">
      <c r="B93" s="326" t="s">
        <v>455</v>
      </c>
      <c r="C93" s="312"/>
      <c r="D93" s="312"/>
      <c r="E93" s="254">
        <v>5.5E-2</v>
      </c>
      <c r="F93" s="327"/>
    </row>
    <row r="94" spans="2:6">
      <c r="B94" s="326" t="s">
        <v>456</v>
      </c>
      <c r="C94" s="312">
        <f>SUM(D94:F94)</f>
        <v>713556.82653426961</v>
      </c>
      <c r="D94" s="312">
        <v>0</v>
      </c>
      <c r="E94" s="312">
        <f>E92*E93</f>
        <v>713556.82653426961</v>
      </c>
      <c r="F94" s="327">
        <v>0</v>
      </c>
    </row>
    <row r="95" spans="2:6">
      <c r="B95" s="326" t="s">
        <v>457</v>
      </c>
      <c r="C95" s="312">
        <f>SUM(D95:F95)</f>
        <v>14271136.530685391</v>
      </c>
      <c r="D95" s="248">
        <v>0</v>
      </c>
      <c r="E95" s="312">
        <f>E94*20</f>
        <v>14271136.530685391</v>
      </c>
      <c r="F95" s="327">
        <v>0</v>
      </c>
    </row>
    <row r="96" spans="2:6">
      <c r="B96" s="328" t="s">
        <v>458</v>
      </c>
      <c r="C96" s="312">
        <f>SUM(D96:F96)</f>
        <v>12130466.051082583</v>
      </c>
      <c r="D96" s="249"/>
      <c r="E96" s="312">
        <f>E95*0.85</f>
        <v>12130466.051082583</v>
      </c>
      <c r="F96" s="329"/>
    </row>
    <row r="97" spans="2:6">
      <c r="B97" s="330" t="s">
        <v>459</v>
      </c>
      <c r="C97" s="318">
        <f>SUM(D97:F97)</f>
        <v>50000000</v>
      </c>
      <c r="D97" s="318">
        <f>50000000</f>
        <v>50000000</v>
      </c>
      <c r="E97" s="322"/>
      <c r="F97" s="33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E36A0-7071-4B5D-833E-3F70756FD576}">
  <dimension ref="A1:BA76"/>
  <sheetViews>
    <sheetView zoomScale="82" zoomScaleNormal="82" workbookViewId="0">
      <selection activeCell="I1" sqref="H1:I1"/>
    </sheetView>
  </sheetViews>
  <sheetFormatPr baseColWidth="10" defaultColWidth="8.83203125" defaultRowHeight="13"/>
  <cols>
    <col min="1" max="1" width="8.83203125" style="2"/>
    <col min="2" max="2" width="11.5" style="2" customWidth="1"/>
    <col min="3" max="3" width="14.5" style="2" customWidth="1"/>
    <col min="4" max="4" width="16.5" style="34" customWidth="1"/>
    <col min="5" max="11" width="14.5" style="34" customWidth="1"/>
    <col min="12" max="12" width="14.5" style="34" hidden="1" customWidth="1"/>
    <col min="13" max="13" width="4" style="34" hidden="1" customWidth="1"/>
    <col min="14" max="14" width="4.1640625" style="34" hidden="1" customWidth="1"/>
    <col min="15" max="15" width="12.6640625" style="2" bestFit="1" customWidth="1"/>
    <col min="16" max="16" width="7.5" style="34" customWidth="1"/>
    <col min="17" max="26" width="16.5" style="34" customWidth="1"/>
    <col min="27" max="27" width="6.6640625" style="34" customWidth="1"/>
    <col min="28" max="28" width="6" style="34" customWidth="1"/>
    <col min="29" max="29" width="16.5" style="2" customWidth="1"/>
    <col min="30" max="30" width="16.1640625" style="2" customWidth="1"/>
    <col min="31" max="36" width="16.5" style="2" customWidth="1"/>
    <col min="37" max="37" width="16.5" style="2" hidden="1" customWidth="1"/>
    <col min="38" max="38" width="8.83203125" style="2"/>
    <col min="39" max="40" width="9" style="2" bestFit="1" customWidth="1"/>
    <col min="41" max="41" width="12.5" style="2" customWidth="1"/>
    <col min="42" max="42" width="9" style="2" bestFit="1" customWidth="1"/>
    <col min="43" max="52" width="16.5" style="2" customWidth="1"/>
    <col min="53" max="53" width="11.6640625" style="2" bestFit="1" customWidth="1"/>
    <col min="54" max="54" width="13.5" style="2" customWidth="1"/>
    <col min="55" max="55" width="8.83203125" style="2"/>
    <col min="56" max="56" width="17.5" style="2" customWidth="1"/>
    <col min="57" max="57" width="15.33203125" style="2" customWidth="1"/>
    <col min="58" max="58" width="17.1640625" style="2" customWidth="1"/>
    <col min="59" max="59" width="15.5" style="2" bestFit="1" customWidth="1"/>
    <col min="60" max="61" width="14.1640625" style="2" bestFit="1" customWidth="1"/>
    <col min="62" max="16384" width="8.83203125" style="2"/>
  </cols>
  <sheetData>
    <row r="1" spans="1:51" ht="16" customHeight="1" thickBot="1">
      <c r="A1" s="73"/>
      <c r="B1" s="73"/>
      <c r="C1" s="73"/>
      <c r="H1" s="1063" t="s">
        <v>1</v>
      </c>
      <c r="I1" s="1064" t="s">
        <v>2</v>
      </c>
      <c r="O1" s="73"/>
      <c r="Q1" s="998">
        <v>0</v>
      </c>
      <c r="R1" s="998">
        <f>+Q1+1</f>
        <v>1</v>
      </c>
      <c r="S1" s="998">
        <f t="shared" ref="S1:X1" si="0">+R1+1</f>
        <v>2</v>
      </c>
      <c r="T1" s="998">
        <f t="shared" si="0"/>
        <v>3</v>
      </c>
      <c r="U1" s="998">
        <f t="shared" si="0"/>
        <v>4</v>
      </c>
      <c r="V1" s="998">
        <f t="shared" si="0"/>
        <v>5</v>
      </c>
      <c r="W1" s="998">
        <f t="shared" si="0"/>
        <v>6</v>
      </c>
      <c r="X1" s="998">
        <f t="shared" si="0"/>
        <v>7</v>
      </c>
      <c r="Y1" s="998"/>
      <c r="Z1" s="998"/>
      <c r="AC1" s="998">
        <v>0</v>
      </c>
      <c r="AD1" s="998">
        <f>+AC1+1</f>
        <v>1</v>
      </c>
      <c r="AE1" s="998">
        <f t="shared" ref="AE1:AJ1" si="1">+AD1+1</f>
        <v>2</v>
      </c>
      <c r="AF1" s="998">
        <f t="shared" si="1"/>
        <v>3</v>
      </c>
      <c r="AG1" s="998">
        <f t="shared" si="1"/>
        <v>4</v>
      </c>
      <c r="AH1" s="998">
        <f t="shared" si="1"/>
        <v>5</v>
      </c>
      <c r="AI1" s="998">
        <f t="shared" si="1"/>
        <v>6</v>
      </c>
      <c r="AJ1" s="998">
        <f t="shared" si="1"/>
        <v>7</v>
      </c>
      <c r="AK1" s="998" t="e">
        <f>+#REF!+1</f>
        <v>#REF!</v>
      </c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</row>
    <row r="2" spans="1:51" ht="16" customHeight="1" thickBot="1">
      <c r="A2" s="73"/>
      <c r="B2" s="73"/>
      <c r="C2" s="73"/>
      <c r="O2" s="73"/>
      <c r="Q2" s="999">
        <f>Assumptions!G40*0.975</f>
        <v>201.65959821428572</v>
      </c>
      <c r="R2" s="999">
        <f>Assumptions!G40</f>
        <v>206.83035714285717</v>
      </c>
      <c r="S2" s="999">
        <v>190</v>
      </c>
      <c r="T2" s="999">
        <f>Assumptions!G41</f>
        <v>210.36833333333334</v>
      </c>
      <c r="U2" s="999">
        <f>Assumptions!G45*0.5+Assumptions!G46*0.5</f>
        <v>181.90982142857143</v>
      </c>
      <c r="V2" s="999">
        <f>Assumptions!G42</f>
        <v>161.84559523809526</v>
      </c>
      <c r="W2" s="999">
        <v>150</v>
      </c>
      <c r="X2" s="999">
        <f>Assumptions!G43</f>
        <v>61.342857142857149</v>
      </c>
      <c r="Y2" s="999"/>
      <c r="Z2" s="999"/>
      <c r="AC2" s="998"/>
      <c r="AD2" s="998"/>
      <c r="AE2" s="998"/>
      <c r="AF2" s="998"/>
      <c r="AG2" s="998"/>
      <c r="AH2" s="998"/>
      <c r="AI2" s="998"/>
      <c r="AJ2" s="998"/>
      <c r="AK2" s="998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</row>
    <row r="3" spans="1:51" ht="16" customHeight="1">
      <c r="A3" s="73"/>
      <c r="B3" s="661"/>
      <c r="C3" s="662"/>
      <c r="D3" s="662"/>
      <c r="E3" s="662"/>
      <c r="F3" s="662"/>
      <c r="G3" s="662"/>
      <c r="H3" s="662"/>
      <c r="I3" s="662"/>
      <c r="J3" s="662"/>
      <c r="K3" s="662"/>
      <c r="L3" s="663"/>
      <c r="M3" s="789"/>
      <c r="N3" s="789"/>
      <c r="O3" s="663"/>
      <c r="Q3" s="1192" t="s">
        <v>461</v>
      </c>
      <c r="R3" s="1193"/>
      <c r="S3" s="1193"/>
      <c r="T3" s="1193"/>
      <c r="U3" s="1193"/>
      <c r="V3" s="1193"/>
      <c r="W3" s="1193"/>
      <c r="X3" s="1193"/>
      <c r="Y3" s="1193" t="s">
        <v>462</v>
      </c>
      <c r="Z3" s="1194"/>
      <c r="AC3" s="1192" t="s">
        <v>463</v>
      </c>
      <c r="AD3" s="1193"/>
      <c r="AE3" s="1193"/>
      <c r="AF3" s="1193"/>
      <c r="AG3" s="1193"/>
      <c r="AH3" s="1193"/>
      <c r="AI3" s="1193"/>
      <c r="AJ3" s="1194"/>
      <c r="AK3" s="680"/>
      <c r="AM3" s="1192" t="s">
        <v>464</v>
      </c>
      <c r="AN3" s="1193"/>
      <c r="AO3" s="1194"/>
      <c r="AQ3" s="661"/>
      <c r="AR3" s="816" t="s">
        <v>465</v>
      </c>
      <c r="AS3" s="816"/>
      <c r="AT3" s="816"/>
      <c r="AU3" s="816"/>
      <c r="AV3" s="816"/>
      <c r="AW3" s="816"/>
      <c r="AX3" s="816"/>
      <c r="AY3" s="817"/>
    </row>
    <row r="4" spans="1:51" ht="28">
      <c r="B4" s="667" t="s">
        <v>208</v>
      </c>
      <c r="C4" s="603" t="s">
        <v>93</v>
      </c>
      <c r="D4" s="603" t="s">
        <v>466</v>
      </c>
      <c r="E4" s="604" t="s">
        <v>467</v>
      </c>
      <c r="F4" s="604" t="s">
        <v>468</v>
      </c>
      <c r="G4" s="604" t="s">
        <v>469</v>
      </c>
      <c r="H4" s="604" t="s">
        <v>470</v>
      </c>
      <c r="I4" s="604" t="s">
        <v>471</v>
      </c>
      <c r="J4" s="604" t="s">
        <v>472</v>
      </c>
      <c r="K4" s="604" t="s">
        <v>473</v>
      </c>
      <c r="L4" s="668" t="s">
        <v>474</v>
      </c>
      <c r="M4" s="605"/>
      <c r="N4" s="605"/>
      <c r="O4" s="668" t="s">
        <v>475</v>
      </c>
      <c r="P4" s="605"/>
      <c r="Q4" s="681" t="s">
        <v>209</v>
      </c>
      <c r="R4" s="604" t="s">
        <v>210</v>
      </c>
      <c r="S4" s="604" t="s">
        <v>109</v>
      </c>
      <c r="T4" s="604" t="s">
        <v>15</v>
      </c>
      <c r="U4" s="604" t="s">
        <v>211</v>
      </c>
      <c r="V4" s="604" t="s">
        <v>212</v>
      </c>
      <c r="W4" s="604" t="s">
        <v>476</v>
      </c>
      <c r="X4" s="604" t="s">
        <v>213</v>
      </c>
      <c r="Y4" s="604" t="s">
        <v>477</v>
      </c>
      <c r="Z4" s="668" t="s">
        <v>478</v>
      </c>
      <c r="AA4" s="605"/>
      <c r="AB4" s="605"/>
      <c r="AC4" s="681" t="s">
        <v>209</v>
      </c>
      <c r="AD4" s="604" t="s">
        <v>210</v>
      </c>
      <c r="AE4" s="604" t="s">
        <v>109</v>
      </c>
      <c r="AF4" s="604" t="s">
        <v>15</v>
      </c>
      <c r="AG4" s="604" t="s">
        <v>211</v>
      </c>
      <c r="AH4" s="604" t="s">
        <v>212</v>
      </c>
      <c r="AI4" s="604" t="s">
        <v>476</v>
      </c>
      <c r="AJ4" s="668" t="s">
        <v>213</v>
      </c>
      <c r="AK4" s="682" t="s">
        <v>479</v>
      </c>
      <c r="AM4" s="949" t="s">
        <v>480</v>
      </c>
      <c r="AN4" s="950" t="s">
        <v>15</v>
      </c>
      <c r="AO4" s="951" t="s">
        <v>481</v>
      </c>
      <c r="AP4" s="3"/>
      <c r="AQ4" s="949" t="s">
        <v>482</v>
      </c>
      <c r="AR4" s="950" t="str">
        <f t="shared" ref="AR4:AY4" si="2">+AC4</f>
        <v>Affordable Residential</v>
      </c>
      <c r="AS4" s="950" t="str">
        <f t="shared" si="2"/>
        <v>Market Rate and WF Residential</v>
      </c>
      <c r="AT4" s="950" t="str">
        <f t="shared" si="2"/>
        <v>Retail</v>
      </c>
      <c r="AU4" s="950" t="str">
        <f t="shared" si="2"/>
        <v>Hotel</v>
      </c>
      <c r="AV4" s="950" t="str">
        <f t="shared" si="2"/>
        <v>Community Facility</v>
      </c>
      <c r="AW4" s="950" t="str">
        <f t="shared" si="2"/>
        <v>Office</v>
      </c>
      <c r="AX4" s="950" t="str">
        <f t="shared" si="2"/>
        <v>Affordable Art Space</v>
      </c>
      <c r="AY4" s="951" t="str">
        <f t="shared" si="2"/>
        <v>Structural Parking</v>
      </c>
    </row>
    <row r="5" spans="1:51" s="73" customFormat="1" ht="14">
      <c r="B5" s="669"/>
      <c r="C5" s="606"/>
      <c r="D5" s="605"/>
      <c r="E5" s="607"/>
      <c r="F5" s="607"/>
      <c r="G5" s="607"/>
      <c r="H5" s="607"/>
      <c r="I5" s="607"/>
      <c r="J5" s="607"/>
      <c r="K5" s="607"/>
      <c r="L5" s="670"/>
      <c r="M5" s="605"/>
      <c r="N5" s="605"/>
      <c r="O5" s="684" t="s">
        <v>483</v>
      </c>
      <c r="P5" s="605"/>
      <c r="Q5" s="683"/>
      <c r="R5" s="608"/>
      <c r="S5" s="605"/>
      <c r="T5" s="605"/>
      <c r="U5" s="605"/>
      <c r="V5" s="605"/>
      <c r="W5" s="605"/>
      <c r="X5" s="605"/>
      <c r="Y5" s="605"/>
      <c r="Z5" s="684"/>
      <c r="AA5" s="605"/>
      <c r="AB5" s="605"/>
      <c r="AC5" s="1002">
        <v>0.2</v>
      </c>
      <c r="AD5" s="1003">
        <v>0.8</v>
      </c>
      <c r="AE5" s="605"/>
      <c r="AF5" s="605"/>
      <c r="AG5" s="605"/>
      <c r="AH5" s="605"/>
      <c r="AI5" s="605"/>
      <c r="AJ5" s="684"/>
      <c r="AK5" s="684"/>
      <c r="AM5" s="227"/>
      <c r="AN5" s="34"/>
      <c r="AO5" s="229"/>
      <c r="AQ5" s="818"/>
      <c r="AR5" s="605"/>
      <c r="AS5" s="605"/>
      <c r="AT5" s="605"/>
      <c r="AU5" s="605"/>
      <c r="AV5" s="605"/>
      <c r="AW5" s="605"/>
      <c r="AX5" s="605"/>
      <c r="AY5" s="684"/>
    </row>
    <row r="6" spans="1:51" ht="16" customHeight="1">
      <c r="A6" s="609" t="str">
        <f>RIGHT(B6,2)</f>
        <v xml:space="preserve"> 1</v>
      </c>
      <c r="B6" s="671" t="s">
        <v>484</v>
      </c>
      <c r="C6" s="35" t="s">
        <v>98</v>
      </c>
      <c r="D6" s="35" t="s">
        <v>485</v>
      </c>
      <c r="E6" s="672">
        <v>102714</v>
      </c>
      <c r="F6" s="672">
        <v>41033</v>
      </c>
      <c r="G6" s="672">
        <v>4</v>
      </c>
      <c r="H6" s="672">
        <v>20253</v>
      </c>
      <c r="I6" s="672">
        <v>12</v>
      </c>
      <c r="J6" s="672">
        <v>7794</v>
      </c>
      <c r="K6" s="672">
        <v>10</v>
      </c>
      <c r="L6" s="673">
        <v>0</v>
      </c>
      <c r="M6" s="103"/>
      <c r="N6" s="103"/>
      <c r="O6" s="673">
        <f>(F6*G6)+(H6*I6)+(J6*K6)</f>
        <v>485108</v>
      </c>
      <c r="P6" s="103"/>
      <c r="Q6" s="692">
        <f t="shared" ref="Q6:Q17" si="3">+Q$2*AC6</f>
        <v>3143469.8169642859</v>
      </c>
      <c r="R6" s="84">
        <f t="shared" ref="R6:R17" si="4">+R$2*AD6</f>
        <v>12896286.428571431</v>
      </c>
      <c r="S6" s="84">
        <f t="shared" ref="S6:S17" si="5">+S$2*AE6</f>
        <v>7796270</v>
      </c>
      <c r="T6" s="84">
        <f t="shared" ref="T6:T17" si="6">+T$2*AF6</f>
        <v>51127078.259999998</v>
      </c>
      <c r="U6" s="84">
        <f t="shared" ref="U6:U17" si="7">+U$2*AG6</f>
        <v>0</v>
      </c>
      <c r="V6" s="84">
        <f t="shared" ref="V6:V17" si="8">+V$2*AH6</f>
        <v>19923030.928214289</v>
      </c>
      <c r="W6" s="84">
        <f t="shared" ref="W6:W17" si="9">+W$2*AI6</f>
        <v>0</v>
      </c>
      <c r="X6" s="84">
        <f t="shared" ref="X6:X17" si="10">+X$2*AJ6</f>
        <v>0</v>
      </c>
      <c r="Y6" s="84">
        <f t="shared" ref="Y6:Y17" si="11">+SUM(Q6:X6)/O6</f>
        <v>195.59796052373906</v>
      </c>
      <c r="Z6" s="693">
        <f t="shared" ref="Z6:Z17" si="12">+SUM(Q6:W6)/SUM(F6:H6)</f>
        <v>1548.150357868331</v>
      </c>
      <c r="AA6" s="103"/>
      <c r="AB6" s="103"/>
      <c r="AC6" s="685">
        <f t="shared" ref="AC6:AD17" si="13">+($O6-SUM($AE6:$AJ6))*AC$5</f>
        <v>15588</v>
      </c>
      <c r="AD6" s="672">
        <f t="shared" si="13"/>
        <v>62352</v>
      </c>
      <c r="AE6" s="672">
        <f>F6*1</f>
        <v>41033</v>
      </c>
      <c r="AF6" s="672">
        <f>H6*I6</f>
        <v>243036</v>
      </c>
      <c r="AG6" s="672">
        <v>0</v>
      </c>
      <c r="AH6" s="672">
        <f>F6*3</f>
        <v>123099</v>
      </c>
      <c r="AI6" s="672">
        <v>0</v>
      </c>
      <c r="AJ6" s="673">
        <f>+L6</f>
        <v>0</v>
      </c>
      <c r="AK6" s="686">
        <f t="shared" ref="AK6:AK21" si="14">+O6-SUM(AC6:AJ6)</f>
        <v>0</v>
      </c>
      <c r="AL6" s="73"/>
      <c r="AM6" s="696">
        <v>0.85</v>
      </c>
      <c r="AN6" s="952">
        <v>0.81245776040612305</v>
      </c>
      <c r="AO6" s="953">
        <f t="shared" ref="AO6:AO17" si="15">+SUM(AR6:AX6)/SUM(AC6:AI6)</f>
        <v>0.84810863613476273</v>
      </c>
      <c r="AP6" s="610"/>
      <c r="AQ6" s="819">
        <f t="shared" ref="AQ6:AQ18" si="16">+SUM(AR6:AY6)</f>
        <v>411424.28425806249</v>
      </c>
      <c r="AR6" s="103">
        <f t="shared" ref="AR6:AR17" si="17">+AC6*$AM6</f>
        <v>13249.8</v>
      </c>
      <c r="AS6" s="103">
        <f t="shared" ref="AS6:AS17" si="18">+AD6*$AM6</f>
        <v>52999.199999999997</v>
      </c>
      <c r="AT6" s="103">
        <f>+AE6*0.9</f>
        <v>36929.700000000004</v>
      </c>
      <c r="AU6" s="103">
        <f t="shared" ref="AU6:AU17" si="19">+AF6*AN6</f>
        <v>197456.48425806253</v>
      </c>
      <c r="AV6" s="103">
        <f t="shared" ref="AV6:AV17" si="20">+AG6</f>
        <v>0</v>
      </c>
      <c r="AW6" s="103">
        <f t="shared" ref="AW6:AW17" si="21">+AH6*0.9</f>
        <v>110789.1</v>
      </c>
      <c r="AX6" s="103">
        <f t="shared" ref="AX6:AX17" si="22">+AI6</f>
        <v>0</v>
      </c>
      <c r="AY6" s="710">
        <f t="shared" ref="AY6:AY17" si="23">+AJ6</f>
        <v>0</v>
      </c>
    </row>
    <row r="7" spans="1:51" ht="16" customHeight="1">
      <c r="A7" s="609" t="str">
        <f t="shared" ref="A7:A9" si="24">RIGHT(B7,2)</f>
        <v xml:space="preserve"> 2</v>
      </c>
      <c r="B7" s="671" t="s">
        <v>486</v>
      </c>
      <c r="C7" s="35" t="s">
        <v>97</v>
      </c>
      <c r="D7" s="35" t="s">
        <v>485</v>
      </c>
      <c r="E7" s="672">
        <v>95973</v>
      </c>
      <c r="F7" s="672">
        <v>65285</v>
      </c>
      <c r="G7" s="672">
        <v>4</v>
      </c>
      <c r="H7" s="672">
        <v>30532</v>
      </c>
      <c r="I7" s="672">
        <v>6</v>
      </c>
      <c r="J7" s="672">
        <v>20253</v>
      </c>
      <c r="K7" s="672">
        <v>23</v>
      </c>
      <c r="L7" s="673">
        <v>0</v>
      </c>
      <c r="M7" s="103"/>
      <c r="N7" s="103"/>
      <c r="O7" s="673">
        <f t="shared" ref="O7" si="25">(F7*G7)+(H7*I7)+(J7*K7)</f>
        <v>910151</v>
      </c>
      <c r="P7" s="103"/>
      <c r="Q7" s="692">
        <f t="shared" si="3"/>
        <v>0</v>
      </c>
      <c r="R7" s="84">
        <f t="shared" si="4"/>
        <v>0</v>
      </c>
      <c r="S7" s="84">
        <f t="shared" si="5"/>
        <v>3101037.5</v>
      </c>
      <c r="T7" s="84">
        <f t="shared" si="6"/>
        <v>0</v>
      </c>
      <c r="U7" s="84">
        <f t="shared" si="7"/>
        <v>0</v>
      </c>
      <c r="V7" s="84">
        <f t="shared" si="8"/>
        <v>105039571.61107144</v>
      </c>
      <c r="W7" s="84">
        <f t="shared" si="9"/>
        <v>0</v>
      </c>
      <c r="X7" s="84">
        <f t="shared" si="10"/>
        <v>15017881.607142858</v>
      </c>
      <c r="Y7" s="84">
        <f t="shared" si="11"/>
        <v>135.31654716438734</v>
      </c>
      <c r="Z7" s="693">
        <f t="shared" si="12"/>
        <v>1128.568989168047</v>
      </c>
      <c r="AA7" s="103"/>
      <c r="AB7" s="103"/>
      <c r="AC7" s="685">
        <f t="shared" si="13"/>
        <v>0</v>
      </c>
      <c r="AD7" s="672">
        <f t="shared" si="13"/>
        <v>0</v>
      </c>
      <c r="AE7" s="672">
        <f>F7*0.25</f>
        <v>16321.25</v>
      </c>
      <c r="AF7" s="672">
        <v>0</v>
      </c>
      <c r="AG7" s="672">
        <v>0</v>
      </c>
      <c r="AH7" s="672">
        <f>(H7*I7)+(J7*23)</f>
        <v>649011</v>
      </c>
      <c r="AI7" s="672">
        <v>0</v>
      </c>
      <c r="AJ7" s="673">
        <f>F7*3.75</f>
        <v>244818.75</v>
      </c>
      <c r="AK7" s="687">
        <f t="shared" si="14"/>
        <v>0</v>
      </c>
      <c r="AL7" s="73"/>
      <c r="AM7" s="696">
        <v>0.85</v>
      </c>
      <c r="AN7" s="952">
        <v>0.81245776040612305</v>
      </c>
      <c r="AO7" s="953">
        <f t="shared" si="15"/>
        <v>0.9</v>
      </c>
      <c r="AP7" s="611"/>
      <c r="AQ7" s="819">
        <f t="shared" si="16"/>
        <v>843617.77500000002</v>
      </c>
      <c r="AR7" s="103">
        <f t="shared" si="17"/>
        <v>0</v>
      </c>
      <c r="AS7" s="103">
        <f t="shared" si="18"/>
        <v>0</v>
      </c>
      <c r="AT7" s="103">
        <f>+AE7*0.9</f>
        <v>14689.125</v>
      </c>
      <c r="AU7" s="103">
        <f t="shared" si="19"/>
        <v>0</v>
      </c>
      <c r="AV7" s="103">
        <f t="shared" si="20"/>
        <v>0</v>
      </c>
      <c r="AW7" s="103">
        <f t="shared" si="21"/>
        <v>584109.9</v>
      </c>
      <c r="AX7" s="103">
        <f t="shared" si="22"/>
        <v>0</v>
      </c>
      <c r="AY7" s="710">
        <f t="shared" si="23"/>
        <v>244818.75</v>
      </c>
    </row>
    <row r="8" spans="1:51" ht="16" customHeight="1">
      <c r="A8" s="609" t="str">
        <f t="shared" si="24"/>
        <v xml:space="preserve"> 3</v>
      </c>
      <c r="B8" s="671" t="s">
        <v>487</v>
      </c>
      <c r="C8" s="35" t="s">
        <v>97</v>
      </c>
      <c r="D8" s="35" t="s">
        <v>485</v>
      </c>
      <c r="E8" s="672">
        <v>35396</v>
      </c>
      <c r="F8" s="672">
        <v>17043</v>
      </c>
      <c r="G8" s="672">
        <v>4</v>
      </c>
      <c r="H8" s="672">
        <v>20253</v>
      </c>
      <c r="I8" s="672">
        <v>23</v>
      </c>
      <c r="J8" s="672">
        <v>0</v>
      </c>
      <c r="K8" s="672">
        <v>0</v>
      </c>
      <c r="L8" s="673">
        <v>0</v>
      </c>
      <c r="M8" s="103"/>
      <c r="N8" s="103"/>
      <c r="O8" s="673">
        <f>(F8*G8)+(H8*I8)+(J8*K8)</f>
        <v>533991</v>
      </c>
      <c r="P8" s="103"/>
      <c r="Q8" s="692">
        <f t="shared" si="3"/>
        <v>18787374.476116072</v>
      </c>
      <c r="R8" s="84">
        <f t="shared" si="4"/>
        <v>77076408.107142866</v>
      </c>
      <c r="S8" s="84">
        <f t="shared" si="5"/>
        <v>0</v>
      </c>
      <c r="T8" s="84">
        <f t="shared" si="6"/>
        <v>0</v>
      </c>
      <c r="U8" s="84">
        <f t="shared" si="7"/>
        <v>3100289.0866071428</v>
      </c>
      <c r="V8" s="84">
        <f t="shared" si="8"/>
        <v>0</v>
      </c>
      <c r="W8" s="84">
        <f t="shared" si="9"/>
        <v>0</v>
      </c>
      <c r="X8" s="84">
        <f t="shared" si="10"/>
        <v>3136398.942857143</v>
      </c>
      <c r="Y8" s="84">
        <f t="shared" si="11"/>
        <v>191.20260568571985</v>
      </c>
      <c r="Z8" s="693">
        <f t="shared" si="12"/>
        <v>2653.1922699696001</v>
      </c>
      <c r="AA8" s="103"/>
      <c r="AB8" s="103"/>
      <c r="AC8" s="685">
        <f t="shared" si="13"/>
        <v>93163.8</v>
      </c>
      <c r="AD8" s="672">
        <f t="shared" si="13"/>
        <v>372655.2</v>
      </c>
      <c r="AE8" s="672">
        <v>0</v>
      </c>
      <c r="AF8" s="672">
        <v>0</v>
      </c>
      <c r="AG8" s="672">
        <f>F8*1</f>
        <v>17043</v>
      </c>
      <c r="AH8" s="672">
        <v>0</v>
      </c>
      <c r="AI8" s="672">
        <v>0</v>
      </c>
      <c r="AJ8" s="673">
        <f>F8*3</f>
        <v>51129</v>
      </c>
      <c r="AK8" s="687">
        <f t="shared" si="14"/>
        <v>0</v>
      </c>
      <c r="AL8" s="73"/>
      <c r="AM8" s="696">
        <v>0.85</v>
      </c>
      <c r="AN8" s="952">
        <v>0.81245776040612305</v>
      </c>
      <c r="AO8" s="953">
        <f t="shared" si="15"/>
        <v>0.85529436981994844</v>
      </c>
      <c r="AP8" s="73"/>
      <c r="AQ8" s="819">
        <f t="shared" si="16"/>
        <v>464118.14999999997</v>
      </c>
      <c r="AR8" s="103">
        <f t="shared" si="17"/>
        <v>79189.23</v>
      </c>
      <c r="AS8" s="103">
        <f t="shared" si="18"/>
        <v>316756.92</v>
      </c>
      <c r="AT8" s="103">
        <f>+AE8*0.8</f>
        <v>0</v>
      </c>
      <c r="AU8" s="103">
        <f t="shared" si="19"/>
        <v>0</v>
      </c>
      <c r="AV8" s="103">
        <f t="shared" si="20"/>
        <v>17043</v>
      </c>
      <c r="AW8" s="103">
        <f t="shared" si="21"/>
        <v>0</v>
      </c>
      <c r="AX8" s="103">
        <f t="shared" si="22"/>
        <v>0</v>
      </c>
      <c r="AY8" s="710">
        <f t="shared" si="23"/>
        <v>51129</v>
      </c>
    </row>
    <row r="9" spans="1:51" ht="16" customHeight="1">
      <c r="A9" s="609" t="str">
        <f t="shared" si="24"/>
        <v xml:space="preserve"> 4</v>
      </c>
      <c r="B9" s="671" t="s">
        <v>488</v>
      </c>
      <c r="C9" s="35" t="s">
        <v>99</v>
      </c>
      <c r="D9" s="35" t="s">
        <v>485</v>
      </c>
      <c r="E9" s="672">
        <v>35473</v>
      </c>
      <c r="F9" s="672">
        <v>19857</v>
      </c>
      <c r="G9" s="672">
        <v>4</v>
      </c>
      <c r="H9" s="672">
        <v>8689</v>
      </c>
      <c r="I9" s="672">
        <v>12</v>
      </c>
      <c r="J9" s="672">
        <v>0</v>
      </c>
      <c r="K9" s="672">
        <v>0</v>
      </c>
      <c r="L9" s="673">
        <v>0</v>
      </c>
      <c r="M9" s="103"/>
      <c r="N9" s="103"/>
      <c r="O9" s="673">
        <f>(F9*G9)+(H9*I9)</f>
        <v>183696</v>
      </c>
      <c r="P9" s="103"/>
      <c r="Q9" s="692">
        <f t="shared" si="3"/>
        <v>0</v>
      </c>
      <c r="R9" s="84">
        <f t="shared" si="4"/>
        <v>0</v>
      </c>
      <c r="S9" s="84">
        <f t="shared" si="5"/>
        <v>943207.5</v>
      </c>
      <c r="T9" s="84">
        <f t="shared" si="6"/>
        <v>21934685.379999999</v>
      </c>
      <c r="U9" s="84">
        <f t="shared" si="7"/>
        <v>0</v>
      </c>
      <c r="V9" s="84">
        <f t="shared" si="8"/>
        <v>0</v>
      </c>
      <c r="W9" s="84">
        <f t="shared" si="9"/>
        <v>0</v>
      </c>
      <c r="X9" s="84">
        <f t="shared" si="10"/>
        <v>4567819.1785714291</v>
      </c>
      <c r="Y9" s="84">
        <f t="shared" si="11"/>
        <v>149.40832711965109</v>
      </c>
      <c r="Z9" s="693">
        <f t="shared" si="12"/>
        <v>801.32724623467595</v>
      </c>
      <c r="AA9" s="103"/>
      <c r="AB9" s="103"/>
      <c r="AC9" s="685">
        <f t="shared" si="13"/>
        <v>0</v>
      </c>
      <c r="AD9" s="672">
        <f t="shared" si="13"/>
        <v>0</v>
      </c>
      <c r="AE9" s="672">
        <f>F9*0.25</f>
        <v>4964.25</v>
      </c>
      <c r="AF9" s="672">
        <f>H9*I9</f>
        <v>104268</v>
      </c>
      <c r="AG9" s="672">
        <v>0</v>
      </c>
      <c r="AH9" s="672">
        <v>0</v>
      </c>
      <c r="AI9" s="672">
        <v>0</v>
      </c>
      <c r="AJ9" s="673">
        <f>F9*3.75</f>
        <v>74463.75</v>
      </c>
      <c r="AK9" s="687">
        <f t="shared" si="14"/>
        <v>0</v>
      </c>
      <c r="AL9" s="73"/>
      <c r="AM9" s="696">
        <v>0.85</v>
      </c>
      <c r="AN9" s="952">
        <v>0.81245776040612305</v>
      </c>
      <c r="AO9" s="953">
        <f t="shared" si="15"/>
        <v>0.81643627007615094</v>
      </c>
      <c r="AP9" s="610"/>
      <c r="AQ9" s="819">
        <f t="shared" si="16"/>
        <v>163644.92076202563</v>
      </c>
      <c r="AR9" s="103">
        <f t="shared" si="17"/>
        <v>0</v>
      </c>
      <c r="AS9" s="103">
        <f t="shared" si="18"/>
        <v>0</v>
      </c>
      <c r="AT9" s="103">
        <f t="shared" ref="AT9:AT17" si="26">+AE9*0.9</f>
        <v>4467.8249999999998</v>
      </c>
      <c r="AU9" s="103">
        <f t="shared" si="19"/>
        <v>84713.345762025638</v>
      </c>
      <c r="AV9" s="103">
        <f t="shared" si="20"/>
        <v>0</v>
      </c>
      <c r="AW9" s="103">
        <f t="shared" si="21"/>
        <v>0</v>
      </c>
      <c r="AX9" s="103">
        <f t="shared" si="22"/>
        <v>0</v>
      </c>
      <c r="AY9" s="710">
        <f t="shared" si="23"/>
        <v>74463.75</v>
      </c>
    </row>
    <row r="10" spans="1:51" ht="16" customHeight="1">
      <c r="A10" s="609" t="str">
        <f>RIGHT(B10,1)</f>
        <v>5</v>
      </c>
      <c r="B10" s="671" t="s">
        <v>489</v>
      </c>
      <c r="C10" s="35" t="s">
        <v>98</v>
      </c>
      <c r="D10" s="35" t="s">
        <v>485</v>
      </c>
      <c r="E10" s="672">
        <v>76462</v>
      </c>
      <c r="F10" s="672">
        <v>34442</v>
      </c>
      <c r="G10" s="672">
        <v>2</v>
      </c>
      <c r="H10" s="672">
        <v>20432</v>
      </c>
      <c r="I10" s="672">
        <v>3</v>
      </c>
      <c r="J10" s="672">
        <v>0</v>
      </c>
      <c r="K10" s="672">
        <v>0</v>
      </c>
      <c r="L10" s="673">
        <v>0</v>
      </c>
      <c r="M10" s="103"/>
      <c r="N10" s="103"/>
      <c r="O10" s="673">
        <f>(F10*G10)+(H10*I10)</f>
        <v>130180</v>
      </c>
      <c r="P10" s="103"/>
      <c r="Q10" s="692">
        <f t="shared" si="3"/>
        <v>2472185.3464285717</v>
      </c>
      <c r="R10" s="84">
        <f t="shared" si="4"/>
        <v>10142298.857142858</v>
      </c>
      <c r="S10" s="84">
        <f t="shared" si="5"/>
        <v>3271990</v>
      </c>
      <c r="T10" s="84">
        <f t="shared" si="6"/>
        <v>0</v>
      </c>
      <c r="U10" s="84">
        <f t="shared" si="7"/>
        <v>0</v>
      </c>
      <c r="V10" s="84">
        <f t="shared" si="8"/>
        <v>5574285.9911904773</v>
      </c>
      <c r="W10" s="84">
        <f t="shared" si="9"/>
        <v>2583150</v>
      </c>
      <c r="X10" s="84">
        <f t="shared" si="10"/>
        <v>0</v>
      </c>
      <c r="Y10" s="84">
        <f t="shared" si="11"/>
        <v>184.69742045446233</v>
      </c>
      <c r="Z10" s="693">
        <f t="shared" si="12"/>
        <v>438.14983225384333</v>
      </c>
      <c r="AA10" s="103"/>
      <c r="AB10" s="103"/>
      <c r="AC10" s="685">
        <f t="shared" si="13"/>
        <v>12259.2</v>
      </c>
      <c r="AD10" s="672">
        <f t="shared" si="13"/>
        <v>49036.800000000003</v>
      </c>
      <c r="AE10" s="672">
        <f>F10*0.5</f>
        <v>17221</v>
      </c>
      <c r="AF10" s="672">
        <v>0</v>
      </c>
      <c r="AG10" s="672">
        <v>0</v>
      </c>
      <c r="AH10" s="672">
        <f>F10</f>
        <v>34442</v>
      </c>
      <c r="AI10" s="672">
        <f>F10*0.5</f>
        <v>17221</v>
      </c>
      <c r="AJ10" s="673">
        <v>0</v>
      </c>
      <c r="AK10" s="687">
        <f t="shared" si="14"/>
        <v>0</v>
      </c>
      <c r="AL10" s="73"/>
      <c r="AM10" s="696">
        <v>0.85</v>
      </c>
      <c r="AN10" s="952">
        <v>0.81245776040612305</v>
      </c>
      <c r="AO10" s="953">
        <f t="shared" si="15"/>
        <v>0.88968581963435245</v>
      </c>
      <c r="AP10" s="610"/>
      <c r="AQ10" s="819">
        <f t="shared" si="16"/>
        <v>115819.3</v>
      </c>
      <c r="AR10" s="103">
        <f t="shared" si="17"/>
        <v>10420.32</v>
      </c>
      <c r="AS10" s="103">
        <f t="shared" si="18"/>
        <v>41681.279999999999</v>
      </c>
      <c r="AT10" s="103">
        <f t="shared" si="26"/>
        <v>15498.9</v>
      </c>
      <c r="AU10" s="103">
        <f t="shared" si="19"/>
        <v>0</v>
      </c>
      <c r="AV10" s="103">
        <f t="shared" si="20"/>
        <v>0</v>
      </c>
      <c r="AW10" s="103">
        <f t="shared" si="21"/>
        <v>30997.8</v>
      </c>
      <c r="AX10" s="103">
        <f t="shared" si="22"/>
        <v>17221</v>
      </c>
      <c r="AY10" s="710">
        <f t="shared" si="23"/>
        <v>0</v>
      </c>
    </row>
    <row r="11" spans="1:51" ht="16" customHeight="1">
      <c r="A11" s="609" t="str">
        <f t="shared" ref="A11:A17" si="27">RIGHT(B11,1)</f>
        <v>6</v>
      </c>
      <c r="B11" s="671" t="s">
        <v>490</v>
      </c>
      <c r="C11" s="35" t="s">
        <v>97</v>
      </c>
      <c r="D11" s="35" t="s">
        <v>485</v>
      </c>
      <c r="E11" s="672">
        <v>76433</v>
      </c>
      <c r="F11" s="672">
        <v>0</v>
      </c>
      <c r="G11" s="672">
        <v>0</v>
      </c>
      <c r="H11" s="672">
        <v>0</v>
      </c>
      <c r="I11" s="672">
        <v>0</v>
      </c>
      <c r="J11" s="672">
        <v>0</v>
      </c>
      <c r="K11" s="672">
        <v>0</v>
      </c>
      <c r="L11" s="673">
        <v>0</v>
      </c>
      <c r="M11" s="103"/>
      <c r="N11" s="103"/>
      <c r="O11" s="673">
        <f>+(F11*G11)+(H11*I11)</f>
        <v>0</v>
      </c>
      <c r="P11" s="103"/>
      <c r="Q11" s="692">
        <f t="shared" si="3"/>
        <v>0</v>
      </c>
      <c r="R11" s="84">
        <f t="shared" si="4"/>
        <v>0</v>
      </c>
      <c r="S11" s="84">
        <f t="shared" si="5"/>
        <v>0</v>
      </c>
      <c r="T11" s="84">
        <f t="shared" si="6"/>
        <v>0</v>
      </c>
      <c r="U11" s="84">
        <f t="shared" si="7"/>
        <v>0</v>
      </c>
      <c r="V11" s="84">
        <f t="shared" si="8"/>
        <v>0</v>
      </c>
      <c r="W11" s="84">
        <f t="shared" si="9"/>
        <v>0</v>
      </c>
      <c r="X11" s="84">
        <f t="shared" si="10"/>
        <v>0</v>
      </c>
      <c r="Y11" s="84" t="e">
        <f t="shared" si="11"/>
        <v>#DIV/0!</v>
      </c>
      <c r="Z11" s="693" t="e">
        <f t="shared" si="12"/>
        <v>#DIV/0!</v>
      </c>
      <c r="AA11" s="103"/>
      <c r="AB11" s="103"/>
      <c r="AC11" s="685">
        <f t="shared" si="13"/>
        <v>0</v>
      </c>
      <c r="AD11" s="672">
        <f t="shared" si="13"/>
        <v>0</v>
      </c>
      <c r="AE11" s="672">
        <v>0</v>
      </c>
      <c r="AF11" s="672">
        <v>0</v>
      </c>
      <c r="AG11" s="672">
        <v>0</v>
      </c>
      <c r="AH11" s="672">
        <v>0</v>
      </c>
      <c r="AI11" s="672">
        <v>0</v>
      </c>
      <c r="AJ11" s="673">
        <v>0</v>
      </c>
      <c r="AK11" s="687">
        <f t="shared" si="14"/>
        <v>0</v>
      </c>
      <c r="AL11" s="73"/>
      <c r="AM11" s="696">
        <v>0.85</v>
      </c>
      <c r="AN11" s="952">
        <v>0.81245776040612305</v>
      </c>
      <c r="AO11" s="953" t="e">
        <f t="shared" si="15"/>
        <v>#DIV/0!</v>
      </c>
      <c r="AP11" s="73"/>
      <c r="AQ11" s="819">
        <f t="shared" si="16"/>
        <v>0</v>
      </c>
      <c r="AR11" s="103">
        <f t="shared" si="17"/>
        <v>0</v>
      </c>
      <c r="AS11" s="103">
        <f t="shared" si="18"/>
        <v>0</v>
      </c>
      <c r="AT11" s="103">
        <f t="shared" si="26"/>
        <v>0</v>
      </c>
      <c r="AU11" s="103">
        <f t="shared" si="19"/>
        <v>0</v>
      </c>
      <c r="AV11" s="103">
        <f t="shared" si="20"/>
        <v>0</v>
      </c>
      <c r="AW11" s="103">
        <f t="shared" si="21"/>
        <v>0</v>
      </c>
      <c r="AX11" s="103">
        <f t="shared" si="22"/>
        <v>0</v>
      </c>
      <c r="AY11" s="710">
        <f t="shared" si="23"/>
        <v>0</v>
      </c>
    </row>
    <row r="12" spans="1:51" ht="16" customHeight="1">
      <c r="A12" s="609" t="str">
        <f t="shared" si="27"/>
        <v>7</v>
      </c>
      <c r="B12" s="671" t="s">
        <v>491</v>
      </c>
      <c r="C12" s="35" t="s">
        <v>97</v>
      </c>
      <c r="D12" s="35" t="s">
        <v>485</v>
      </c>
      <c r="E12" s="672">
        <v>81708</v>
      </c>
      <c r="F12" s="672">
        <v>42761</v>
      </c>
      <c r="G12" s="672">
        <v>2</v>
      </c>
      <c r="H12" s="672">
        <v>23590</v>
      </c>
      <c r="I12" s="672">
        <v>2</v>
      </c>
      <c r="J12" s="672">
        <v>0</v>
      </c>
      <c r="K12" s="672">
        <v>0</v>
      </c>
      <c r="L12" s="673">
        <v>0</v>
      </c>
      <c r="M12" s="103"/>
      <c r="N12" s="103"/>
      <c r="O12" s="673">
        <f t="shared" ref="O12:O17" si="28">(F12*G12)+(H12*I12)</f>
        <v>132702</v>
      </c>
      <c r="P12" s="103"/>
      <c r="Q12" s="692">
        <f t="shared" si="3"/>
        <v>0</v>
      </c>
      <c r="R12" s="84">
        <f t="shared" si="4"/>
        <v>0</v>
      </c>
      <c r="S12" s="84">
        <f t="shared" si="5"/>
        <v>0</v>
      </c>
      <c r="T12" s="84">
        <f t="shared" si="6"/>
        <v>0</v>
      </c>
      <c r="U12" s="84">
        <f t="shared" si="7"/>
        <v>24139797.123214286</v>
      </c>
      <c r="V12" s="84">
        <f t="shared" si="8"/>
        <v>0</v>
      </c>
      <c r="W12" s="84">
        <f t="shared" si="9"/>
        <v>0</v>
      </c>
      <c r="X12" s="84">
        <f t="shared" si="10"/>
        <v>0</v>
      </c>
      <c r="Y12" s="84">
        <f t="shared" si="11"/>
        <v>181.90982142857143</v>
      </c>
      <c r="Z12" s="693">
        <f t="shared" si="12"/>
        <v>363.80867667195582</v>
      </c>
      <c r="AA12" s="103"/>
      <c r="AB12" s="103"/>
      <c r="AC12" s="685">
        <f t="shared" si="13"/>
        <v>0</v>
      </c>
      <c r="AD12" s="672">
        <f t="shared" si="13"/>
        <v>0</v>
      </c>
      <c r="AE12" s="672">
        <v>0</v>
      </c>
      <c r="AF12" s="672">
        <v>0</v>
      </c>
      <c r="AG12" s="672">
        <f>O12</f>
        <v>132702</v>
      </c>
      <c r="AH12" s="672">
        <v>0</v>
      </c>
      <c r="AI12" s="672">
        <v>0</v>
      </c>
      <c r="AJ12" s="673">
        <v>0</v>
      </c>
      <c r="AK12" s="687">
        <f t="shared" si="14"/>
        <v>0</v>
      </c>
      <c r="AL12" s="73"/>
      <c r="AM12" s="696">
        <v>0.85</v>
      </c>
      <c r="AN12" s="952">
        <v>0.81245776040612305</v>
      </c>
      <c r="AO12" s="953">
        <f t="shared" si="15"/>
        <v>1</v>
      </c>
      <c r="AP12" s="73"/>
      <c r="AQ12" s="819">
        <f t="shared" si="16"/>
        <v>132702</v>
      </c>
      <c r="AR12" s="103">
        <f t="shared" si="17"/>
        <v>0</v>
      </c>
      <c r="AS12" s="103">
        <f t="shared" si="18"/>
        <v>0</v>
      </c>
      <c r="AT12" s="103">
        <f t="shared" si="26"/>
        <v>0</v>
      </c>
      <c r="AU12" s="103">
        <f t="shared" si="19"/>
        <v>0</v>
      </c>
      <c r="AV12" s="103">
        <f t="shared" si="20"/>
        <v>132702</v>
      </c>
      <c r="AW12" s="103">
        <f t="shared" si="21"/>
        <v>0</v>
      </c>
      <c r="AX12" s="103">
        <f t="shared" si="22"/>
        <v>0</v>
      </c>
      <c r="AY12" s="710">
        <f t="shared" si="23"/>
        <v>0</v>
      </c>
    </row>
    <row r="13" spans="1:51" ht="16" customHeight="1">
      <c r="A13" s="609" t="str">
        <f t="shared" si="27"/>
        <v>8</v>
      </c>
      <c r="B13" s="671" t="s">
        <v>492</v>
      </c>
      <c r="C13" s="35" t="s">
        <v>99</v>
      </c>
      <c r="D13" s="35" t="s">
        <v>485</v>
      </c>
      <c r="E13" s="672">
        <v>35141</v>
      </c>
      <c r="F13" s="672">
        <v>19857</v>
      </c>
      <c r="G13" s="672">
        <v>4</v>
      </c>
      <c r="H13" s="672">
        <v>8689</v>
      </c>
      <c r="I13" s="672">
        <v>12</v>
      </c>
      <c r="J13" s="672">
        <v>0</v>
      </c>
      <c r="K13" s="672">
        <v>0</v>
      </c>
      <c r="L13" s="673">
        <v>0</v>
      </c>
      <c r="M13" s="103"/>
      <c r="N13" s="103"/>
      <c r="O13" s="673">
        <f t="shared" si="28"/>
        <v>183696</v>
      </c>
      <c r="P13" s="103"/>
      <c r="Q13" s="692">
        <f t="shared" si="3"/>
        <v>4205328.5973214293</v>
      </c>
      <c r="R13" s="84">
        <f t="shared" si="4"/>
        <v>17252630.142857146</v>
      </c>
      <c r="S13" s="84">
        <f t="shared" si="5"/>
        <v>943207.5</v>
      </c>
      <c r="T13" s="84">
        <f t="shared" si="6"/>
        <v>0</v>
      </c>
      <c r="U13" s="84">
        <f t="shared" si="7"/>
        <v>2709137.4930803571</v>
      </c>
      <c r="V13" s="84">
        <f t="shared" si="8"/>
        <v>0</v>
      </c>
      <c r="W13" s="84">
        <f t="shared" si="9"/>
        <v>0</v>
      </c>
      <c r="X13" s="84">
        <f t="shared" si="10"/>
        <v>3654255.3428571434</v>
      </c>
      <c r="Y13" s="84">
        <f t="shared" si="11"/>
        <v>156.58783575100207</v>
      </c>
      <c r="Z13" s="693">
        <f t="shared" si="12"/>
        <v>879.52027086721307</v>
      </c>
      <c r="AA13" s="103"/>
      <c r="AB13" s="103"/>
      <c r="AC13" s="685">
        <f t="shared" si="13"/>
        <v>20853.600000000002</v>
      </c>
      <c r="AD13" s="672">
        <f t="shared" si="13"/>
        <v>83414.400000000009</v>
      </c>
      <c r="AE13" s="672">
        <f>F13*0.25</f>
        <v>4964.25</v>
      </c>
      <c r="AF13" s="672">
        <v>0</v>
      </c>
      <c r="AG13" s="672">
        <f>F13*0.75</f>
        <v>14892.75</v>
      </c>
      <c r="AH13" s="672">
        <v>0</v>
      </c>
      <c r="AI13" s="672">
        <v>0</v>
      </c>
      <c r="AJ13" s="673">
        <f>F13*3</f>
        <v>59571</v>
      </c>
      <c r="AK13" s="687">
        <f t="shared" si="14"/>
        <v>0</v>
      </c>
      <c r="AL13" s="73"/>
      <c r="AM13" s="696">
        <v>0.85</v>
      </c>
      <c r="AN13" s="952">
        <v>0.81245776040612305</v>
      </c>
      <c r="AO13" s="953">
        <f t="shared" si="15"/>
        <v>0.8699969788519637</v>
      </c>
      <c r="AP13" s="73"/>
      <c r="AQ13" s="819">
        <f t="shared" si="16"/>
        <v>167559.375</v>
      </c>
      <c r="AR13" s="103">
        <f t="shared" si="17"/>
        <v>17725.560000000001</v>
      </c>
      <c r="AS13" s="103">
        <f t="shared" si="18"/>
        <v>70902.240000000005</v>
      </c>
      <c r="AT13" s="103">
        <f t="shared" si="26"/>
        <v>4467.8249999999998</v>
      </c>
      <c r="AU13" s="103">
        <f t="shared" si="19"/>
        <v>0</v>
      </c>
      <c r="AV13" s="103">
        <f t="shared" si="20"/>
        <v>14892.75</v>
      </c>
      <c r="AW13" s="103">
        <f t="shared" si="21"/>
        <v>0</v>
      </c>
      <c r="AX13" s="103">
        <f t="shared" si="22"/>
        <v>0</v>
      </c>
      <c r="AY13" s="710">
        <f t="shared" si="23"/>
        <v>59571</v>
      </c>
    </row>
    <row r="14" spans="1:51" ht="16" customHeight="1">
      <c r="A14" s="609" t="str">
        <f t="shared" si="27"/>
        <v>9</v>
      </c>
      <c r="B14" s="671" t="s">
        <v>493</v>
      </c>
      <c r="C14" s="35" t="s">
        <v>98</v>
      </c>
      <c r="D14" s="35" t="s">
        <v>485</v>
      </c>
      <c r="E14" s="672">
        <v>56671</v>
      </c>
      <c r="F14" s="672">
        <v>26918</v>
      </c>
      <c r="G14" s="672">
        <v>2</v>
      </c>
      <c r="H14" s="672">
        <v>15270</v>
      </c>
      <c r="I14" s="672">
        <v>2</v>
      </c>
      <c r="J14" s="672">
        <v>0</v>
      </c>
      <c r="K14" s="672">
        <v>0</v>
      </c>
      <c r="L14" s="673">
        <v>0</v>
      </c>
      <c r="M14" s="103"/>
      <c r="N14" s="103"/>
      <c r="O14" s="673">
        <f t="shared" si="28"/>
        <v>84376</v>
      </c>
      <c r="P14" s="103"/>
      <c r="Q14" s="692">
        <f t="shared" si="3"/>
        <v>1231736.8258928573</v>
      </c>
      <c r="R14" s="84">
        <f t="shared" si="4"/>
        <v>5053279.2857142864</v>
      </c>
      <c r="S14" s="84">
        <f t="shared" si="5"/>
        <v>2557210</v>
      </c>
      <c r="T14" s="84">
        <f t="shared" si="6"/>
        <v>0</v>
      </c>
      <c r="U14" s="84">
        <f t="shared" si="7"/>
        <v>0</v>
      </c>
      <c r="V14" s="84">
        <f t="shared" si="8"/>
        <v>4356559.7326190481</v>
      </c>
      <c r="W14" s="84">
        <f t="shared" si="9"/>
        <v>2018850</v>
      </c>
      <c r="X14" s="84">
        <f t="shared" si="10"/>
        <v>0</v>
      </c>
      <c r="Y14" s="84">
        <f t="shared" si="11"/>
        <v>180.3550280201265</v>
      </c>
      <c r="Z14" s="693">
        <f t="shared" si="12"/>
        <v>360.6929567249631</v>
      </c>
      <c r="AA14" s="103"/>
      <c r="AB14" s="103"/>
      <c r="AC14" s="685">
        <f t="shared" si="13"/>
        <v>6108</v>
      </c>
      <c r="AD14" s="672">
        <f t="shared" si="13"/>
        <v>24432</v>
      </c>
      <c r="AE14" s="672">
        <f>F14*0.5</f>
        <v>13459</v>
      </c>
      <c r="AF14" s="672">
        <v>0</v>
      </c>
      <c r="AG14" s="672">
        <v>0</v>
      </c>
      <c r="AH14" s="672">
        <f>F14</f>
        <v>26918</v>
      </c>
      <c r="AI14" s="672">
        <f>F14*0.5</f>
        <v>13459</v>
      </c>
      <c r="AJ14" s="673">
        <f>+L14</f>
        <v>0</v>
      </c>
      <c r="AK14" s="687">
        <f t="shared" si="14"/>
        <v>0</v>
      </c>
      <c r="AL14" s="73"/>
      <c r="AM14" s="696">
        <v>0.85</v>
      </c>
      <c r="AN14" s="952">
        <v>0.81245776040612305</v>
      </c>
      <c r="AO14" s="953">
        <f t="shared" si="15"/>
        <v>0.8978536550677918</v>
      </c>
      <c r="AP14" s="73"/>
      <c r="AQ14" s="819">
        <f t="shared" si="16"/>
        <v>75757.3</v>
      </c>
      <c r="AR14" s="103">
        <f t="shared" si="17"/>
        <v>5191.8</v>
      </c>
      <c r="AS14" s="103">
        <f t="shared" si="18"/>
        <v>20767.2</v>
      </c>
      <c r="AT14" s="103">
        <f t="shared" si="26"/>
        <v>12113.1</v>
      </c>
      <c r="AU14" s="103">
        <f t="shared" si="19"/>
        <v>0</v>
      </c>
      <c r="AV14" s="103">
        <f t="shared" si="20"/>
        <v>0</v>
      </c>
      <c r="AW14" s="103">
        <f t="shared" si="21"/>
        <v>24226.2</v>
      </c>
      <c r="AX14" s="103">
        <f t="shared" si="22"/>
        <v>13459</v>
      </c>
      <c r="AY14" s="710">
        <f t="shared" si="23"/>
        <v>0</v>
      </c>
    </row>
    <row r="15" spans="1:51" ht="16" customHeight="1">
      <c r="A15" s="609" t="str">
        <f t="shared" si="27"/>
        <v>0</v>
      </c>
      <c r="B15" s="671" t="s">
        <v>494</v>
      </c>
      <c r="C15" s="35" t="s">
        <v>97</v>
      </c>
      <c r="D15" s="35" t="s">
        <v>485</v>
      </c>
      <c r="E15" s="672">
        <v>44310</v>
      </c>
      <c r="F15" s="672">
        <v>24671</v>
      </c>
      <c r="G15" s="672">
        <v>2</v>
      </c>
      <c r="H15" s="672">
        <v>16519</v>
      </c>
      <c r="I15" s="672">
        <v>2</v>
      </c>
      <c r="J15" s="672">
        <v>0</v>
      </c>
      <c r="K15" s="672">
        <v>0</v>
      </c>
      <c r="L15" s="673">
        <v>0</v>
      </c>
      <c r="M15" s="103"/>
      <c r="N15" s="103"/>
      <c r="O15" s="673">
        <f t="shared" si="28"/>
        <v>82380</v>
      </c>
      <c r="P15" s="103"/>
      <c r="Q15" s="692">
        <f t="shared" si="3"/>
        <v>0</v>
      </c>
      <c r="R15" s="84">
        <f t="shared" si="4"/>
        <v>0</v>
      </c>
      <c r="S15" s="84">
        <f t="shared" si="5"/>
        <v>1171872.5</v>
      </c>
      <c r="T15" s="84">
        <f t="shared" si="6"/>
        <v>0</v>
      </c>
      <c r="U15" s="84">
        <f t="shared" si="7"/>
        <v>0</v>
      </c>
      <c r="V15" s="84">
        <f t="shared" si="8"/>
        <v>5347054.7754761912</v>
      </c>
      <c r="W15" s="84">
        <f t="shared" si="9"/>
        <v>2775487.5</v>
      </c>
      <c r="X15" s="84">
        <f t="shared" si="10"/>
        <v>1513389.6285714288</v>
      </c>
      <c r="Y15" s="84">
        <f t="shared" si="11"/>
        <v>131.19451813604783</v>
      </c>
      <c r="Z15" s="693">
        <f t="shared" si="12"/>
        <v>225.63640453185548</v>
      </c>
      <c r="AA15" s="103"/>
      <c r="AB15" s="103"/>
      <c r="AC15" s="685">
        <f t="shared" si="13"/>
        <v>0</v>
      </c>
      <c r="AD15" s="672">
        <f t="shared" si="13"/>
        <v>0</v>
      </c>
      <c r="AE15" s="672">
        <f>F15*0.25</f>
        <v>6167.75</v>
      </c>
      <c r="AF15" s="672">
        <v>0</v>
      </c>
      <c r="AG15" s="672">
        <v>0</v>
      </c>
      <c r="AH15" s="672">
        <f>(H15*I15)</f>
        <v>33038</v>
      </c>
      <c r="AI15" s="672">
        <f>F15*0.75</f>
        <v>18503.25</v>
      </c>
      <c r="AJ15" s="673">
        <f>F15</f>
        <v>24671</v>
      </c>
      <c r="AK15" s="687">
        <f t="shared" si="14"/>
        <v>0</v>
      </c>
      <c r="AL15" s="73"/>
      <c r="AM15" s="696">
        <v>0.85</v>
      </c>
      <c r="AN15" s="952">
        <v>0.81245776040612305</v>
      </c>
      <c r="AO15" s="953">
        <f t="shared" si="15"/>
        <v>0.93206302309865019</v>
      </c>
      <c r="AP15" s="73"/>
      <c r="AQ15" s="819">
        <f t="shared" si="16"/>
        <v>78459.425000000003</v>
      </c>
      <c r="AR15" s="103">
        <f t="shared" si="17"/>
        <v>0</v>
      </c>
      <c r="AS15" s="103">
        <f t="shared" si="18"/>
        <v>0</v>
      </c>
      <c r="AT15" s="103">
        <f t="shared" si="26"/>
        <v>5550.9750000000004</v>
      </c>
      <c r="AU15" s="103">
        <f t="shared" si="19"/>
        <v>0</v>
      </c>
      <c r="AV15" s="103">
        <f t="shared" si="20"/>
        <v>0</v>
      </c>
      <c r="AW15" s="103">
        <f t="shared" si="21"/>
        <v>29734.2</v>
      </c>
      <c r="AX15" s="103">
        <f t="shared" si="22"/>
        <v>18503.25</v>
      </c>
      <c r="AY15" s="710">
        <f t="shared" si="23"/>
        <v>24671</v>
      </c>
    </row>
    <row r="16" spans="1:51" ht="16" customHeight="1">
      <c r="A16" s="609" t="str">
        <f t="shared" si="27"/>
        <v>1</v>
      </c>
      <c r="B16" s="671" t="s">
        <v>495</v>
      </c>
      <c r="C16" s="35" t="s">
        <v>97</v>
      </c>
      <c r="D16" s="35" t="s">
        <v>496</v>
      </c>
      <c r="E16" s="672">
        <v>60329</v>
      </c>
      <c r="F16" s="672">
        <v>20412</v>
      </c>
      <c r="G16" s="672">
        <v>2</v>
      </c>
      <c r="H16" s="672">
        <v>15307</v>
      </c>
      <c r="I16" s="672">
        <v>2</v>
      </c>
      <c r="J16" s="672">
        <v>0</v>
      </c>
      <c r="K16" s="672">
        <v>0</v>
      </c>
      <c r="L16" s="673">
        <v>0</v>
      </c>
      <c r="M16" s="103"/>
      <c r="N16" s="103"/>
      <c r="O16" s="673">
        <f t="shared" si="28"/>
        <v>71438</v>
      </c>
      <c r="P16" s="103"/>
      <c r="Q16" s="692">
        <f t="shared" si="3"/>
        <v>2881231.6754464288</v>
      </c>
      <c r="R16" s="84">
        <f t="shared" si="4"/>
        <v>11820437.642857144</v>
      </c>
      <c r="S16" s="84">
        <f t="shared" si="5"/>
        <v>0</v>
      </c>
      <c r="T16" s="84">
        <f t="shared" si="6"/>
        <v>0</v>
      </c>
      <c r="U16" s="84">
        <f t="shared" si="7"/>
        <v>0</v>
      </c>
      <c r="V16" s="84">
        <f t="shared" si="8"/>
        <v>0</v>
      </c>
      <c r="W16" s="84">
        <f t="shared" si="9"/>
        <v>0</v>
      </c>
      <c r="X16" s="84">
        <f t="shared" si="10"/>
        <v>0</v>
      </c>
      <c r="Y16" s="84">
        <f t="shared" si="11"/>
        <v>205.79620535714287</v>
      </c>
      <c r="Z16" s="693">
        <f t="shared" si="12"/>
        <v>411.56936587171612</v>
      </c>
      <c r="AA16" s="103"/>
      <c r="AB16" s="103"/>
      <c r="AC16" s="685">
        <f t="shared" si="13"/>
        <v>14287.6</v>
      </c>
      <c r="AD16" s="672">
        <f t="shared" si="13"/>
        <v>57150.400000000001</v>
      </c>
      <c r="AE16" s="672">
        <v>0</v>
      </c>
      <c r="AF16" s="672">
        <v>0</v>
      </c>
      <c r="AG16" s="672">
        <v>0</v>
      </c>
      <c r="AH16" s="672">
        <v>0</v>
      </c>
      <c r="AI16" s="672">
        <v>0</v>
      </c>
      <c r="AJ16" s="673">
        <f>+L16</f>
        <v>0</v>
      </c>
      <c r="AK16" s="687">
        <f t="shared" si="14"/>
        <v>0</v>
      </c>
      <c r="AL16" s="73"/>
      <c r="AM16" s="696">
        <v>0.85</v>
      </c>
      <c r="AN16" s="952">
        <v>0.81245776040612305</v>
      </c>
      <c r="AO16" s="953">
        <f t="shared" si="15"/>
        <v>0.85</v>
      </c>
      <c r="AP16" s="73"/>
      <c r="AQ16" s="819">
        <f t="shared" si="16"/>
        <v>60722.299999999996</v>
      </c>
      <c r="AR16" s="103">
        <f t="shared" si="17"/>
        <v>12144.46</v>
      </c>
      <c r="AS16" s="103">
        <f t="shared" si="18"/>
        <v>48577.84</v>
      </c>
      <c r="AT16" s="103">
        <f t="shared" si="26"/>
        <v>0</v>
      </c>
      <c r="AU16" s="103">
        <f t="shared" si="19"/>
        <v>0</v>
      </c>
      <c r="AV16" s="103">
        <f t="shared" si="20"/>
        <v>0</v>
      </c>
      <c r="AW16" s="103">
        <f t="shared" si="21"/>
        <v>0</v>
      </c>
      <c r="AX16" s="103">
        <f t="shared" si="22"/>
        <v>0</v>
      </c>
      <c r="AY16" s="710">
        <f t="shared" si="23"/>
        <v>0</v>
      </c>
    </row>
    <row r="17" spans="1:53" ht="16" customHeight="1">
      <c r="A17" s="609" t="str">
        <f t="shared" si="27"/>
        <v>2</v>
      </c>
      <c r="B17" s="671" t="s">
        <v>497</v>
      </c>
      <c r="C17" s="35" t="s">
        <v>99</v>
      </c>
      <c r="D17" s="35" t="s">
        <v>496</v>
      </c>
      <c r="E17" s="672">
        <v>32881</v>
      </c>
      <c r="F17" s="672">
        <v>19857</v>
      </c>
      <c r="G17" s="672">
        <v>4</v>
      </c>
      <c r="H17" s="672">
        <v>8689</v>
      </c>
      <c r="I17" s="672">
        <v>12</v>
      </c>
      <c r="J17" s="672">
        <v>0</v>
      </c>
      <c r="K17" s="672">
        <v>0</v>
      </c>
      <c r="L17" s="673">
        <v>0</v>
      </c>
      <c r="M17" s="103"/>
      <c r="N17" s="103"/>
      <c r="O17" s="673">
        <f t="shared" si="28"/>
        <v>183696</v>
      </c>
      <c r="P17" s="103"/>
      <c r="Q17" s="692">
        <f t="shared" si="3"/>
        <v>4205328.5973214293</v>
      </c>
      <c r="R17" s="84">
        <f t="shared" si="4"/>
        <v>17252630.142857146</v>
      </c>
      <c r="S17" s="84">
        <f t="shared" si="5"/>
        <v>943207.5</v>
      </c>
      <c r="T17" s="84">
        <f t="shared" si="6"/>
        <v>0</v>
      </c>
      <c r="U17" s="84">
        <f t="shared" si="7"/>
        <v>2709137.4930803571</v>
      </c>
      <c r="V17" s="84">
        <f t="shared" si="8"/>
        <v>0</v>
      </c>
      <c r="W17" s="84">
        <f t="shared" si="9"/>
        <v>0</v>
      </c>
      <c r="X17" s="84">
        <f t="shared" si="10"/>
        <v>3654255.3428571434</v>
      </c>
      <c r="Y17" s="84">
        <f t="shared" si="11"/>
        <v>156.58783575100207</v>
      </c>
      <c r="Z17" s="693">
        <f t="shared" si="12"/>
        <v>879.52027086721307</v>
      </c>
      <c r="AA17" s="103"/>
      <c r="AB17" s="103"/>
      <c r="AC17" s="685">
        <f t="shared" si="13"/>
        <v>20853.600000000002</v>
      </c>
      <c r="AD17" s="672">
        <f t="shared" si="13"/>
        <v>83414.400000000009</v>
      </c>
      <c r="AE17" s="672">
        <f>F17*0.25</f>
        <v>4964.25</v>
      </c>
      <c r="AF17" s="672">
        <v>0</v>
      </c>
      <c r="AG17" s="672">
        <f>F17*0.75</f>
        <v>14892.75</v>
      </c>
      <c r="AH17" s="672">
        <v>0</v>
      </c>
      <c r="AI17" s="672">
        <v>0</v>
      </c>
      <c r="AJ17" s="673">
        <f>F17*3</f>
        <v>59571</v>
      </c>
      <c r="AK17" s="687">
        <f t="shared" si="14"/>
        <v>0</v>
      </c>
      <c r="AL17" s="73"/>
      <c r="AM17" s="954">
        <v>0.85</v>
      </c>
      <c r="AN17" s="955">
        <v>0.81245776040612305</v>
      </c>
      <c r="AO17" s="956">
        <f t="shared" si="15"/>
        <v>0.8699969788519637</v>
      </c>
      <c r="AP17" s="73"/>
      <c r="AQ17" s="819">
        <f t="shared" si="16"/>
        <v>167559.375</v>
      </c>
      <c r="AR17" s="103">
        <f t="shared" si="17"/>
        <v>17725.560000000001</v>
      </c>
      <c r="AS17" s="103">
        <f t="shared" si="18"/>
        <v>70902.240000000005</v>
      </c>
      <c r="AT17" s="103">
        <f t="shared" si="26"/>
        <v>4467.8249999999998</v>
      </c>
      <c r="AU17" s="103">
        <f t="shared" si="19"/>
        <v>0</v>
      </c>
      <c r="AV17" s="103">
        <f t="shared" si="20"/>
        <v>14892.75</v>
      </c>
      <c r="AW17" s="103">
        <f t="shared" si="21"/>
        <v>0</v>
      </c>
      <c r="AX17" s="103">
        <f t="shared" si="22"/>
        <v>0</v>
      </c>
      <c r="AY17" s="710">
        <f t="shared" si="23"/>
        <v>59571</v>
      </c>
    </row>
    <row r="18" spans="1:53" s="568" customFormat="1" ht="16" customHeight="1">
      <c r="B18" s="674" t="s">
        <v>55</v>
      </c>
      <c r="C18" s="619"/>
      <c r="D18" s="619"/>
      <c r="E18" s="618">
        <f>+SUM(E6:E17)</f>
        <v>733491</v>
      </c>
      <c r="F18" s="618">
        <f>+SUM(F6:F17)</f>
        <v>332136</v>
      </c>
      <c r="G18" s="618"/>
      <c r="H18" s="618">
        <f>+SUM(H6:H17)</f>
        <v>188223</v>
      </c>
      <c r="I18" s="618"/>
      <c r="J18" s="618"/>
      <c r="K18" s="618"/>
      <c r="L18" s="675">
        <f>+SUM(L6:L17)</f>
        <v>0</v>
      </c>
      <c r="M18" s="617"/>
      <c r="N18" s="617"/>
      <c r="O18" s="675">
        <f>+SUM(O6:O17)</f>
        <v>2981414</v>
      </c>
      <c r="P18" s="617"/>
      <c r="Q18" s="694">
        <f t="shared" ref="Q18:X18" si="29">+SUM(Q6:Q17)</f>
        <v>36926655.335491076</v>
      </c>
      <c r="R18" s="620">
        <f t="shared" si="29"/>
        <v>151493970.60714287</v>
      </c>
      <c r="S18" s="620">
        <f t="shared" si="29"/>
        <v>20728002.5</v>
      </c>
      <c r="T18" s="620">
        <f t="shared" si="29"/>
        <v>73061763.640000001</v>
      </c>
      <c r="U18" s="620">
        <f t="shared" si="29"/>
        <v>32658361.195982143</v>
      </c>
      <c r="V18" s="620">
        <f t="shared" si="29"/>
        <v>140240503.03857145</v>
      </c>
      <c r="W18" s="620">
        <f t="shared" si="29"/>
        <v>7377487.5</v>
      </c>
      <c r="X18" s="620">
        <f t="shared" si="29"/>
        <v>31544000.042857148</v>
      </c>
      <c r="Y18" s="620"/>
      <c r="Z18" s="695"/>
      <c r="AA18" s="617"/>
      <c r="AB18" s="617"/>
      <c r="AC18" s="688">
        <f t="shared" ref="AC18:AJ18" si="30">+SUM(AC6:AC17)</f>
        <v>183113.80000000002</v>
      </c>
      <c r="AD18" s="618">
        <f t="shared" si="30"/>
        <v>732455.20000000007</v>
      </c>
      <c r="AE18" s="618">
        <f t="shared" si="30"/>
        <v>109094.75</v>
      </c>
      <c r="AF18" s="618">
        <f t="shared" si="30"/>
        <v>347304</v>
      </c>
      <c r="AG18" s="618">
        <f t="shared" si="30"/>
        <v>179530.5</v>
      </c>
      <c r="AH18" s="618">
        <f t="shared" si="30"/>
        <v>866508</v>
      </c>
      <c r="AI18" s="618">
        <f t="shared" si="30"/>
        <v>49183.25</v>
      </c>
      <c r="AJ18" s="675">
        <f t="shared" si="30"/>
        <v>514224.5</v>
      </c>
      <c r="AK18" s="689">
        <f t="shared" si="14"/>
        <v>0</v>
      </c>
      <c r="AM18" s="696"/>
      <c r="AN18" s="697"/>
      <c r="AO18" s="698"/>
      <c r="AQ18" s="688">
        <f t="shared" si="16"/>
        <v>2681384.2050200882</v>
      </c>
      <c r="AR18" s="618">
        <f t="shared" ref="AR18:AY18" si="31">+SUM(AR6:AR17)</f>
        <v>155646.73000000001</v>
      </c>
      <c r="AS18" s="618">
        <f t="shared" si="31"/>
        <v>622586.92000000004</v>
      </c>
      <c r="AT18" s="618">
        <f t="shared" si="31"/>
        <v>98185.275000000009</v>
      </c>
      <c r="AU18" s="618">
        <f t="shared" si="31"/>
        <v>282169.83002008818</v>
      </c>
      <c r="AV18" s="618">
        <f t="shared" si="31"/>
        <v>179530.5</v>
      </c>
      <c r="AW18" s="618">
        <f t="shared" si="31"/>
        <v>779857.2</v>
      </c>
      <c r="AX18" s="618">
        <f t="shared" si="31"/>
        <v>49183.25</v>
      </c>
      <c r="AY18" s="675">
        <f t="shared" si="31"/>
        <v>514224.5</v>
      </c>
    </row>
    <row r="19" spans="1:53" s="568" customFormat="1" ht="16" customHeight="1">
      <c r="B19" s="674" t="s">
        <v>93</v>
      </c>
      <c r="C19" s="621" t="s">
        <v>97</v>
      </c>
      <c r="D19" s="621"/>
      <c r="E19" s="618">
        <f>+SUMIF($C$6:$C$17,$C19,E$6:E$17)</f>
        <v>394149</v>
      </c>
      <c r="F19" s="618">
        <f t="shared" ref="E19:F21" si="32">+SUMIF($C$6:$C$17,$C19,F$6:F$17)</f>
        <v>170172</v>
      </c>
      <c r="G19" s="618"/>
      <c r="H19" s="618">
        <f>+SUMIF($C$6:$C$17,$C19,H$6:H$17)</f>
        <v>106201</v>
      </c>
      <c r="I19" s="618"/>
      <c r="J19" s="618"/>
      <c r="K19" s="618"/>
      <c r="L19" s="675">
        <f>+SUMIF($C$6:$C$17,$C19,L$6:L$17)</f>
        <v>0</v>
      </c>
      <c r="M19" s="617"/>
      <c r="N19" s="617"/>
      <c r="O19" s="675">
        <f>+SUMIF($C$6:$C$17,$C19,O$6:O$17)</f>
        <v>1730662</v>
      </c>
      <c r="P19" s="617"/>
      <c r="Q19" s="694">
        <f t="shared" ref="Q19:X21" si="33">+SUMIF($C$6:$C$17,$C19,Q$6:Q$17)</f>
        <v>21668606.151562501</v>
      </c>
      <c r="R19" s="620">
        <f t="shared" si="33"/>
        <v>88896845.750000015</v>
      </c>
      <c r="S19" s="620">
        <f t="shared" si="33"/>
        <v>4272910</v>
      </c>
      <c r="T19" s="620">
        <f t="shared" si="33"/>
        <v>0</v>
      </c>
      <c r="U19" s="620">
        <f t="shared" si="33"/>
        <v>27240086.209821429</v>
      </c>
      <c r="V19" s="620">
        <f t="shared" si="33"/>
        <v>110386626.38654763</v>
      </c>
      <c r="W19" s="620">
        <f t="shared" si="33"/>
        <v>2775487.5</v>
      </c>
      <c r="X19" s="620">
        <f t="shared" si="33"/>
        <v>19667670.178571429</v>
      </c>
      <c r="Y19" s="620"/>
      <c r="Z19" s="695"/>
      <c r="AA19" s="617"/>
      <c r="AB19" s="617"/>
      <c r="AC19" s="688">
        <f t="shared" ref="AC19:AJ21" si="34">+SUMIF($C$6:$C$17,$C19,AC$6:AC$17)</f>
        <v>107451.40000000001</v>
      </c>
      <c r="AD19" s="618">
        <f t="shared" si="34"/>
        <v>429805.60000000003</v>
      </c>
      <c r="AE19" s="618">
        <f t="shared" si="34"/>
        <v>22489</v>
      </c>
      <c r="AF19" s="618">
        <f t="shared" si="34"/>
        <v>0</v>
      </c>
      <c r="AG19" s="618">
        <f t="shared" si="34"/>
        <v>149745</v>
      </c>
      <c r="AH19" s="618">
        <f t="shared" si="34"/>
        <v>682049</v>
      </c>
      <c r="AI19" s="618">
        <f t="shared" si="34"/>
        <v>18503.25</v>
      </c>
      <c r="AJ19" s="675">
        <f t="shared" si="34"/>
        <v>320618.75</v>
      </c>
      <c r="AK19" s="689">
        <f t="shared" si="14"/>
        <v>0</v>
      </c>
      <c r="AM19" s="699"/>
      <c r="AN19" s="697"/>
      <c r="AO19" s="698"/>
      <c r="AQ19" s="688">
        <f t="shared" ref="AQ19:AY21" si="35">+SUMIF($C$6:$C$17,$C19,AQ$6:AQ$17)</f>
        <v>1579619.6500000001</v>
      </c>
      <c r="AR19" s="618">
        <f t="shared" si="35"/>
        <v>91333.69</v>
      </c>
      <c r="AS19" s="618">
        <f t="shared" si="35"/>
        <v>365334.76</v>
      </c>
      <c r="AT19" s="618">
        <f t="shared" si="35"/>
        <v>20240.099999999999</v>
      </c>
      <c r="AU19" s="618">
        <f t="shared" si="35"/>
        <v>0</v>
      </c>
      <c r="AV19" s="618">
        <f t="shared" si="35"/>
        <v>149745</v>
      </c>
      <c r="AW19" s="618">
        <f t="shared" si="35"/>
        <v>613844.1</v>
      </c>
      <c r="AX19" s="618">
        <f t="shared" si="35"/>
        <v>18503.25</v>
      </c>
      <c r="AY19" s="675">
        <f t="shared" si="35"/>
        <v>320618.75</v>
      </c>
    </row>
    <row r="20" spans="1:53" s="568" customFormat="1" ht="16" customHeight="1">
      <c r="B20" s="674" t="s">
        <v>93</v>
      </c>
      <c r="C20" s="621" t="s">
        <v>98</v>
      </c>
      <c r="D20" s="621"/>
      <c r="E20" s="618">
        <f t="shared" si="32"/>
        <v>235847</v>
      </c>
      <c r="F20" s="618">
        <f t="shared" si="32"/>
        <v>102393</v>
      </c>
      <c r="G20" s="618"/>
      <c r="H20" s="618">
        <f>+SUMIF($C$6:$C$17,$C20,H$6:H$17)</f>
        <v>55955</v>
      </c>
      <c r="I20" s="618"/>
      <c r="J20" s="618"/>
      <c r="K20" s="618"/>
      <c r="L20" s="675">
        <f>+SUMIF($C$6:$C$17,$C20,L$6:L$17)</f>
        <v>0</v>
      </c>
      <c r="M20" s="617"/>
      <c r="N20" s="617"/>
      <c r="O20" s="675">
        <f>+SUMIF($C$6:$C$17,$C20,O$6:O$17)</f>
        <v>699664</v>
      </c>
      <c r="P20" s="617"/>
      <c r="Q20" s="694">
        <f t="shared" si="33"/>
        <v>6847391.9892857149</v>
      </c>
      <c r="R20" s="620">
        <f t="shared" si="33"/>
        <v>28091864.571428578</v>
      </c>
      <c r="S20" s="620">
        <f t="shared" si="33"/>
        <v>13625470</v>
      </c>
      <c r="T20" s="620">
        <f t="shared" si="33"/>
        <v>51127078.259999998</v>
      </c>
      <c r="U20" s="620">
        <f t="shared" si="33"/>
        <v>0</v>
      </c>
      <c r="V20" s="620">
        <f t="shared" si="33"/>
        <v>29853876.652023815</v>
      </c>
      <c r="W20" s="620">
        <f t="shared" si="33"/>
        <v>4602000</v>
      </c>
      <c r="X20" s="620">
        <f t="shared" si="33"/>
        <v>0</v>
      </c>
      <c r="Y20" s="620"/>
      <c r="Z20" s="695"/>
      <c r="AA20" s="617"/>
      <c r="AB20" s="617"/>
      <c r="AC20" s="688">
        <f t="shared" si="34"/>
        <v>33955.199999999997</v>
      </c>
      <c r="AD20" s="618">
        <f t="shared" si="34"/>
        <v>135820.79999999999</v>
      </c>
      <c r="AE20" s="618">
        <f t="shared" si="34"/>
        <v>71713</v>
      </c>
      <c r="AF20" s="618">
        <f t="shared" si="34"/>
        <v>243036</v>
      </c>
      <c r="AG20" s="618">
        <f t="shared" si="34"/>
        <v>0</v>
      </c>
      <c r="AH20" s="618">
        <f t="shared" si="34"/>
        <v>184459</v>
      </c>
      <c r="AI20" s="618">
        <f t="shared" si="34"/>
        <v>30680</v>
      </c>
      <c r="AJ20" s="675">
        <f t="shared" si="34"/>
        <v>0</v>
      </c>
      <c r="AK20" s="689">
        <f t="shared" si="14"/>
        <v>0</v>
      </c>
      <c r="AM20" s="699"/>
      <c r="AN20" s="697"/>
      <c r="AO20" s="698"/>
      <c r="AQ20" s="688">
        <f t="shared" si="35"/>
        <v>603000.88425806258</v>
      </c>
      <c r="AR20" s="618">
        <f t="shared" si="35"/>
        <v>28861.919999999998</v>
      </c>
      <c r="AS20" s="618">
        <f t="shared" si="35"/>
        <v>115447.67999999999</v>
      </c>
      <c r="AT20" s="618">
        <f t="shared" si="35"/>
        <v>64541.700000000004</v>
      </c>
      <c r="AU20" s="618">
        <f t="shared" si="35"/>
        <v>197456.48425806253</v>
      </c>
      <c r="AV20" s="618">
        <f t="shared" si="35"/>
        <v>0</v>
      </c>
      <c r="AW20" s="618">
        <f t="shared" si="35"/>
        <v>166013.1</v>
      </c>
      <c r="AX20" s="618">
        <f t="shared" si="35"/>
        <v>30680</v>
      </c>
      <c r="AY20" s="675">
        <f t="shared" si="35"/>
        <v>0</v>
      </c>
    </row>
    <row r="21" spans="1:53" s="568" customFormat="1" ht="16" customHeight="1" thickBot="1">
      <c r="B21" s="676" t="s">
        <v>93</v>
      </c>
      <c r="C21" s="677" t="s">
        <v>99</v>
      </c>
      <c r="D21" s="677"/>
      <c r="E21" s="678">
        <f t="shared" si="32"/>
        <v>103495</v>
      </c>
      <c r="F21" s="678">
        <f t="shared" si="32"/>
        <v>59571</v>
      </c>
      <c r="G21" s="678"/>
      <c r="H21" s="678">
        <f>+SUMIF($C$6:$C$17,$C21,H$6:H$17)</f>
        <v>26067</v>
      </c>
      <c r="I21" s="678"/>
      <c r="J21" s="678"/>
      <c r="K21" s="678"/>
      <c r="L21" s="679">
        <f>+SUMIF($C$6:$C$17,$C21,L$6:L$17)</f>
        <v>0</v>
      </c>
      <c r="M21" s="957"/>
      <c r="N21" s="957"/>
      <c r="O21" s="679">
        <f>+SUMIF($C$6:$C$17,$C21,O$6:O$17)</f>
        <v>551088</v>
      </c>
      <c r="P21" s="617"/>
      <c r="Q21" s="1060">
        <f t="shared" si="33"/>
        <v>8410657.1946428586</v>
      </c>
      <c r="R21" s="1061">
        <f t="shared" si="33"/>
        <v>34505260.285714291</v>
      </c>
      <c r="S21" s="1061">
        <f t="shared" si="33"/>
        <v>2829622.5</v>
      </c>
      <c r="T21" s="1061">
        <f t="shared" si="33"/>
        <v>21934685.379999999</v>
      </c>
      <c r="U21" s="1061">
        <f t="shared" si="33"/>
        <v>5418274.9861607142</v>
      </c>
      <c r="V21" s="1061">
        <f t="shared" si="33"/>
        <v>0</v>
      </c>
      <c r="W21" s="1061">
        <f t="shared" si="33"/>
        <v>0</v>
      </c>
      <c r="X21" s="1061">
        <f t="shared" si="33"/>
        <v>11876329.864285715</v>
      </c>
      <c r="Y21" s="1061"/>
      <c r="Z21" s="1062"/>
      <c r="AA21" s="617"/>
      <c r="AB21" s="617"/>
      <c r="AC21" s="690">
        <f t="shared" si="34"/>
        <v>41707.200000000004</v>
      </c>
      <c r="AD21" s="678">
        <f t="shared" si="34"/>
        <v>166828.80000000002</v>
      </c>
      <c r="AE21" s="678">
        <f t="shared" si="34"/>
        <v>14892.75</v>
      </c>
      <c r="AF21" s="678">
        <f t="shared" si="34"/>
        <v>104268</v>
      </c>
      <c r="AG21" s="678">
        <f t="shared" si="34"/>
        <v>29785.5</v>
      </c>
      <c r="AH21" s="678">
        <f t="shared" si="34"/>
        <v>0</v>
      </c>
      <c r="AI21" s="678">
        <f t="shared" si="34"/>
        <v>0</v>
      </c>
      <c r="AJ21" s="679">
        <f t="shared" si="34"/>
        <v>193605.75</v>
      </c>
      <c r="AK21" s="691">
        <f t="shared" si="14"/>
        <v>0</v>
      </c>
      <c r="AM21" s="700"/>
      <c r="AN21" s="701"/>
      <c r="AO21" s="702"/>
      <c r="AQ21" s="690">
        <f t="shared" si="35"/>
        <v>498763.67076202563</v>
      </c>
      <c r="AR21" s="678">
        <f t="shared" si="35"/>
        <v>35451.120000000003</v>
      </c>
      <c r="AS21" s="678">
        <f t="shared" si="35"/>
        <v>141804.48000000001</v>
      </c>
      <c r="AT21" s="678">
        <f t="shared" si="35"/>
        <v>13403.474999999999</v>
      </c>
      <c r="AU21" s="678">
        <f t="shared" si="35"/>
        <v>84713.345762025638</v>
      </c>
      <c r="AV21" s="678">
        <f t="shared" si="35"/>
        <v>29785.5</v>
      </c>
      <c r="AW21" s="678">
        <f t="shared" si="35"/>
        <v>0</v>
      </c>
      <c r="AX21" s="678">
        <f t="shared" si="35"/>
        <v>0</v>
      </c>
      <c r="AY21" s="679">
        <f t="shared" si="35"/>
        <v>193605.75</v>
      </c>
    </row>
    <row r="22" spans="1:53">
      <c r="A22" s="73"/>
      <c r="B22" s="73"/>
      <c r="C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</row>
    <row r="23" spans="1:53" ht="16" hidden="1" customHeight="1">
      <c r="A23" s="73"/>
      <c r="B23" s="615"/>
      <c r="C23" s="616"/>
      <c r="O23" s="73"/>
      <c r="Q23" s="84">
        <f>SUM(Q18:X18)</f>
        <v>494030743.86004472</v>
      </c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</row>
    <row r="24" spans="1:53" ht="14" thickBot="1">
      <c r="A24" s="73"/>
      <c r="B24" s="615"/>
      <c r="C24" s="73"/>
      <c r="O24" s="73"/>
      <c r="AC24" s="609"/>
      <c r="AD24" s="609"/>
      <c r="AE24" s="609"/>
      <c r="AF24" s="609"/>
      <c r="AG24" s="609"/>
      <c r="AH24" s="609"/>
      <c r="AI24" s="609"/>
      <c r="AJ24" s="609"/>
      <c r="AK24" s="609"/>
      <c r="AL24" s="609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</row>
    <row r="25" spans="1:53" ht="16" customHeight="1" thickBot="1">
      <c r="A25" s="73"/>
      <c r="B25" s="967" t="s">
        <v>651</v>
      </c>
      <c r="C25" s="571"/>
      <c r="D25" s="571"/>
      <c r="E25" s="571"/>
      <c r="F25" s="571"/>
      <c r="G25" s="571"/>
      <c r="H25" s="571"/>
      <c r="I25" s="571"/>
      <c r="J25" s="571"/>
      <c r="K25" s="572"/>
      <c r="O25" s="73"/>
      <c r="AC25" s="968">
        <f>AC18/$O$18</f>
        <v>6.1418441048442123E-2</v>
      </c>
      <c r="AD25" s="968">
        <f t="shared" ref="AD25:AJ25" si="36">AD18/$O$18</f>
        <v>0.24567376419376849</v>
      </c>
      <c r="AE25" s="968">
        <f t="shared" si="36"/>
        <v>3.6591613912056495E-2</v>
      </c>
      <c r="AF25" s="968">
        <f t="shared" si="36"/>
        <v>0.11648969247477875</v>
      </c>
      <c r="AG25" s="968">
        <f t="shared" si="36"/>
        <v>6.0216561671743676E-2</v>
      </c>
      <c r="AH25" s="968">
        <f t="shared" si="36"/>
        <v>0.2906365905573664</v>
      </c>
      <c r="AI25" s="968">
        <f t="shared" si="36"/>
        <v>1.6496618718500684E-2</v>
      </c>
      <c r="AJ25" s="968">
        <f t="shared" si="36"/>
        <v>0.17247671742334342</v>
      </c>
      <c r="AK25" s="609"/>
      <c r="AL25" s="609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</row>
    <row r="26" spans="1:53" ht="16" customHeight="1">
      <c r="A26" s="73"/>
      <c r="B26" s="631"/>
      <c r="C26" s="947"/>
      <c r="D26" s="947"/>
      <c r="E26" s="278" t="s">
        <v>498</v>
      </c>
      <c r="F26" s="947"/>
      <c r="G26" s="278" t="s">
        <v>643</v>
      </c>
      <c r="H26" s="947"/>
      <c r="I26" s="278" t="s">
        <v>642</v>
      </c>
      <c r="J26" s="947"/>
      <c r="K26" s="892" t="s">
        <v>640</v>
      </c>
      <c r="L26" s="797"/>
      <c r="M26" s="798" t="s">
        <v>641</v>
      </c>
      <c r="N26" s="799"/>
      <c r="O26" s="73"/>
      <c r="AC26" s="609"/>
      <c r="AD26" s="609"/>
      <c r="AE26" s="609"/>
      <c r="AF26" s="609"/>
      <c r="AG26" s="609"/>
      <c r="AH26" s="609"/>
      <c r="AI26" s="609"/>
      <c r="AJ26" s="609"/>
      <c r="AK26" s="609"/>
      <c r="AL26" s="609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</row>
    <row r="27" spans="1:53" ht="16" customHeight="1">
      <c r="A27" s="73"/>
      <c r="B27" s="800" t="s">
        <v>553</v>
      </c>
      <c r="C27" s="795"/>
      <c r="D27" s="697"/>
      <c r="E27" s="672">
        <v>550</v>
      </c>
      <c r="F27" s="697"/>
      <c r="G27" s="672">
        <v>750</v>
      </c>
      <c r="H27" s="697"/>
      <c r="I27" s="672">
        <v>1100</v>
      </c>
      <c r="J27" s="697"/>
      <c r="K27" s="673">
        <v>1500</v>
      </c>
      <c r="L27" s="697"/>
      <c r="M27" s="672">
        <v>2200</v>
      </c>
      <c r="N27" s="698"/>
      <c r="O27" s="73"/>
      <c r="AC27" s="609"/>
      <c r="AD27" s="609"/>
      <c r="AE27" s="609"/>
      <c r="AF27" s="609"/>
      <c r="AG27" s="609"/>
      <c r="AH27" s="609"/>
      <c r="AI27" s="609"/>
      <c r="AJ27" s="609"/>
      <c r="AK27" s="609" t="s">
        <v>479</v>
      </c>
      <c r="AL27" s="609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</row>
    <row r="28" spans="1:53" ht="16" customHeight="1">
      <c r="A28" s="73"/>
      <c r="B28" s="699" t="s">
        <v>4</v>
      </c>
      <c r="C28" s="796">
        <f>+SUM(D28,F28,H28,J28,L28)-1</f>
        <v>0</v>
      </c>
      <c r="D28" s="801">
        <v>0.35</v>
      </c>
      <c r="E28" s="672">
        <f>D28*$AS19/E$27</f>
        <v>232.48575636363637</v>
      </c>
      <c r="F28" s="801">
        <v>0.45</v>
      </c>
      <c r="G28" s="672">
        <f>F28*$AS19/G$27</f>
        <v>219.20085600000002</v>
      </c>
      <c r="H28" s="801">
        <v>0.1</v>
      </c>
      <c r="I28" s="672">
        <f>H28*$AS19/I$27</f>
        <v>33.212250909090912</v>
      </c>
      <c r="J28" s="801">
        <v>0.1</v>
      </c>
      <c r="K28" s="673">
        <f>J28*$AS19/K$27</f>
        <v>24.355650666666669</v>
      </c>
      <c r="L28" s="801">
        <v>0</v>
      </c>
      <c r="M28" s="672">
        <f>L28*$AS19/M$27</f>
        <v>0</v>
      </c>
      <c r="N28" s="673">
        <f>+(M28*$M$27+K28*$K$27+I28*$I$27+G28*$G$27+E28*$E$27)</f>
        <v>365334.76</v>
      </c>
      <c r="O28" s="73"/>
      <c r="AC28" s="609"/>
      <c r="AD28" s="609"/>
      <c r="AE28" s="609"/>
      <c r="AF28" s="609"/>
      <c r="AG28" s="609"/>
      <c r="AH28" s="609"/>
      <c r="AI28" s="609"/>
      <c r="AJ28" s="609"/>
      <c r="AK28" s="609"/>
      <c r="AL28" s="609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</row>
    <row r="29" spans="1:53" ht="16" customHeight="1">
      <c r="A29" s="73"/>
      <c r="B29" s="699" t="s">
        <v>5</v>
      </c>
      <c r="C29" s="796">
        <f>+SUM(D29,F29,H29,J29,L29)-1</f>
        <v>0</v>
      </c>
      <c r="D29" s="801">
        <v>0.35</v>
      </c>
      <c r="E29" s="672">
        <f>D29*$AS20/E$27</f>
        <v>73.466705454545448</v>
      </c>
      <c r="F29" s="801">
        <v>0.45</v>
      </c>
      <c r="G29" s="672">
        <f>F29*$AS20/G$27</f>
        <v>69.268608</v>
      </c>
      <c r="H29" s="801">
        <v>0.1</v>
      </c>
      <c r="I29" s="672">
        <f>H29*$AS20/I$27</f>
        <v>10.495243636363636</v>
      </c>
      <c r="J29" s="801">
        <v>0.1</v>
      </c>
      <c r="K29" s="673">
        <f>J29*$AS20/K$27</f>
        <v>7.6965120000000002</v>
      </c>
      <c r="L29" s="801">
        <v>0</v>
      </c>
      <c r="M29" s="672">
        <f>L29*$AS20/M$27</f>
        <v>0</v>
      </c>
      <c r="N29" s="673">
        <f>+(M29*$M$27+K29*$K$27+I29*$I$27+G29*$G$27+E29*$E$27)</f>
        <v>115447.67999999999</v>
      </c>
      <c r="O29" s="73"/>
      <c r="AC29" s="609"/>
      <c r="AD29" s="609"/>
      <c r="AE29" s="609"/>
      <c r="AF29" s="969">
        <v>27117188</v>
      </c>
      <c r="AG29" s="609"/>
      <c r="AH29" s="609"/>
      <c r="AI29" s="609"/>
      <c r="AJ29" s="609"/>
      <c r="AK29" s="609"/>
      <c r="AL29" s="609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</row>
    <row r="30" spans="1:53">
      <c r="A30" s="73"/>
      <c r="B30" s="699" t="s">
        <v>6</v>
      </c>
      <c r="C30" s="796">
        <f>+SUM(D30,F30,H30,J30,L30)-1</f>
        <v>0</v>
      </c>
      <c r="D30" s="801">
        <v>0.35</v>
      </c>
      <c r="E30" s="672">
        <f>D30*$AS21/E$27</f>
        <v>90.239214545454544</v>
      </c>
      <c r="F30" s="801">
        <v>0.45</v>
      </c>
      <c r="G30" s="672">
        <f>F30*$AS21/G$27</f>
        <v>85.082688000000005</v>
      </c>
      <c r="H30" s="801">
        <v>0.1</v>
      </c>
      <c r="I30" s="672">
        <f>H30*$AS21/I$27</f>
        <v>12.891316363636365</v>
      </c>
      <c r="J30" s="801">
        <v>0.1</v>
      </c>
      <c r="K30" s="673">
        <f>J30*$AS21/K$27</f>
        <v>9.4536320000000007</v>
      </c>
      <c r="L30" s="801">
        <v>0</v>
      </c>
      <c r="M30" s="672">
        <f>L30*$AS21/M$27</f>
        <v>0</v>
      </c>
      <c r="N30" s="673">
        <f>+(M30*$M$27+K30*$K$27+I30*$I$27+G30*$G$27+E30*$E$27)</f>
        <v>141804.48000000001</v>
      </c>
      <c r="O30" s="73"/>
      <c r="AC30" s="609"/>
      <c r="AD30" s="609"/>
      <c r="AE30" s="609"/>
      <c r="AF30" s="609"/>
      <c r="AG30" s="609"/>
      <c r="AH30" s="609"/>
      <c r="AI30" s="609"/>
      <c r="AJ30" s="609"/>
      <c r="AK30" s="609"/>
      <c r="AL30" s="609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</row>
    <row r="31" spans="1:53" ht="16" customHeight="1">
      <c r="A31" s="73"/>
      <c r="B31" s="688" t="s">
        <v>55</v>
      </c>
      <c r="C31" s="618"/>
      <c r="D31" s="618"/>
      <c r="E31" s="618">
        <f>+SUM(E28:E30)</f>
        <v>396.19167636363636</v>
      </c>
      <c r="F31" s="618"/>
      <c r="G31" s="618">
        <f>+SUM(G28:G30)</f>
        <v>373.55215200000004</v>
      </c>
      <c r="H31" s="618"/>
      <c r="I31" s="618">
        <f>+SUM(I28:I30)</f>
        <v>56.598810909090915</v>
      </c>
      <c r="J31" s="618"/>
      <c r="K31" s="675">
        <f>+SUM(K28:K30)</f>
        <v>41.505794666666667</v>
      </c>
      <c r="L31" s="618"/>
      <c r="M31" s="618">
        <f>+SUM(M28:M30)</f>
        <v>0</v>
      </c>
      <c r="N31" s="675">
        <f>+SUM(N28:N30)</f>
        <v>622586.92000000004</v>
      </c>
      <c r="O31" s="73"/>
      <c r="AC31" s="609"/>
      <c r="AD31" s="609"/>
      <c r="AE31" s="609"/>
      <c r="AF31" s="609"/>
      <c r="AG31" s="609"/>
      <c r="AH31" s="609"/>
      <c r="AI31" s="609"/>
      <c r="AJ31" s="609"/>
      <c r="AK31" s="609"/>
      <c r="AL31" s="609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</row>
    <row r="32" spans="1:53" ht="16" customHeight="1">
      <c r="A32" s="73"/>
      <c r="B32" s="800" t="s">
        <v>10</v>
      </c>
      <c r="C32" s="795"/>
      <c r="D32" s="697"/>
      <c r="E32" s="672"/>
      <c r="F32" s="697"/>
      <c r="G32" s="672"/>
      <c r="H32" s="697"/>
      <c r="I32" s="672"/>
      <c r="J32" s="697"/>
      <c r="K32" s="673"/>
      <c r="L32" s="697"/>
      <c r="M32" s="672"/>
      <c r="N32" s="698"/>
      <c r="O32" s="73"/>
      <c r="AC32" s="609"/>
      <c r="AD32" s="609"/>
      <c r="AE32" s="609"/>
      <c r="AF32" s="609"/>
      <c r="AG32" s="609"/>
      <c r="AH32" s="609"/>
      <c r="AI32" s="609"/>
      <c r="AJ32" s="609"/>
      <c r="AK32" s="609"/>
      <c r="AL32" s="609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</row>
    <row r="33" spans="1:51" ht="16" customHeight="1">
      <c r="A33" s="73"/>
      <c r="B33" s="699" t="s">
        <v>4</v>
      </c>
      <c r="C33" s="796">
        <f>+SUM(D33,F33,H33,J33,L33)-1</f>
        <v>0</v>
      </c>
      <c r="D33" s="801">
        <f>+D28</f>
        <v>0.35</v>
      </c>
      <c r="E33" s="672">
        <f>+D33*$AR19/E$27</f>
        <v>58.121439090909092</v>
      </c>
      <c r="F33" s="801">
        <f>+F28</f>
        <v>0.45</v>
      </c>
      <c r="G33" s="672">
        <f>+F33*$AR19/G$27</f>
        <v>54.800214000000004</v>
      </c>
      <c r="H33" s="801">
        <f>+H28</f>
        <v>0.1</v>
      </c>
      <c r="I33" s="672">
        <f>+H33*$AR19/I$27</f>
        <v>8.303062727272728</v>
      </c>
      <c r="J33" s="801">
        <f>+J28</f>
        <v>0.1</v>
      </c>
      <c r="K33" s="673">
        <f>+J33*$AR19/K$27</f>
        <v>6.0889126666666673</v>
      </c>
      <c r="L33" s="801">
        <f>+L28</f>
        <v>0</v>
      </c>
      <c r="M33" s="672">
        <f>+L33*$AR19/M$27</f>
        <v>0</v>
      </c>
      <c r="N33" s="673">
        <f>+(M33*$M$27+K33*$K$27+I33*$I$27+G33*$G$27+E33*$E$27)</f>
        <v>91333.69</v>
      </c>
      <c r="O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</row>
    <row r="34" spans="1:51" ht="16" customHeight="1">
      <c r="A34" s="73"/>
      <c r="B34" s="699" t="s">
        <v>5</v>
      </c>
      <c r="C34" s="796">
        <f>+SUM(D34,F34,H34,J34,L34)-1</f>
        <v>0</v>
      </c>
      <c r="D34" s="801">
        <f>+D29</f>
        <v>0.35</v>
      </c>
      <c r="E34" s="672">
        <f>+D34*$AR20/E$27</f>
        <v>18.366676363636362</v>
      </c>
      <c r="F34" s="801">
        <f>+F29</f>
        <v>0.45</v>
      </c>
      <c r="G34" s="672">
        <f>+F34*$AR20/G$27</f>
        <v>17.317152</v>
      </c>
      <c r="H34" s="801">
        <f>+H29</f>
        <v>0.1</v>
      </c>
      <c r="I34" s="672">
        <f>+H34*$AR20/I$27</f>
        <v>2.623810909090909</v>
      </c>
      <c r="J34" s="801">
        <f>+J29</f>
        <v>0.1</v>
      </c>
      <c r="K34" s="673">
        <f>+J34*$AR20/K$27</f>
        <v>1.9241280000000001</v>
      </c>
      <c r="L34" s="801">
        <f>+L29</f>
        <v>0</v>
      </c>
      <c r="M34" s="672">
        <f>+L34*$AR20/M$27</f>
        <v>0</v>
      </c>
      <c r="N34" s="673">
        <f>+(M34*$M$27+K34*$K$27+I34*$I$27+G34*$G$27+E34*$E$27)</f>
        <v>28861.919999999998</v>
      </c>
      <c r="O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</row>
    <row r="35" spans="1:51" ht="16" customHeight="1">
      <c r="A35" s="73"/>
      <c r="B35" s="699" t="s">
        <v>6</v>
      </c>
      <c r="C35" s="796">
        <f>+SUM(D35,F35,H35,J35,L35)-1</f>
        <v>0</v>
      </c>
      <c r="D35" s="801">
        <f t="shared" ref="D35" si="37">+D30</f>
        <v>0.35</v>
      </c>
      <c r="E35" s="672">
        <f>+D35*$AR21/E$27</f>
        <v>22.559803636363636</v>
      </c>
      <c r="F35" s="801">
        <f t="shared" ref="F35" si="38">+F30</f>
        <v>0.45</v>
      </c>
      <c r="G35" s="672">
        <f>+F35*$AR21/G$27</f>
        <v>21.270672000000001</v>
      </c>
      <c r="H35" s="801">
        <f t="shared" ref="H35" si="39">+H30</f>
        <v>0.1</v>
      </c>
      <c r="I35" s="672">
        <f>+H35*$AR21/I$27</f>
        <v>3.2228290909090913</v>
      </c>
      <c r="J35" s="801">
        <v>0.1</v>
      </c>
      <c r="K35" s="673">
        <f>+J35*$AR21/K$27</f>
        <v>2.3634080000000002</v>
      </c>
      <c r="L35" s="801">
        <f t="shared" ref="L35" si="40">+L30</f>
        <v>0</v>
      </c>
      <c r="M35" s="672">
        <f>+L35*$AR21/M$27</f>
        <v>0</v>
      </c>
      <c r="N35" s="673">
        <f>+(M35*$M$27+K35*$K$27+I35*$I$27+G35*$G$27+E35*$E$27)</f>
        <v>35451.120000000003</v>
      </c>
      <c r="O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</row>
    <row r="36" spans="1:51" ht="16" customHeight="1" thickBot="1">
      <c r="A36" s="73"/>
      <c r="B36" s="802" t="s">
        <v>55</v>
      </c>
      <c r="C36" s="803"/>
      <c r="D36" s="803"/>
      <c r="E36" s="803">
        <f>+SUM(E33:E35)</f>
        <v>99.04791909090909</v>
      </c>
      <c r="F36" s="803"/>
      <c r="G36" s="803">
        <f>+SUM(G33:G35)</f>
        <v>93.388038000000009</v>
      </c>
      <c r="H36" s="803"/>
      <c r="I36" s="803">
        <f>+SUM(I33:I35)</f>
        <v>14.149702727272729</v>
      </c>
      <c r="J36" s="803"/>
      <c r="K36" s="804">
        <f>+SUM(K33:K35)</f>
        <v>10.376448666666667</v>
      </c>
      <c r="L36" s="803"/>
      <c r="M36" s="803">
        <f>+SUM(M33:M35)</f>
        <v>0</v>
      </c>
      <c r="N36" s="804">
        <f>+SUM(N33:N35)</f>
        <v>155646.73000000001</v>
      </c>
      <c r="O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</row>
    <row r="37" spans="1:51" ht="14" thickBot="1">
      <c r="A37" s="73"/>
      <c r="D37" s="2"/>
      <c r="E37" s="4"/>
      <c r="F37" s="73"/>
      <c r="G37" s="996"/>
      <c r="H37" s="73"/>
      <c r="I37" s="996"/>
      <c r="J37" s="73"/>
      <c r="K37" s="996"/>
      <c r="L37" s="2"/>
      <c r="M37" s="4"/>
      <c r="N37" s="2"/>
      <c r="O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</row>
    <row r="38" spans="1:51" ht="16" customHeight="1">
      <c r="A38" s="73"/>
      <c r="B38" s="966" t="s">
        <v>15</v>
      </c>
      <c r="C38" s="797"/>
      <c r="D38" s="797"/>
      <c r="E38" s="959" t="s">
        <v>509</v>
      </c>
      <c r="F38" s="73"/>
      <c r="G38" s="996"/>
      <c r="H38" s="73"/>
      <c r="I38" s="996"/>
      <c r="J38" s="73"/>
      <c r="K38" s="996"/>
      <c r="L38" s="2"/>
      <c r="M38" s="4"/>
      <c r="N38" s="2"/>
      <c r="O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</row>
    <row r="39" spans="1:51" ht="16" customHeight="1">
      <c r="A39" s="73"/>
      <c r="B39" s="821"/>
      <c r="C39" s="612"/>
      <c r="E39" s="961">
        <v>450</v>
      </c>
      <c r="F39" s="73"/>
      <c r="G39" s="996"/>
      <c r="O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</row>
    <row r="40" spans="1:51" ht="16" customHeight="1">
      <c r="A40" s="73"/>
      <c r="B40" s="227" t="s">
        <v>4</v>
      </c>
      <c r="C40" s="613"/>
      <c r="D40" s="962"/>
      <c r="E40" s="710">
        <f>$AU19/E$39</f>
        <v>0</v>
      </c>
      <c r="F40" s="73"/>
      <c r="G40" s="73"/>
      <c r="O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</row>
    <row r="41" spans="1:51" ht="16" customHeight="1">
      <c r="A41" s="73"/>
      <c r="B41" s="227" t="s">
        <v>5</v>
      </c>
      <c r="C41" s="613"/>
      <c r="D41" s="962"/>
      <c r="E41" s="710">
        <f>$AU20/E$39</f>
        <v>438.79218724013896</v>
      </c>
      <c r="F41" s="73"/>
      <c r="G41" s="73"/>
      <c r="O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</row>
    <row r="42" spans="1:51">
      <c r="A42" s="73"/>
      <c r="B42" s="227" t="s">
        <v>6</v>
      </c>
      <c r="C42" s="613"/>
      <c r="D42" s="962"/>
      <c r="E42" s="710">
        <f>$AU21/E$39</f>
        <v>188.25187947116808</v>
      </c>
      <c r="F42" s="73"/>
      <c r="G42" s="73"/>
      <c r="O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</row>
    <row r="43" spans="1:51" ht="16" customHeight="1" thickBot="1">
      <c r="A43" s="73"/>
      <c r="B43" s="963" t="s">
        <v>55</v>
      </c>
      <c r="C43" s="964"/>
      <c r="D43" s="964"/>
      <c r="E43" s="965">
        <f>+SUM(E40:E42)</f>
        <v>627.0440667113071</v>
      </c>
      <c r="F43" s="73"/>
      <c r="G43" s="73"/>
      <c r="O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</row>
    <row r="44" spans="1:51" ht="14" thickBot="1">
      <c r="A44" s="73"/>
      <c r="D44" s="2"/>
      <c r="E44" s="2"/>
      <c r="F44" s="73"/>
      <c r="G44" s="73"/>
      <c r="O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</row>
    <row r="45" spans="1:51" ht="16" customHeight="1">
      <c r="A45" s="73"/>
      <c r="B45" s="958" t="s">
        <v>511</v>
      </c>
      <c r="C45" s="797"/>
      <c r="D45" s="797"/>
      <c r="E45" s="959" t="s">
        <v>510</v>
      </c>
      <c r="F45" s="73"/>
      <c r="G45" s="33"/>
      <c r="O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</row>
    <row r="46" spans="1:51" ht="16" customHeight="1">
      <c r="A46" s="73"/>
      <c r="B46" s="960"/>
      <c r="C46" s="612"/>
      <c r="D46" s="9"/>
      <c r="E46" s="820">
        <v>330</v>
      </c>
      <c r="F46" s="73"/>
      <c r="G46" s="997"/>
      <c r="O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</row>
    <row r="47" spans="1:51" ht="16" customHeight="1">
      <c r="A47" s="73"/>
      <c r="B47" s="147" t="s">
        <v>4</v>
      </c>
      <c r="C47" s="613"/>
      <c r="D47" s="790"/>
      <c r="E47" s="791">
        <f>+AY19/$E$46</f>
        <v>971.57196969696975</v>
      </c>
      <c r="F47" s="73"/>
      <c r="G47" s="103"/>
      <c r="H47" s="73"/>
      <c r="I47" s="73"/>
      <c r="J47" s="73"/>
      <c r="K47" s="73"/>
      <c r="L47" s="2"/>
      <c r="M47" s="2"/>
      <c r="N47" s="2"/>
      <c r="O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</row>
    <row r="48" spans="1:51" ht="16" customHeight="1">
      <c r="A48" s="73"/>
      <c r="B48" s="147" t="s">
        <v>5</v>
      </c>
      <c r="C48" s="613"/>
      <c r="D48" s="790"/>
      <c r="E48" s="791">
        <f>+AY20/$E$46</f>
        <v>0</v>
      </c>
      <c r="F48" s="73"/>
      <c r="G48" s="103"/>
      <c r="H48" s="73"/>
      <c r="I48" s="73"/>
      <c r="J48" s="73"/>
      <c r="K48" s="73"/>
      <c r="L48" s="2"/>
      <c r="M48" s="2"/>
      <c r="N48" s="2"/>
      <c r="O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34"/>
      <c r="AU48" s="73"/>
      <c r="AV48" s="73"/>
      <c r="AW48" s="73"/>
      <c r="AX48" s="73"/>
      <c r="AY48" s="73"/>
    </row>
    <row r="49" spans="1:51">
      <c r="A49" s="73"/>
      <c r="B49" s="147" t="s">
        <v>6</v>
      </c>
      <c r="C49" s="613"/>
      <c r="D49" s="790"/>
      <c r="E49" s="791">
        <f>+AY21/$E$46</f>
        <v>586.68409090909086</v>
      </c>
      <c r="F49" s="73"/>
      <c r="G49" s="103"/>
      <c r="H49" s="73"/>
      <c r="I49" s="73"/>
      <c r="J49" s="73"/>
      <c r="K49" s="73"/>
      <c r="L49" s="2"/>
      <c r="M49" s="2"/>
      <c r="N49" s="2"/>
      <c r="O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34"/>
      <c r="AU49" s="73"/>
      <c r="AV49" s="73"/>
      <c r="AW49" s="73"/>
      <c r="AX49" s="73"/>
      <c r="AY49" s="73"/>
    </row>
    <row r="50" spans="1:51" ht="14" thickBot="1">
      <c r="A50" s="73"/>
      <c r="B50" s="792" t="s">
        <v>55</v>
      </c>
      <c r="C50" s="793"/>
      <c r="D50" s="793"/>
      <c r="E50" s="794">
        <f>+SUM(E47:E49)</f>
        <v>1558.2560606060606</v>
      </c>
      <c r="F50" s="73"/>
      <c r="G50" s="103"/>
      <c r="H50" s="73"/>
      <c r="I50" s="73"/>
      <c r="J50" s="73"/>
      <c r="K50" s="73"/>
      <c r="L50" s="2"/>
      <c r="M50" s="2"/>
      <c r="N50" s="2"/>
      <c r="O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34"/>
      <c r="AU50" s="73"/>
      <c r="AV50" s="73"/>
      <c r="AW50" s="73"/>
      <c r="AX50" s="73"/>
      <c r="AY50" s="73"/>
    </row>
    <row r="51" spans="1:51">
      <c r="A51" s="73"/>
      <c r="B51" s="73"/>
      <c r="C51" s="73"/>
      <c r="O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34"/>
      <c r="AU51" s="73"/>
      <c r="AV51" s="73"/>
      <c r="AW51" s="73"/>
      <c r="AX51" s="73"/>
      <c r="AY51" s="73"/>
    </row>
    <row r="52" spans="1:51" ht="14" thickBot="1">
      <c r="A52" s="73"/>
      <c r="B52" s="73"/>
      <c r="C52" s="73"/>
      <c r="O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34"/>
      <c r="AU52" s="73"/>
      <c r="AV52" s="73"/>
      <c r="AW52" s="73"/>
      <c r="AX52" s="73"/>
      <c r="AY52" s="73"/>
    </row>
    <row r="53" spans="1:51">
      <c r="A53" s="73"/>
      <c r="B53" s="570"/>
      <c r="C53" s="571"/>
      <c r="D53" s="571" t="s">
        <v>499</v>
      </c>
      <c r="E53" s="571"/>
      <c r="F53" s="571"/>
      <c r="G53" s="571" t="s">
        <v>10</v>
      </c>
      <c r="H53" s="572"/>
      <c r="O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34"/>
      <c r="AU53" s="73"/>
      <c r="AV53" s="73"/>
      <c r="AW53" s="73"/>
      <c r="AX53" s="73"/>
      <c r="AY53" s="73"/>
    </row>
    <row r="54" spans="1:51">
      <c r="A54" s="73"/>
      <c r="B54" s="573"/>
      <c r="C54" s="30" t="s">
        <v>500</v>
      </c>
      <c r="D54" s="30" t="s">
        <v>501</v>
      </c>
      <c r="E54" s="30" t="s">
        <v>502</v>
      </c>
      <c r="F54" s="30" t="s">
        <v>500</v>
      </c>
      <c r="G54" s="30" t="s">
        <v>501</v>
      </c>
      <c r="H54" s="574" t="s">
        <v>502</v>
      </c>
      <c r="O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</row>
    <row r="55" spans="1:51">
      <c r="A55" s="73"/>
      <c r="B55" s="147" t="s">
        <v>498</v>
      </c>
      <c r="C55" s="79">
        <f>Assumptions!T12*12</f>
        <v>24027</v>
      </c>
      <c r="D55" s="79">
        <f>C55*(1.02^2)</f>
        <v>24997.6908</v>
      </c>
      <c r="E55" s="79">
        <f>D55*(1.02^2)</f>
        <v>26007.597508319999</v>
      </c>
      <c r="F55" s="29">
        <f>Assumptions!O29*12</f>
        <v>10668</v>
      </c>
      <c r="G55" s="79">
        <f>F55*(1.02^2)</f>
        <v>11098.9872</v>
      </c>
      <c r="H55" s="150">
        <f>G55*(1.02^2)</f>
        <v>11547.386282879999</v>
      </c>
      <c r="O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</row>
    <row r="56" spans="1:51">
      <c r="A56" s="73"/>
      <c r="B56" s="147" t="s">
        <v>504</v>
      </c>
      <c r="C56" s="79">
        <f>Assumptions!T15*12</f>
        <v>27558</v>
      </c>
      <c r="D56" s="79">
        <f t="shared" ref="D56:E59" si="41">C56*(1.02^2)</f>
        <v>28671.343199999999</v>
      </c>
      <c r="E56" s="79">
        <f t="shared" si="41"/>
        <v>29829.665465279999</v>
      </c>
      <c r="F56" s="29">
        <f>Assumptions!P29*12</f>
        <v>11436</v>
      </c>
      <c r="G56" s="79">
        <f t="shared" ref="G56:H56" si="42">F56*(1.02^2)</f>
        <v>11898.0144</v>
      </c>
      <c r="H56" s="150">
        <f t="shared" si="42"/>
        <v>12378.69418176</v>
      </c>
      <c r="O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</row>
    <row r="57" spans="1:51">
      <c r="A57" s="73"/>
      <c r="B57" s="147" t="s">
        <v>505</v>
      </c>
      <c r="C57" s="79">
        <f>Assumptions!T18*12</f>
        <v>36552</v>
      </c>
      <c r="D57" s="79">
        <f t="shared" si="41"/>
        <v>38028.700799999999</v>
      </c>
      <c r="E57" s="79">
        <f t="shared" si="41"/>
        <v>39565.060312319998</v>
      </c>
      <c r="F57" s="29">
        <f>Assumptions!Q29*12</f>
        <v>13728</v>
      </c>
      <c r="G57" s="79">
        <f t="shared" ref="G57:H57" si="43">F57*(1.02^2)</f>
        <v>14282.611199999999</v>
      </c>
      <c r="H57" s="150">
        <f t="shared" si="43"/>
        <v>14859.628692479999</v>
      </c>
      <c r="O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</row>
    <row r="58" spans="1:51">
      <c r="A58" s="73"/>
      <c r="B58" s="147" t="s">
        <v>506</v>
      </c>
      <c r="C58" s="79">
        <f>Assumptions!T21*12</f>
        <v>48564</v>
      </c>
      <c r="D58" s="79">
        <f t="shared" si="41"/>
        <v>50525.9856</v>
      </c>
      <c r="E58" s="79">
        <f t="shared" si="41"/>
        <v>52567.235418240001</v>
      </c>
      <c r="F58" s="29">
        <f>Assumptions!R29*12</f>
        <v>15852</v>
      </c>
      <c r="G58" s="79">
        <f t="shared" ref="G58:H58" si="44">F58*(1.02^2)</f>
        <v>16492.4208</v>
      </c>
      <c r="H58" s="150">
        <f t="shared" si="44"/>
        <v>17158.71460032</v>
      </c>
      <c r="O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3"/>
      <c r="AY58" s="73"/>
    </row>
    <row r="59" spans="1:51">
      <c r="A59" s="73"/>
      <c r="B59" s="147" t="s">
        <v>507</v>
      </c>
      <c r="C59" s="79">
        <f>4500*12</f>
        <v>54000</v>
      </c>
      <c r="D59" s="79">
        <f t="shared" si="41"/>
        <v>56181.599999999999</v>
      </c>
      <c r="E59" s="79">
        <f t="shared" si="41"/>
        <v>58451.336640000001</v>
      </c>
      <c r="F59" s="29">
        <f>Assumptions!S29*12</f>
        <v>17688</v>
      </c>
      <c r="G59" s="79">
        <f t="shared" ref="G59:H59" si="45">F59*(1.02^2)</f>
        <v>18402.5952</v>
      </c>
      <c r="H59" s="150">
        <f t="shared" si="45"/>
        <v>19146.060046079998</v>
      </c>
      <c r="O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U59" s="73"/>
      <c r="AV59" s="73"/>
      <c r="AW59" s="73"/>
      <c r="AX59" s="73"/>
      <c r="AY59" s="73"/>
    </row>
    <row r="60" spans="1:51" ht="14" thickBot="1">
      <c r="A60" s="73"/>
      <c r="B60" s="598" t="s">
        <v>508</v>
      </c>
      <c r="C60" s="786">
        <f>(C55*E28)+(G28*C56)+(I28*C57)+(K28*C58)+(M28*C59)</f>
        <v>14023454.472002182</v>
      </c>
      <c r="D60" s="786">
        <f>(D55*E29)+(G29*D56)+(I29*D57)+(K29*D58)+(D59*M29)</f>
        <v>4610516.3545542695</v>
      </c>
      <c r="E60" s="786">
        <f>(E30*E55)+(G30*E56)+(I30*E57)+(K30*E58)+(M30*E59)</f>
        <v>5891890.2996257888</v>
      </c>
      <c r="F60" s="787">
        <f>(F55*E33)+(G33*F56)+(F57*I33)+(K33*F58)+(M33*F59)</f>
        <v>1457240.6482378184</v>
      </c>
      <c r="G60" s="787">
        <f>(G55*E34)+(G34*G56)+(G57*I34)+(G58*K34)+(M34*G59)</f>
        <v>479099.62945545773</v>
      </c>
      <c r="H60" s="788">
        <f>(H55*E35)+(G35*H56)+(H57*I35)+(H58*K35)+(H59*M35)</f>
        <v>612252.99776988232</v>
      </c>
      <c r="O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</row>
    <row r="61" spans="1:51">
      <c r="A61" s="73"/>
      <c r="B61" s="73"/>
      <c r="C61" s="73"/>
      <c r="O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</row>
    <row r="62" spans="1:51">
      <c r="A62" s="73"/>
      <c r="B62" s="73"/>
      <c r="C62" s="73"/>
      <c r="O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73"/>
      <c r="AY62" s="73"/>
    </row>
    <row r="63" spans="1:51" ht="14" thickBot="1">
      <c r="A63" s="73"/>
      <c r="B63" s="73"/>
      <c r="C63" s="73"/>
      <c r="O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</row>
    <row r="64" spans="1:51" ht="14" thickBot="1">
      <c r="A64" s="73"/>
      <c r="B64" s="1000" t="s">
        <v>460</v>
      </c>
      <c r="C64" s="1001">
        <f>O18/E18</f>
        <v>4.0646906369675975</v>
      </c>
      <c r="O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/>
      <c r="AU64" s="73"/>
      <c r="AV64" s="73"/>
      <c r="AW64" s="73"/>
      <c r="AX64" s="73"/>
      <c r="AY64" s="73"/>
    </row>
    <row r="65" spans="1:51">
      <c r="A65" s="73"/>
      <c r="B65" s="73"/>
      <c r="C65" s="73"/>
      <c r="O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3"/>
      <c r="AT65" s="73"/>
      <c r="AU65" s="73"/>
      <c r="AV65" s="73"/>
      <c r="AW65" s="73"/>
      <c r="AX65" s="73"/>
      <c r="AY65" s="73"/>
    </row>
    <row r="66" spans="1:51">
      <c r="A66" s="73"/>
      <c r="B66" s="73"/>
      <c r="C66" s="73"/>
      <c r="O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3"/>
      <c r="AT66" s="73"/>
      <c r="AU66" s="73"/>
      <c r="AV66" s="73"/>
      <c r="AW66" s="73"/>
      <c r="AX66" s="73"/>
      <c r="AY66" s="73"/>
    </row>
    <row r="67" spans="1:51">
      <c r="A67" s="73"/>
      <c r="B67" s="73"/>
      <c r="C67" s="73"/>
      <c r="O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</row>
    <row r="68" spans="1:51">
      <c r="A68" s="73"/>
      <c r="B68" s="73"/>
      <c r="C68" s="73"/>
      <c r="O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3"/>
      <c r="AT68" s="73"/>
      <c r="AU68" s="73"/>
      <c r="AV68" s="73"/>
      <c r="AW68" s="73"/>
      <c r="AX68" s="73"/>
      <c r="AY68" s="73"/>
    </row>
    <row r="69" spans="1:51">
      <c r="A69" s="73"/>
      <c r="B69" s="73"/>
      <c r="C69" s="73"/>
      <c r="O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3"/>
      <c r="AT69" s="73"/>
      <c r="AU69" s="73"/>
      <c r="AV69" s="73"/>
      <c r="AW69" s="73"/>
      <c r="AX69" s="73"/>
      <c r="AY69" s="73"/>
    </row>
    <row r="70" spans="1:51">
      <c r="A70" s="73"/>
      <c r="B70" s="73"/>
      <c r="C70" s="73"/>
      <c r="O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73"/>
      <c r="AY70" s="73"/>
    </row>
    <row r="71" spans="1:51">
      <c r="A71" s="73"/>
      <c r="B71" s="73"/>
      <c r="C71" s="73"/>
      <c r="O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73"/>
    </row>
    <row r="72" spans="1:51">
      <c r="A72" s="73"/>
      <c r="B72" s="73"/>
      <c r="C72" s="73"/>
      <c r="O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3"/>
      <c r="AT72" s="73"/>
      <c r="AU72" s="73"/>
      <c r="AV72" s="73"/>
      <c r="AW72" s="73"/>
      <c r="AX72" s="73"/>
      <c r="AY72" s="73"/>
    </row>
    <row r="73" spans="1:51">
      <c r="A73" s="73"/>
      <c r="B73" s="73"/>
      <c r="C73" s="73"/>
      <c r="O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3"/>
      <c r="AT73" s="73"/>
      <c r="AU73" s="73"/>
      <c r="AV73" s="73"/>
      <c r="AW73" s="73"/>
      <c r="AX73" s="73"/>
      <c r="AY73" s="73"/>
    </row>
    <row r="74" spans="1:51">
      <c r="A74" s="73"/>
      <c r="B74" s="73"/>
      <c r="C74" s="73"/>
      <c r="O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</row>
    <row r="75" spans="1:51">
      <c r="A75" s="73"/>
      <c r="B75" s="73"/>
      <c r="C75" s="73"/>
      <c r="O75" s="73"/>
    </row>
    <row r="76" spans="1:51">
      <c r="O76" s="73"/>
    </row>
  </sheetData>
  <mergeCells count="4">
    <mergeCell ref="Q3:X3"/>
    <mergeCell ref="Y3:Z3"/>
    <mergeCell ref="AC3:AJ3"/>
    <mergeCell ref="AM3:AO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E3551-28AA-4D58-9E51-62DE5C57A863}">
  <dimension ref="A1:AN67"/>
  <sheetViews>
    <sheetView workbookViewId="0">
      <pane ySplit="2" topLeftCell="A3" activePane="bottomLeft" state="frozen"/>
      <selection pane="bottomLeft" activeCell="L1" sqref="K1:L1"/>
    </sheetView>
  </sheetViews>
  <sheetFormatPr baseColWidth="10" defaultColWidth="8.83203125" defaultRowHeight="13"/>
  <cols>
    <col min="1" max="1" width="8.83203125" style="2"/>
    <col min="2" max="2" width="30.6640625" style="2" customWidth="1"/>
    <col min="3" max="3" width="10" style="2" customWidth="1"/>
    <col min="4" max="4" width="2.83203125" style="2" customWidth="1"/>
    <col min="5" max="5" width="2.5" style="2" customWidth="1"/>
    <col min="6" max="6" width="15" style="11" customWidth="1"/>
    <col min="7" max="9" width="15" style="2" customWidth="1"/>
    <col min="10" max="10" width="5" style="2" customWidth="1"/>
    <col min="11" max="11" width="15" style="2" customWidth="1"/>
    <col min="12" max="12" width="14.83203125" style="2" customWidth="1"/>
    <col min="13" max="13" width="14.5" style="2" customWidth="1"/>
    <col min="14" max="14" width="15.83203125" style="2" customWidth="1"/>
    <col min="15" max="15" width="12.5" style="2" customWidth="1"/>
    <col min="16" max="16" width="16" style="2" customWidth="1"/>
    <col min="17" max="18" width="14" style="2" customWidth="1"/>
    <col min="19" max="19" width="13.5" style="2" customWidth="1"/>
    <col min="20" max="20" width="4.33203125" style="75" customWidth="1"/>
    <col min="21" max="29" width="14.5" style="2" customWidth="1"/>
    <col min="30" max="30" width="4.83203125" style="2" customWidth="1"/>
    <col min="31" max="31" width="13.83203125" style="2" customWidth="1"/>
    <col min="32" max="38" width="13.6640625" style="2" customWidth="1"/>
    <col min="39" max="39" width="16.5" style="2" customWidth="1"/>
    <col min="40" max="40" width="13.6640625" style="2" customWidth="1"/>
    <col min="41" max="16384" width="8.83203125" style="2"/>
  </cols>
  <sheetData>
    <row r="1" spans="2:40" ht="14" thickBot="1">
      <c r="K1" s="301" t="s">
        <v>1</v>
      </c>
      <c r="L1" s="302" t="s">
        <v>2</v>
      </c>
    </row>
    <row r="2" spans="2:40">
      <c r="B2" s="1199" t="s">
        <v>55</v>
      </c>
      <c r="C2" s="1200"/>
      <c r="D2" s="1200"/>
      <c r="E2" s="1200"/>
      <c r="F2" s="1200"/>
      <c r="G2" s="1200"/>
      <c r="H2" s="1200"/>
      <c r="I2" s="1200"/>
      <c r="J2" s="789"/>
      <c r="K2" s="1195" t="s">
        <v>535</v>
      </c>
      <c r="L2" s="1195"/>
      <c r="M2" s="1195"/>
      <c r="N2" s="1195"/>
      <c r="O2" s="1195"/>
      <c r="P2" s="1195"/>
      <c r="Q2" s="1195"/>
      <c r="R2" s="1195"/>
      <c r="S2" s="1195"/>
      <c r="T2" s="809"/>
      <c r="U2" s="1196" t="s">
        <v>536</v>
      </c>
      <c r="V2" s="1196"/>
      <c r="W2" s="1196"/>
      <c r="X2" s="1196"/>
      <c r="Y2" s="1196"/>
      <c r="Z2" s="1196"/>
      <c r="AA2" s="1196"/>
      <c r="AB2" s="1196"/>
      <c r="AC2" s="1196"/>
      <c r="AD2" s="654"/>
      <c r="AE2" s="1197" t="s">
        <v>537</v>
      </c>
      <c r="AF2" s="1197"/>
      <c r="AG2" s="1197"/>
      <c r="AH2" s="1197"/>
      <c r="AI2" s="1197"/>
      <c r="AJ2" s="1197"/>
      <c r="AK2" s="1197"/>
      <c r="AL2" s="1197"/>
      <c r="AM2" s="1198"/>
    </row>
    <row r="3" spans="2:40">
      <c r="B3" s="655" t="s">
        <v>197</v>
      </c>
      <c r="C3" s="448" t="s">
        <v>652</v>
      </c>
      <c r="D3" s="448"/>
      <c r="E3" s="448"/>
      <c r="F3" s="448" t="s">
        <v>55</v>
      </c>
      <c r="G3" s="448" t="s">
        <v>4</v>
      </c>
      <c r="H3" s="448" t="s">
        <v>5</v>
      </c>
      <c r="I3" s="448" t="s">
        <v>6</v>
      </c>
      <c r="J3" s="9"/>
      <c r="K3" s="810" t="s">
        <v>538</v>
      </c>
      <c r="L3" s="810" t="s">
        <v>209</v>
      </c>
      <c r="M3" s="810" t="s">
        <v>210</v>
      </c>
      <c r="N3" s="810" t="s">
        <v>109</v>
      </c>
      <c r="O3" s="810" t="s">
        <v>15</v>
      </c>
      <c r="P3" s="810" t="s">
        <v>211</v>
      </c>
      <c r="Q3" s="810" t="s">
        <v>212</v>
      </c>
      <c r="R3" s="810" t="s">
        <v>23</v>
      </c>
      <c r="S3" s="810" t="s">
        <v>213</v>
      </c>
      <c r="T3" s="811"/>
      <c r="U3" s="812" t="s">
        <v>538</v>
      </c>
      <c r="V3" s="812" t="s">
        <v>209</v>
      </c>
      <c r="W3" s="812" t="s">
        <v>210</v>
      </c>
      <c r="X3" s="812" t="s">
        <v>109</v>
      </c>
      <c r="Y3" s="812" t="s">
        <v>15</v>
      </c>
      <c r="Z3" s="812" t="s">
        <v>211</v>
      </c>
      <c r="AA3" s="812" t="s">
        <v>212</v>
      </c>
      <c r="AB3" s="812" t="s">
        <v>23</v>
      </c>
      <c r="AC3" s="812" t="s">
        <v>213</v>
      </c>
      <c r="AD3" s="9"/>
      <c r="AE3" s="813" t="s">
        <v>538</v>
      </c>
      <c r="AF3" s="813" t="s">
        <v>209</v>
      </c>
      <c r="AG3" s="813" t="s">
        <v>210</v>
      </c>
      <c r="AH3" s="813" t="s">
        <v>109</v>
      </c>
      <c r="AI3" s="813" t="s">
        <v>15</v>
      </c>
      <c r="AJ3" s="813" t="s">
        <v>211</v>
      </c>
      <c r="AK3" s="813" t="s">
        <v>212</v>
      </c>
      <c r="AL3" s="813" t="s">
        <v>23</v>
      </c>
      <c r="AM3" s="814" t="s">
        <v>213</v>
      </c>
    </row>
    <row r="4" spans="2:40">
      <c r="B4" s="227" t="s">
        <v>539</v>
      </c>
      <c r="C4" s="34"/>
      <c r="D4" s="34"/>
      <c r="E4" s="34"/>
      <c r="F4" s="981">
        <f>'Parcel breakdown'!E18</f>
        <v>733491</v>
      </c>
      <c r="G4" s="103">
        <f>'Parcel breakdown'!E19</f>
        <v>394149</v>
      </c>
      <c r="H4" s="103">
        <f>'Parcel breakdown'!E20</f>
        <v>235847</v>
      </c>
      <c r="I4" s="103">
        <f>'Parcel breakdown'!E21</f>
        <v>103495</v>
      </c>
      <c r="J4" s="34"/>
      <c r="K4" s="34"/>
      <c r="L4" s="34"/>
      <c r="M4" s="34"/>
      <c r="N4" s="34"/>
      <c r="O4" s="34"/>
      <c r="P4" s="34"/>
      <c r="Q4" s="34"/>
      <c r="R4" s="34"/>
      <c r="S4" s="34"/>
      <c r="T4" s="982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229"/>
    </row>
    <row r="5" spans="2:40">
      <c r="B5" s="227" t="s">
        <v>540</v>
      </c>
      <c r="C5" s="34"/>
      <c r="D5" s="34"/>
      <c r="E5" s="34"/>
      <c r="F5" s="981">
        <f>'Parcel breakdown'!O18</f>
        <v>2981414</v>
      </c>
      <c r="G5" s="103">
        <f>'Parcel breakdown'!O19</f>
        <v>1730662</v>
      </c>
      <c r="H5" s="103">
        <f>'Parcel breakdown'!O20</f>
        <v>699664</v>
      </c>
      <c r="I5" s="103">
        <f>'Parcel breakdown'!O21</f>
        <v>551088</v>
      </c>
      <c r="J5" s="34"/>
      <c r="K5" s="103">
        <f>SUM(L5:S5)</f>
        <v>1730662</v>
      </c>
      <c r="L5" s="103">
        <f>'Parcel breakdown'!AC19</f>
        <v>107451.40000000001</v>
      </c>
      <c r="M5" s="103">
        <f>'Parcel breakdown'!AD19</f>
        <v>429805.60000000003</v>
      </c>
      <c r="N5" s="103">
        <f>'Parcel breakdown'!AE19</f>
        <v>22489</v>
      </c>
      <c r="O5" s="103">
        <f>'Parcel breakdown'!AF19</f>
        <v>0</v>
      </c>
      <c r="P5" s="103">
        <f>'Parcel breakdown'!AG19</f>
        <v>149745</v>
      </c>
      <c r="Q5" s="103">
        <f>'Parcel breakdown'!AH19</f>
        <v>682049</v>
      </c>
      <c r="R5" s="103">
        <f>'Parcel breakdown'!AI19</f>
        <v>18503.25</v>
      </c>
      <c r="S5" s="103">
        <f>'Parcel breakdown'!AJ19</f>
        <v>320618.75</v>
      </c>
      <c r="T5" s="983"/>
      <c r="U5" s="103">
        <f>SUM(V5:AC5)</f>
        <v>699664</v>
      </c>
      <c r="V5" s="103">
        <f>'Parcel breakdown'!AC20</f>
        <v>33955.199999999997</v>
      </c>
      <c r="W5" s="103">
        <f>'Parcel breakdown'!AD20</f>
        <v>135820.79999999999</v>
      </c>
      <c r="X5" s="103">
        <f>'Parcel breakdown'!AE20</f>
        <v>71713</v>
      </c>
      <c r="Y5" s="103">
        <f>'Parcel breakdown'!AF20</f>
        <v>243036</v>
      </c>
      <c r="Z5" s="103">
        <f>'Parcel breakdown'!AG20</f>
        <v>0</v>
      </c>
      <c r="AA5" s="103">
        <f>'Parcel breakdown'!AH20</f>
        <v>184459</v>
      </c>
      <c r="AB5" s="103">
        <f>'Parcel breakdown'!AI20</f>
        <v>30680</v>
      </c>
      <c r="AC5" s="103">
        <f>'Parcel breakdown'!AJ20</f>
        <v>0</v>
      </c>
      <c r="AD5" s="34"/>
      <c r="AE5" s="103">
        <f>SUM(AF5:AM5)</f>
        <v>551088</v>
      </c>
      <c r="AF5" s="103">
        <f>'Parcel breakdown'!AC21</f>
        <v>41707.200000000004</v>
      </c>
      <c r="AG5" s="103">
        <f>'Parcel breakdown'!AD21</f>
        <v>166828.80000000002</v>
      </c>
      <c r="AH5" s="103">
        <f>'Parcel breakdown'!AE21</f>
        <v>14892.75</v>
      </c>
      <c r="AI5" s="103">
        <f>'Parcel breakdown'!AF21</f>
        <v>104268</v>
      </c>
      <c r="AJ5" s="103">
        <f>'Parcel breakdown'!AG21</f>
        <v>29785.5</v>
      </c>
      <c r="AK5" s="103">
        <f>'Parcel breakdown'!AH21</f>
        <v>0</v>
      </c>
      <c r="AL5" s="103">
        <f>'Parcel breakdown'!AI21</f>
        <v>0</v>
      </c>
      <c r="AM5" s="710">
        <f>'Parcel breakdown'!AJ21</f>
        <v>193605.75</v>
      </c>
    </row>
    <row r="6" spans="2:40">
      <c r="B6" s="984" t="s">
        <v>541</v>
      </c>
      <c r="C6" s="34"/>
      <c r="D6" s="34"/>
      <c r="E6" s="34"/>
      <c r="F6" s="985">
        <f>F5/$F$5</f>
        <v>1</v>
      </c>
      <c r="G6" s="244">
        <f t="shared" ref="G6:I6" si="0">G5/$F$5</f>
        <v>0.58048362287156363</v>
      </c>
      <c r="H6" s="244">
        <f t="shared" si="0"/>
        <v>0.23467522457464815</v>
      </c>
      <c r="I6" s="244">
        <f t="shared" si="0"/>
        <v>0.18484115255378825</v>
      </c>
      <c r="J6" s="34"/>
      <c r="K6" s="244">
        <f>K5/$K$5</f>
        <v>1</v>
      </c>
      <c r="L6" s="244">
        <f>L5/$K$5</f>
        <v>6.2086877738114089E-2</v>
      </c>
      <c r="M6" s="244">
        <f t="shared" ref="M6:S6" si="1">M5/$K$5</f>
        <v>0.24834751095245636</v>
      </c>
      <c r="N6" s="244">
        <f t="shared" si="1"/>
        <v>1.2994449522783768E-2</v>
      </c>
      <c r="O6" s="244">
        <f t="shared" si="1"/>
        <v>0</v>
      </c>
      <c r="P6" s="244">
        <f t="shared" si="1"/>
        <v>8.6524694018820542E-2</v>
      </c>
      <c r="Q6" s="244">
        <f t="shared" si="1"/>
        <v>0.39409717206479372</v>
      </c>
      <c r="R6" s="244">
        <f t="shared" si="1"/>
        <v>1.0691429060093767E-2</v>
      </c>
      <c r="S6" s="244">
        <f t="shared" si="1"/>
        <v>0.18525786664293778</v>
      </c>
      <c r="T6" s="986"/>
      <c r="U6" s="244">
        <f>U5/$U$5</f>
        <v>1</v>
      </c>
      <c r="V6" s="244">
        <f t="shared" ref="V6:AC6" si="2">V5/$U$5</f>
        <v>4.8530723318621509E-2</v>
      </c>
      <c r="W6" s="244">
        <f t="shared" si="2"/>
        <v>0.19412289327448604</v>
      </c>
      <c r="X6" s="244">
        <f t="shared" si="2"/>
        <v>0.10249634110087127</v>
      </c>
      <c r="Y6" s="244">
        <f>Y5/$U$5</f>
        <v>0.34736101900340732</v>
      </c>
      <c r="Z6" s="244">
        <f t="shared" si="2"/>
        <v>0</v>
      </c>
      <c r="AA6" s="244">
        <f t="shared" si="2"/>
        <v>0.26363940405680442</v>
      </c>
      <c r="AB6" s="244">
        <f t="shared" si="2"/>
        <v>4.3849619245809414E-2</v>
      </c>
      <c r="AC6" s="244">
        <f t="shared" si="2"/>
        <v>0</v>
      </c>
      <c r="AD6" s="34"/>
      <c r="AE6" s="244">
        <f>AE5/$AE$5</f>
        <v>1</v>
      </c>
      <c r="AF6" s="244">
        <f t="shared" ref="AF6:AI6" si="3">AF5/$AE$5</f>
        <v>7.5681560839648124E-2</v>
      </c>
      <c r="AG6" s="244">
        <f t="shared" si="3"/>
        <v>0.3027262433585925</v>
      </c>
      <c r="AH6" s="244">
        <f t="shared" si="3"/>
        <v>2.7024268356414947E-2</v>
      </c>
      <c r="AI6" s="244">
        <f t="shared" si="3"/>
        <v>0.18920390209912027</v>
      </c>
      <c r="AJ6" s="244">
        <f t="shared" ref="AJ6" si="4">AJ5/$AE$5</f>
        <v>5.4048536712829894E-2</v>
      </c>
      <c r="AK6" s="244">
        <f t="shared" ref="AK6" si="5">AK5/$AE$5</f>
        <v>0</v>
      </c>
      <c r="AL6" s="244">
        <f t="shared" ref="AL6:AM6" si="6">AL5/$AE$5</f>
        <v>0</v>
      </c>
      <c r="AM6" s="245">
        <f t="shared" si="6"/>
        <v>0.35131548863339429</v>
      </c>
    </row>
    <row r="7" spans="2:40">
      <c r="B7" s="227" t="s">
        <v>542</v>
      </c>
      <c r="C7" s="34"/>
      <c r="D7" s="34"/>
      <c r="E7" s="34"/>
      <c r="F7" s="981">
        <f>'Parcel breakdown'!AQ18</f>
        <v>2681384.2050200882</v>
      </c>
      <c r="G7" s="103">
        <f>'Parcel breakdown'!AQ19</f>
        <v>1579619.6500000001</v>
      </c>
      <c r="H7" s="103">
        <f>'Parcel breakdown'!AQ20</f>
        <v>603000.88425806258</v>
      </c>
      <c r="I7" s="103">
        <f>'Parcel breakdown'!AQ21</f>
        <v>498763.67076202563</v>
      </c>
      <c r="J7" s="34"/>
      <c r="K7" s="103">
        <f>'Parcel breakdown'!AQ19</f>
        <v>1579619.6500000001</v>
      </c>
      <c r="L7" s="103">
        <f>'Parcel breakdown'!AR19</f>
        <v>91333.69</v>
      </c>
      <c r="M7" s="103">
        <f>'Parcel breakdown'!AS19</f>
        <v>365334.76</v>
      </c>
      <c r="N7" s="103">
        <f>'Parcel breakdown'!AT19</f>
        <v>20240.099999999999</v>
      </c>
      <c r="O7" s="103">
        <f>'Parcel breakdown'!AU19</f>
        <v>0</v>
      </c>
      <c r="P7" s="103">
        <f>'Parcel breakdown'!AV19</f>
        <v>149745</v>
      </c>
      <c r="Q7" s="103">
        <f>'Parcel breakdown'!AW19</f>
        <v>613844.1</v>
      </c>
      <c r="R7" s="103">
        <f>'Parcel breakdown'!AX19</f>
        <v>18503.25</v>
      </c>
      <c r="S7" s="103">
        <f>'Parcel breakdown'!AY19</f>
        <v>320618.75</v>
      </c>
      <c r="T7" s="982"/>
      <c r="U7" s="103">
        <f>'Parcel breakdown'!AQ20</f>
        <v>603000.88425806258</v>
      </c>
      <c r="V7" s="103">
        <f>'Parcel breakdown'!AR20</f>
        <v>28861.919999999998</v>
      </c>
      <c r="W7" s="103">
        <f>'Parcel breakdown'!AS20</f>
        <v>115447.67999999999</v>
      </c>
      <c r="X7" s="103">
        <f>'Parcel breakdown'!AT20</f>
        <v>64541.700000000004</v>
      </c>
      <c r="Y7" s="103">
        <f>'Parcel breakdown'!AU20</f>
        <v>197456.48425806253</v>
      </c>
      <c r="Z7" s="103">
        <f>'Parcel breakdown'!AV20</f>
        <v>0</v>
      </c>
      <c r="AA7" s="103">
        <f>'Parcel breakdown'!AW20</f>
        <v>166013.1</v>
      </c>
      <c r="AB7" s="103">
        <f>'Parcel breakdown'!AX20</f>
        <v>30680</v>
      </c>
      <c r="AC7" s="103">
        <f>'Parcel breakdown'!AY20</f>
        <v>0</v>
      </c>
      <c r="AD7" s="34"/>
      <c r="AE7" s="103">
        <f>'Parcel breakdown'!AQ21</f>
        <v>498763.67076202563</v>
      </c>
      <c r="AF7" s="103">
        <f>'Parcel breakdown'!AR21</f>
        <v>35451.120000000003</v>
      </c>
      <c r="AG7" s="103">
        <f>'Parcel breakdown'!AS21</f>
        <v>141804.48000000001</v>
      </c>
      <c r="AH7" s="103">
        <f>'Parcel breakdown'!AT21</f>
        <v>13403.474999999999</v>
      </c>
      <c r="AI7" s="103">
        <f>'Parcel breakdown'!AU21</f>
        <v>84713.345762025638</v>
      </c>
      <c r="AJ7" s="103">
        <f>'Parcel breakdown'!AV21</f>
        <v>29785.5</v>
      </c>
      <c r="AK7" s="103">
        <f>'Parcel breakdown'!AW21</f>
        <v>0</v>
      </c>
      <c r="AL7" s="103">
        <f>'Parcel breakdown'!AX21</f>
        <v>0</v>
      </c>
      <c r="AM7" s="710">
        <f>'Parcel breakdown'!AY21</f>
        <v>193605.75</v>
      </c>
    </row>
    <row r="8" spans="2:40">
      <c r="B8" s="227"/>
      <c r="C8" s="34"/>
      <c r="D8" s="34"/>
      <c r="E8" s="34"/>
      <c r="F8" s="32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982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229"/>
    </row>
    <row r="9" spans="2:40">
      <c r="B9" s="805" t="s">
        <v>543</v>
      </c>
      <c r="C9" s="448" t="s">
        <v>652</v>
      </c>
      <c r="D9" s="806"/>
      <c r="E9" s="806"/>
      <c r="F9" s="806" t="s">
        <v>55</v>
      </c>
      <c r="G9" s="806" t="s">
        <v>4</v>
      </c>
      <c r="H9" s="806" t="s">
        <v>5</v>
      </c>
      <c r="I9" s="806" t="s">
        <v>6</v>
      </c>
      <c r="J9" s="9"/>
      <c r="K9" s="810" t="s">
        <v>538</v>
      </c>
      <c r="L9" s="810" t="s">
        <v>209</v>
      </c>
      <c r="M9" s="810" t="s">
        <v>210</v>
      </c>
      <c r="N9" s="810" t="s">
        <v>109</v>
      </c>
      <c r="O9" s="810" t="s">
        <v>15</v>
      </c>
      <c r="P9" s="810" t="s">
        <v>211</v>
      </c>
      <c r="Q9" s="810" t="s">
        <v>212</v>
      </c>
      <c r="R9" s="810" t="s">
        <v>23</v>
      </c>
      <c r="S9" s="810" t="s">
        <v>213</v>
      </c>
      <c r="T9" s="811"/>
      <c r="U9" s="812" t="s">
        <v>538</v>
      </c>
      <c r="V9" s="812" t="s">
        <v>209</v>
      </c>
      <c r="W9" s="812" t="s">
        <v>210</v>
      </c>
      <c r="X9" s="812" t="s">
        <v>109</v>
      </c>
      <c r="Y9" s="812" t="s">
        <v>15</v>
      </c>
      <c r="Z9" s="812" t="s">
        <v>211</v>
      </c>
      <c r="AA9" s="812" t="s">
        <v>212</v>
      </c>
      <c r="AB9" s="812" t="s">
        <v>23</v>
      </c>
      <c r="AC9" s="812" t="s">
        <v>213</v>
      </c>
      <c r="AD9" s="9"/>
      <c r="AE9" s="813" t="s">
        <v>538</v>
      </c>
      <c r="AF9" s="813" t="s">
        <v>209</v>
      </c>
      <c r="AG9" s="813" t="s">
        <v>210</v>
      </c>
      <c r="AH9" s="813" t="s">
        <v>109</v>
      </c>
      <c r="AI9" s="813" t="s">
        <v>15</v>
      </c>
      <c r="AJ9" s="813" t="s">
        <v>211</v>
      </c>
      <c r="AK9" s="813" t="s">
        <v>212</v>
      </c>
      <c r="AL9" s="813" t="s">
        <v>23</v>
      </c>
      <c r="AM9" s="814" t="s">
        <v>213</v>
      </c>
    </row>
    <row r="10" spans="2:40">
      <c r="B10" s="227" t="s">
        <v>544</v>
      </c>
      <c r="C10" s="34"/>
      <c r="D10" s="34"/>
      <c r="E10" s="83"/>
      <c r="F10" s="987">
        <f>SUM(Assumptions!D60:D71)</f>
        <v>56643589.887000002</v>
      </c>
      <c r="G10" s="83">
        <f>SUM(Assumptions!D60:D65)</f>
        <v>9871736.8049999997</v>
      </c>
      <c r="H10" s="83">
        <f>SUM(Assumptions!D66:D68)</f>
        <v>27991498.440000001</v>
      </c>
      <c r="I10" s="83">
        <f>SUM(Assumptions!D69:D71)</f>
        <v>18780354.641999997</v>
      </c>
      <c r="J10" s="83"/>
      <c r="K10" s="83">
        <f>G10</f>
        <v>9871736.8049999997</v>
      </c>
      <c r="L10" s="83">
        <f>L6*$K$10</f>
        <v>612905.316074876</v>
      </c>
      <c r="M10" s="83">
        <f t="shared" ref="M10:S10" si="7">M6*$K$10</f>
        <v>2451621.264299504</v>
      </c>
      <c r="N10" s="83">
        <f t="shared" si="7"/>
        <v>128277.7856147792</v>
      </c>
      <c r="O10" s="83">
        <f t="shared" si="7"/>
        <v>0</v>
      </c>
      <c r="P10" s="83">
        <f t="shared" si="7"/>
        <v>854149.00648695405</v>
      </c>
      <c r="Q10" s="83">
        <f t="shared" si="7"/>
        <v>3890423.5582184419</v>
      </c>
      <c r="R10" s="83">
        <f t="shared" si="7"/>
        <v>105542.97375057419</v>
      </c>
      <c r="S10" s="83">
        <f t="shared" si="7"/>
        <v>1828816.9005548707</v>
      </c>
      <c r="T10" s="988"/>
      <c r="U10" s="83">
        <f>I10</f>
        <v>18780354.641999997</v>
      </c>
      <c r="V10" s="83">
        <f>$U$10*V6</f>
        <v>911424.194956491</v>
      </c>
      <c r="W10" s="83">
        <f t="shared" ref="W10:AC10" si="8">$U$10*W6</f>
        <v>3645696.779825964</v>
      </c>
      <c r="X10" s="83">
        <f t="shared" si="8"/>
        <v>1924917.6353817629</v>
      </c>
      <c r="Y10" s="83">
        <f t="shared" si="8"/>
        <v>6523563.12569049</v>
      </c>
      <c r="Z10" s="83">
        <f t="shared" si="8"/>
        <v>0</v>
      </c>
      <c r="AA10" s="83">
        <f t="shared" si="8"/>
        <v>4951241.5057923198</v>
      </c>
      <c r="AB10" s="83">
        <f t="shared" si="8"/>
        <v>823511.4003529693</v>
      </c>
      <c r="AC10" s="83">
        <f t="shared" si="8"/>
        <v>0</v>
      </c>
      <c r="AD10" s="34"/>
      <c r="AE10" s="83">
        <f>I10</f>
        <v>18780354.641999997</v>
      </c>
      <c r="AF10" s="83">
        <f>$AE$10*AF6</f>
        <v>1421326.5524286909</v>
      </c>
      <c r="AG10" s="83">
        <f t="shared" ref="AG10:AM10" si="9">$AE$10*AG6</f>
        <v>5685306.2097147638</v>
      </c>
      <c r="AH10" s="83">
        <f t="shared" si="9"/>
        <v>507525.34367405105</v>
      </c>
      <c r="AI10" s="83">
        <f t="shared" si="9"/>
        <v>3553316.3810717263</v>
      </c>
      <c r="AJ10" s="83">
        <f t="shared" si="9"/>
        <v>1015050.6873481021</v>
      </c>
      <c r="AK10" s="83">
        <f>$AE$10*AK6</f>
        <v>0</v>
      </c>
      <c r="AL10" s="83">
        <f t="shared" si="9"/>
        <v>0</v>
      </c>
      <c r="AM10" s="228">
        <f t="shared" si="9"/>
        <v>6597829.467762664</v>
      </c>
      <c r="AN10" s="25"/>
    </row>
    <row r="11" spans="2:40">
      <c r="B11" s="227" t="s">
        <v>545</v>
      </c>
      <c r="C11" s="34"/>
      <c r="D11" s="34"/>
      <c r="E11" s="83"/>
      <c r="F11" s="987">
        <f>SUM(F10)</f>
        <v>56643589.887000002</v>
      </c>
      <c r="G11" s="83">
        <f t="shared" ref="G11:I11" si="10">SUM(G10)</f>
        <v>9871736.8049999997</v>
      </c>
      <c r="H11" s="83">
        <f t="shared" si="10"/>
        <v>27991498.440000001</v>
      </c>
      <c r="I11" s="83">
        <f t="shared" si="10"/>
        <v>18780354.641999997</v>
      </c>
      <c r="J11" s="83"/>
      <c r="K11" s="83">
        <f>SUM(K10)</f>
        <v>9871736.8049999997</v>
      </c>
      <c r="L11" s="83">
        <f t="shared" ref="L11:S11" si="11">SUM(L10)</f>
        <v>612905.316074876</v>
      </c>
      <c r="M11" s="83">
        <f t="shared" si="11"/>
        <v>2451621.264299504</v>
      </c>
      <c r="N11" s="83">
        <f t="shared" si="11"/>
        <v>128277.7856147792</v>
      </c>
      <c r="O11" s="83">
        <f t="shared" si="11"/>
        <v>0</v>
      </c>
      <c r="P11" s="83">
        <f t="shared" si="11"/>
        <v>854149.00648695405</v>
      </c>
      <c r="Q11" s="83">
        <f t="shared" si="11"/>
        <v>3890423.5582184419</v>
      </c>
      <c r="R11" s="83">
        <f t="shared" si="11"/>
        <v>105542.97375057419</v>
      </c>
      <c r="S11" s="83">
        <f t="shared" si="11"/>
        <v>1828816.9005548707</v>
      </c>
      <c r="T11" s="982"/>
      <c r="U11" s="83">
        <f>SUM(U10)</f>
        <v>18780354.641999997</v>
      </c>
      <c r="V11" s="83">
        <f t="shared" ref="V11" si="12">SUM(V10)</f>
        <v>911424.194956491</v>
      </c>
      <c r="W11" s="83">
        <f t="shared" ref="W11" si="13">SUM(W10)</f>
        <v>3645696.779825964</v>
      </c>
      <c r="X11" s="83">
        <f t="shared" ref="X11" si="14">SUM(X10)</f>
        <v>1924917.6353817629</v>
      </c>
      <c r="Y11" s="83">
        <f t="shared" ref="Y11" si="15">SUM(Y10)</f>
        <v>6523563.12569049</v>
      </c>
      <c r="Z11" s="83">
        <f t="shared" ref="Z11" si="16">SUM(Z10)</f>
        <v>0</v>
      </c>
      <c r="AA11" s="83">
        <f t="shared" ref="AA11" si="17">SUM(AA10)</f>
        <v>4951241.5057923198</v>
      </c>
      <c r="AB11" s="83">
        <f t="shared" ref="AB11" si="18">SUM(AB10)</f>
        <v>823511.4003529693</v>
      </c>
      <c r="AC11" s="83">
        <f t="shared" ref="AC11" si="19">SUM(AC10)</f>
        <v>0</v>
      </c>
      <c r="AD11" s="34"/>
      <c r="AE11" s="83">
        <f>SUM(AE10)</f>
        <v>18780354.641999997</v>
      </c>
      <c r="AF11" s="83">
        <f t="shared" ref="AF11" si="20">SUM(AF10)</f>
        <v>1421326.5524286909</v>
      </c>
      <c r="AG11" s="83">
        <f t="shared" ref="AG11" si="21">SUM(AG10)</f>
        <v>5685306.2097147638</v>
      </c>
      <c r="AH11" s="83">
        <f t="shared" ref="AH11" si="22">SUM(AH10)</f>
        <v>507525.34367405105</v>
      </c>
      <c r="AI11" s="83">
        <f t="shared" ref="AI11" si="23">SUM(AI10)</f>
        <v>3553316.3810717263</v>
      </c>
      <c r="AJ11" s="83">
        <f t="shared" ref="AJ11" si="24">SUM(AJ10)</f>
        <v>1015050.6873481021</v>
      </c>
      <c r="AK11" s="83">
        <f t="shared" ref="AK11" si="25">SUM(AK10)</f>
        <v>0</v>
      </c>
      <c r="AL11" s="83">
        <f t="shared" ref="AL11" si="26">SUM(AL10)</f>
        <v>0</v>
      </c>
      <c r="AM11" s="228">
        <f t="shared" ref="AM11" si="27">SUM(AM10)</f>
        <v>6597829.467762664</v>
      </c>
      <c r="AN11" s="25"/>
    </row>
    <row r="12" spans="2:40">
      <c r="B12" s="227"/>
      <c r="C12" s="34"/>
      <c r="D12" s="34"/>
      <c r="E12" s="83"/>
      <c r="F12" s="987"/>
      <c r="G12" s="83"/>
      <c r="H12" s="83"/>
      <c r="I12" s="83"/>
      <c r="J12" s="83"/>
      <c r="K12" s="83"/>
      <c r="L12" s="83"/>
      <c r="M12" s="34"/>
      <c r="N12" s="34"/>
      <c r="O12" s="34"/>
      <c r="P12" s="34"/>
      <c r="Q12" s="34"/>
      <c r="R12" s="34"/>
      <c r="S12" s="34"/>
      <c r="T12" s="982"/>
      <c r="U12" s="83"/>
      <c r="V12" s="83"/>
      <c r="W12" s="34"/>
      <c r="X12" s="34"/>
      <c r="Y12" s="34"/>
      <c r="Z12" s="34"/>
      <c r="AA12" s="34"/>
      <c r="AB12" s="34"/>
      <c r="AC12" s="34"/>
      <c r="AD12" s="34"/>
      <c r="AE12" s="34"/>
      <c r="AF12" s="83"/>
      <c r="AG12" s="34"/>
      <c r="AH12" s="34"/>
      <c r="AI12" s="34"/>
      <c r="AJ12" s="34"/>
      <c r="AK12" s="34"/>
      <c r="AL12" s="34"/>
      <c r="AM12" s="229"/>
      <c r="AN12" s="25"/>
    </row>
    <row r="13" spans="2:40">
      <c r="B13" s="805" t="s">
        <v>29</v>
      </c>
      <c r="C13" s="448" t="s">
        <v>652</v>
      </c>
      <c r="D13" s="806"/>
      <c r="E13" s="806"/>
      <c r="F13" s="806" t="s">
        <v>55</v>
      </c>
      <c r="G13" s="806" t="s">
        <v>4</v>
      </c>
      <c r="H13" s="806" t="s">
        <v>5</v>
      </c>
      <c r="I13" s="806" t="s">
        <v>6</v>
      </c>
      <c r="J13" s="9"/>
      <c r="K13" s="810" t="s">
        <v>538</v>
      </c>
      <c r="L13" s="810" t="s">
        <v>209</v>
      </c>
      <c r="M13" s="810" t="s">
        <v>210</v>
      </c>
      <c r="N13" s="810" t="s">
        <v>109</v>
      </c>
      <c r="O13" s="810" t="s">
        <v>15</v>
      </c>
      <c r="P13" s="810" t="s">
        <v>211</v>
      </c>
      <c r="Q13" s="810" t="s">
        <v>212</v>
      </c>
      <c r="R13" s="810" t="s">
        <v>23</v>
      </c>
      <c r="S13" s="810" t="s">
        <v>213</v>
      </c>
      <c r="T13" s="811"/>
      <c r="U13" s="812" t="s">
        <v>538</v>
      </c>
      <c r="V13" s="812" t="s">
        <v>209</v>
      </c>
      <c r="W13" s="812" t="s">
        <v>210</v>
      </c>
      <c r="X13" s="812" t="s">
        <v>109</v>
      </c>
      <c r="Y13" s="812" t="s">
        <v>15</v>
      </c>
      <c r="Z13" s="812" t="s">
        <v>211</v>
      </c>
      <c r="AA13" s="812" t="s">
        <v>212</v>
      </c>
      <c r="AB13" s="812" t="s">
        <v>23</v>
      </c>
      <c r="AC13" s="812" t="s">
        <v>213</v>
      </c>
      <c r="AD13" s="9"/>
      <c r="AE13" s="813" t="s">
        <v>538</v>
      </c>
      <c r="AF13" s="813" t="s">
        <v>209</v>
      </c>
      <c r="AG13" s="813" t="s">
        <v>210</v>
      </c>
      <c r="AH13" s="813" t="s">
        <v>109</v>
      </c>
      <c r="AI13" s="813" t="s">
        <v>15</v>
      </c>
      <c r="AJ13" s="813" t="s">
        <v>211</v>
      </c>
      <c r="AK13" s="813" t="s">
        <v>212</v>
      </c>
      <c r="AL13" s="813" t="s">
        <v>23</v>
      </c>
      <c r="AM13" s="814" t="s">
        <v>213</v>
      </c>
    </row>
    <row r="14" spans="2:40">
      <c r="B14" s="227" t="s">
        <v>136</v>
      </c>
      <c r="C14" s="34"/>
      <c r="D14" s="34"/>
      <c r="E14" s="83"/>
      <c r="F14" s="987">
        <f>'1.Infrastructure Costs'!V30</f>
        <v>29704775</v>
      </c>
      <c r="G14" s="83">
        <f>'1.Infrastructure Costs'!S30</f>
        <v>23709240</v>
      </c>
      <c r="H14" s="83">
        <f>'1.Infrastructure Costs'!T30</f>
        <v>4110630</v>
      </c>
      <c r="I14" s="83">
        <f>'1.Infrastructure Costs'!U30</f>
        <v>2384905</v>
      </c>
      <c r="J14" s="83"/>
      <c r="K14" s="83">
        <f>G14</f>
        <v>23709240</v>
      </c>
      <c r="L14" s="83">
        <f>K14*$L$6</f>
        <v>1472032.6851436042</v>
      </c>
      <c r="M14" s="83">
        <f>$M$6*K14</f>
        <v>5888130.7405744167</v>
      </c>
      <c r="N14" s="83">
        <f>K14*$N$6</f>
        <v>308088.52240356582</v>
      </c>
      <c r="O14" s="83">
        <f>K14*$O$6</f>
        <v>0</v>
      </c>
      <c r="P14" s="83">
        <f>K14*$P$6</f>
        <v>2051434.7364187806</v>
      </c>
      <c r="Q14" s="83">
        <f>K14*$Q$6</f>
        <v>9343744.4358054902</v>
      </c>
      <c r="R14" s="83">
        <f>K14*$R$6</f>
        <v>253485.65752873756</v>
      </c>
      <c r="S14" s="83">
        <f>$S$6*K14</f>
        <v>4392323.2221254064</v>
      </c>
      <c r="T14" s="982"/>
      <c r="U14" s="83">
        <f>H14</f>
        <v>4110630</v>
      </c>
      <c r="V14" s="83">
        <f>U14*$V$6</f>
        <v>199491.84719522513</v>
      </c>
      <c r="W14" s="83">
        <f>U14*$W$6</f>
        <v>797967.38878090051</v>
      </c>
      <c r="X14" s="83">
        <f>U14*$X$6</f>
        <v>421324.53461947449</v>
      </c>
      <c r="Y14" s="83">
        <f>U14*$Y$6</f>
        <v>1427872.6255459762</v>
      </c>
      <c r="Z14" s="83">
        <f>U14*$Z$6</f>
        <v>0</v>
      </c>
      <c r="AA14" s="83">
        <f>U14*$AA$6</f>
        <v>1083724.043498022</v>
      </c>
      <c r="AB14" s="83">
        <f>U14*$AB$6</f>
        <v>180249.56036040155</v>
      </c>
      <c r="AC14" s="83">
        <f>U14*$AC$6</f>
        <v>0</v>
      </c>
      <c r="AD14" s="34"/>
      <c r="AE14" s="47">
        <f>I14</f>
        <v>2384905</v>
      </c>
      <c r="AF14" s="83">
        <f>AE14*$AF$6</f>
        <v>180493.332854281</v>
      </c>
      <c r="AG14" s="47">
        <f>AE14*$AG$6</f>
        <v>721973.33141712402</v>
      </c>
      <c r="AH14" s="47">
        <f>AE14*$AH$6</f>
        <v>64450.312724555792</v>
      </c>
      <c r="AI14" s="47">
        <f>AE14*$AI$6</f>
        <v>451233.33213570243</v>
      </c>
      <c r="AJ14" s="47">
        <f>AE14*$AJ$6</f>
        <v>128900.62544911158</v>
      </c>
      <c r="AK14" s="47">
        <f>AE14*$AK$6</f>
        <v>0</v>
      </c>
      <c r="AL14" s="47">
        <f>AE14*$AL$6</f>
        <v>0</v>
      </c>
      <c r="AM14" s="989">
        <f>AE14*$AM$6</f>
        <v>837854.06541922526</v>
      </c>
      <c r="AN14" s="25"/>
    </row>
    <row r="15" spans="2:40">
      <c r="B15" s="227" t="s">
        <v>137</v>
      </c>
      <c r="C15" s="34"/>
      <c r="D15" s="34"/>
      <c r="E15" s="83"/>
      <c r="F15" s="987">
        <f>'1.Infrastructure Costs'!V31</f>
        <v>24814335</v>
      </c>
      <c r="G15" s="83">
        <f>'1.Infrastructure Costs'!S31</f>
        <v>21316350</v>
      </c>
      <c r="H15" s="83">
        <f>'1.Infrastructure Costs'!T31</f>
        <v>2446080</v>
      </c>
      <c r="I15" s="83">
        <f>'1.Infrastructure Costs'!U31</f>
        <v>1551905</v>
      </c>
      <c r="J15" s="83"/>
      <c r="K15" s="83">
        <f t="shared" ref="K15:K16" si="28">G15</f>
        <v>21316350</v>
      </c>
      <c r="L15" s="83">
        <f t="shared" ref="L15:L17" si="29">K15*$L$6</f>
        <v>1323465.6162728483</v>
      </c>
      <c r="M15" s="83">
        <f t="shared" ref="M15:M17" si="30">$M$6*K15</f>
        <v>5293862.4650913933</v>
      </c>
      <c r="N15" s="83">
        <f t="shared" ref="N15:N17" si="31">K15*$N$6</f>
        <v>276994.23408499174</v>
      </c>
      <c r="O15" s="83">
        <f t="shared" ref="O15:O17" si="32">K15*$O$6</f>
        <v>0</v>
      </c>
      <c r="P15" s="83">
        <f t="shared" ref="P15:P17" si="33">K15*$P$6</f>
        <v>1844390.6613480852</v>
      </c>
      <c r="Q15" s="83">
        <f t="shared" ref="Q15:Q17" si="34">K15*$Q$6</f>
        <v>8400713.2537433654</v>
      </c>
      <c r="R15" s="83">
        <f t="shared" ref="R15:R17" si="35">K15*$R$6</f>
        <v>227902.24384512976</v>
      </c>
      <c r="S15" s="83">
        <f t="shared" ref="S15:S17" si="36">$S$6*K15</f>
        <v>3949021.5256141867</v>
      </c>
      <c r="T15" s="982"/>
      <c r="U15" s="83">
        <f t="shared" ref="U15:U16" si="37">H15</f>
        <v>2446080</v>
      </c>
      <c r="V15" s="83">
        <f t="shared" ref="V15:V16" si="38">U15*$V$6</f>
        <v>118710.03169521371</v>
      </c>
      <c r="W15" s="83">
        <f t="shared" ref="W15:W17" si="39">U15*$W$6</f>
        <v>474840.12678085483</v>
      </c>
      <c r="X15" s="83">
        <f t="shared" ref="X15:X17" si="40">U15*$X$6</f>
        <v>250714.25004001919</v>
      </c>
      <c r="Y15" s="83">
        <f t="shared" ref="Y15:Y17" si="41">U15*$Y$6</f>
        <v>849672.84136385459</v>
      </c>
      <c r="Z15" s="83">
        <f t="shared" ref="Z15:Z17" si="42">U15*$Z$6</f>
        <v>0</v>
      </c>
      <c r="AA15" s="83">
        <f t="shared" ref="AA15:AA17" si="43">U15*$AA$6</f>
        <v>644883.0734752682</v>
      </c>
      <c r="AB15" s="83">
        <f t="shared" ref="AB15:AB17" si="44">U15*$AB$6</f>
        <v>107259.67664478949</v>
      </c>
      <c r="AC15" s="83">
        <f t="shared" ref="AC15:AC17" si="45">U15*$AC$6</f>
        <v>0</v>
      </c>
      <c r="AD15" s="34"/>
      <c r="AE15" s="47">
        <f t="shared" ref="AE15:AE16" si="46">I15</f>
        <v>1551905</v>
      </c>
      <c r="AF15" s="83">
        <f t="shared" ref="AF15:AF17" si="47">AE15*$AF$6</f>
        <v>117450.59267485412</v>
      </c>
      <c r="AG15" s="47">
        <f t="shared" ref="AG15:AG17" si="48">AE15*$AG$6</f>
        <v>469802.3706994165</v>
      </c>
      <c r="AH15" s="47">
        <f t="shared" ref="AH15:AH17" si="49">AE15*$AH$6</f>
        <v>41939.097183662139</v>
      </c>
      <c r="AI15" s="47">
        <f t="shared" ref="AI15:AI17" si="50">AE15*$AI$6</f>
        <v>293626.48168713524</v>
      </c>
      <c r="AJ15" s="47">
        <f t="shared" ref="AJ15:AJ17" si="51">AE15*$AJ$6</f>
        <v>83878.194367324279</v>
      </c>
      <c r="AK15" s="47">
        <f t="shared" ref="AK15:AK17" si="52">AE15*$AK$6</f>
        <v>0</v>
      </c>
      <c r="AL15" s="47">
        <f t="shared" ref="AL15:AL17" si="53">AE15*$AL$6</f>
        <v>0</v>
      </c>
      <c r="AM15" s="989">
        <f t="shared" ref="AM15:AM17" si="54">AE15*$AM$6</f>
        <v>545208.26338760776</v>
      </c>
      <c r="AN15" s="25"/>
    </row>
    <row r="16" spans="2:40">
      <c r="B16" s="227" t="s">
        <v>546</v>
      </c>
      <c r="C16" s="34"/>
      <c r="D16" s="34"/>
      <c r="E16" s="83"/>
      <c r="F16" s="987">
        <f>'1.Infrastructure Costs'!V32</f>
        <v>6965670</v>
      </c>
      <c r="G16" s="83">
        <f>'1.Infrastructure Costs'!S32</f>
        <v>2604390</v>
      </c>
      <c r="H16" s="83">
        <f>'1.Infrastructure Costs'!T32</f>
        <v>1720760</v>
      </c>
      <c r="I16" s="83">
        <f>'1.Infrastructure Costs'!U32</f>
        <v>2640520</v>
      </c>
      <c r="J16" s="83"/>
      <c r="K16" s="83">
        <f t="shared" si="28"/>
        <v>2604390</v>
      </c>
      <c r="L16" s="83">
        <f t="shared" si="29"/>
        <v>161698.44351236694</v>
      </c>
      <c r="M16" s="83">
        <f t="shared" si="30"/>
        <v>646793.77404946776</v>
      </c>
      <c r="N16" s="83">
        <f t="shared" si="31"/>
        <v>33842.614392642819</v>
      </c>
      <c r="O16" s="83">
        <f t="shared" si="32"/>
        <v>0</v>
      </c>
      <c r="P16" s="83">
        <f t="shared" si="33"/>
        <v>225344.04785567604</v>
      </c>
      <c r="Q16" s="83">
        <f t="shared" si="34"/>
        <v>1026382.7339538281</v>
      </c>
      <c r="R16" s="83">
        <f t="shared" si="35"/>
        <v>27844.650929817606</v>
      </c>
      <c r="S16" s="83">
        <f t="shared" si="36"/>
        <v>482483.73530620075</v>
      </c>
      <c r="T16" s="982"/>
      <c r="U16" s="83">
        <f t="shared" si="37"/>
        <v>1720760</v>
      </c>
      <c r="V16" s="83">
        <f t="shared" si="38"/>
        <v>83509.727457751142</v>
      </c>
      <c r="W16" s="83">
        <f t="shared" si="39"/>
        <v>334038.90983100457</v>
      </c>
      <c r="X16" s="83">
        <f t="shared" si="40"/>
        <v>176371.60391273524</v>
      </c>
      <c r="Y16" s="83">
        <f t="shared" si="41"/>
        <v>597724.94706030318</v>
      </c>
      <c r="Z16" s="83">
        <f t="shared" si="42"/>
        <v>0</v>
      </c>
      <c r="AA16" s="83">
        <f t="shared" si="43"/>
        <v>453660.14092478674</v>
      </c>
      <c r="AB16" s="83">
        <f t="shared" si="44"/>
        <v>75454.670813419012</v>
      </c>
      <c r="AC16" s="83">
        <f t="shared" si="45"/>
        <v>0</v>
      </c>
      <c r="AD16" s="34"/>
      <c r="AE16" s="47">
        <f t="shared" si="46"/>
        <v>2640520</v>
      </c>
      <c r="AF16" s="83">
        <f t="shared" si="47"/>
        <v>199838.67502830765</v>
      </c>
      <c r="AG16" s="47">
        <f t="shared" si="48"/>
        <v>799354.70011323062</v>
      </c>
      <c r="AH16" s="47">
        <f t="shared" si="49"/>
        <v>71358.121080480792</v>
      </c>
      <c r="AI16" s="47">
        <f t="shared" si="50"/>
        <v>499596.68757076905</v>
      </c>
      <c r="AJ16" s="47">
        <f t="shared" si="51"/>
        <v>142716.24216096158</v>
      </c>
      <c r="AK16" s="47">
        <f t="shared" si="52"/>
        <v>0</v>
      </c>
      <c r="AL16" s="47">
        <f t="shared" si="53"/>
        <v>0</v>
      </c>
      <c r="AM16" s="989">
        <f t="shared" si="54"/>
        <v>927655.57404625032</v>
      </c>
      <c r="AN16" s="25"/>
    </row>
    <row r="17" spans="2:40">
      <c r="B17" s="227" t="s">
        <v>547</v>
      </c>
      <c r="C17" s="34"/>
      <c r="D17" s="34"/>
      <c r="E17" s="83"/>
      <c r="F17" s="987">
        <f>SUM(F14:F16)</f>
        <v>61484780</v>
      </c>
      <c r="G17" s="83">
        <f t="shared" ref="G17:I17" si="55">SUM(G14:G16)</f>
        <v>47629980</v>
      </c>
      <c r="H17" s="83">
        <f t="shared" si="55"/>
        <v>8277470</v>
      </c>
      <c r="I17" s="83">
        <f t="shared" si="55"/>
        <v>6577330</v>
      </c>
      <c r="J17" s="83"/>
      <c r="K17" s="83">
        <f>G17</f>
        <v>47629980</v>
      </c>
      <c r="L17" s="83">
        <f t="shared" si="29"/>
        <v>2957196.7449288191</v>
      </c>
      <c r="M17" s="83">
        <f t="shared" si="30"/>
        <v>11828786.979715277</v>
      </c>
      <c r="N17" s="83">
        <f t="shared" si="31"/>
        <v>618925.37088120042</v>
      </c>
      <c r="O17" s="83">
        <f t="shared" si="32"/>
        <v>0</v>
      </c>
      <c r="P17" s="83">
        <f t="shared" si="33"/>
        <v>4121169.4456225419</v>
      </c>
      <c r="Q17" s="83">
        <f t="shared" si="34"/>
        <v>18770840.423502684</v>
      </c>
      <c r="R17" s="83">
        <f t="shared" si="35"/>
        <v>509232.55230368493</v>
      </c>
      <c r="S17" s="83">
        <f t="shared" si="36"/>
        <v>8823828.4830457941</v>
      </c>
      <c r="T17" s="982"/>
      <c r="U17" s="83">
        <f>H17</f>
        <v>8277470</v>
      </c>
      <c r="V17" s="83">
        <f>U17*$V$6</f>
        <v>401711.60634818999</v>
      </c>
      <c r="W17" s="83">
        <f t="shared" si="39"/>
        <v>1606846.42539276</v>
      </c>
      <c r="X17" s="83">
        <f t="shared" si="40"/>
        <v>848410.38857222896</v>
      </c>
      <c r="Y17" s="83">
        <f t="shared" si="41"/>
        <v>2875270.4139701342</v>
      </c>
      <c r="Z17" s="83">
        <f t="shared" si="42"/>
        <v>0</v>
      </c>
      <c r="AA17" s="83">
        <f t="shared" si="43"/>
        <v>2182267.2578980769</v>
      </c>
      <c r="AB17" s="83">
        <f t="shared" si="44"/>
        <v>362963.90781861002</v>
      </c>
      <c r="AC17" s="83">
        <f t="shared" si="45"/>
        <v>0</v>
      </c>
      <c r="AD17" s="34"/>
      <c r="AE17" s="47">
        <f>I17</f>
        <v>6577330</v>
      </c>
      <c r="AF17" s="83">
        <f t="shared" si="47"/>
        <v>497782.60055744281</v>
      </c>
      <c r="AG17" s="47">
        <f t="shared" si="48"/>
        <v>1991130.4022297713</v>
      </c>
      <c r="AH17" s="47">
        <f t="shared" si="49"/>
        <v>177747.53098869871</v>
      </c>
      <c r="AI17" s="47">
        <f t="shared" si="50"/>
        <v>1244456.5013936067</v>
      </c>
      <c r="AJ17" s="47">
        <f t="shared" si="51"/>
        <v>355495.06197739742</v>
      </c>
      <c r="AK17" s="47">
        <f t="shared" si="52"/>
        <v>0</v>
      </c>
      <c r="AL17" s="47">
        <f t="shared" si="53"/>
        <v>0</v>
      </c>
      <c r="AM17" s="989">
        <f t="shared" si="54"/>
        <v>2310717.9028530833</v>
      </c>
      <c r="AN17" s="25"/>
    </row>
    <row r="18" spans="2:40">
      <c r="B18" s="227"/>
      <c r="C18" s="34"/>
      <c r="D18" s="34"/>
      <c r="E18" s="83"/>
      <c r="F18" s="987"/>
      <c r="G18" s="83"/>
      <c r="H18" s="83"/>
      <c r="I18" s="83"/>
      <c r="J18" s="83"/>
      <c r="K18" s="83"/>
      <c r="L18" s="83"/>
      <c r="M18" s="34"/>
      <c r="N18" s="34"/>
      <c r="O18" s="34"/>
      <c r="P18" s="34"/>
      <c r="Q18" s="34"/>
      <c r="R18" s="34"/>
      <c r="S18" s="34"/>
      <c r="T18" s="982"/>
      <c r="U18" s="83"/>
      <c r="V18" s="83"/>
      <c r="W18" s="34"/>
      <c r="X18" s="34"/>
      <c r="Y18" s="34"/>
      <c r="Z18" s="34"/>
      <c r="AA18" s="34"/>
      <c r="AB18" s="34"/>
      <c r="AC18" s="34"/>
      <c r="AD18" s="34"/>
      <c r="AE18" s="34"/>
      <c r="AF18" s="83"/>
      <c r="AG18" s="34"/>
      <c r="AH18" s="34"/>
      <c r="AI18" s="34"/>
      <c r="AJ18" s="34"/>
      <c r="AK18" s="34"/>
      <c r="AL18" s="34"/>
      <c r="AM18" s="229"/>
      <c r="AN18" s="25"/>
    </row>
    <row r="19" spans="2:40">
      <c r="B19" s="805" t="s">
        <v>548</v>
      </c>
      <c r="C19" s="448" t="s">
        <v>652</v>
      </c>
      <c r="D19" s="806"/>
      <c r="E19" s="806"/>
      <c r="F19" s="806" t="s">
        <v>55</v>
      </c>
      <c r="G19" s="806" t="s">
        <v>4</v>
      </c>
      <c r="H19" s="806" t="s">
        <v>5</v>
      </c>
      <c r="I19" s="806" t="s">
        <v>6</v>
      </c>
      <c r="J19" s="9"/>
      <c r="K19" s="810" t="s">
        <v>538</v>
      </c>
      <c r="L19" s="810" t="s">
        <v>209</v>
      </c>
      <c r="M19" s="810" t="s">
        <v>210</v>
      </c>
      <c r="N19" s="810" t="s">
        <v>109</v>
      </c>
      <c r="O19" s="810" t="s">
        <v>15</v>
      </c>
      <c r="P19" s="810" t="s">
        <v>211</v>
      </c>
      <c r="Q19" s="810" t="s">
        <v>212</v>
      </c>
      <c r="R19" s="810" t="s">
        <v>23</v>
      </c>
      <c r="S19" s="810" t="s">
        <v>213</v>
      </c>
      <c r="T19" s="811"/>
      <c r="U19" s="812" t="s">
        <v>538</v>
      </c>
      <c r="V19" s="812" t="s">
        <v>209</v>
      </c>
      <c r="W19" s="812" t="s">
        <v>210</v>
      </c>
      <c r="X19" s="812" t="s">
        <v>109</v>
      </c>
      <c r="Y19" s="812" t="s">
        <v>15</v>
      </c>
      <c r="Z19" s="812" t="s">
        <v>211</v>
      </c>
      <c r="AA19" s="812" t="s">
        <v>212</v>
      </c>
      <c r="AB19" s="812" t="s">
        <v>23</v>
      </c>
      <c r="AC19" s="812" t="s">
        <v>213</v>
      </c>
      <c r="AD19" s="9"/>
      <c r="AE19" s="813" t="s">
        <v>538</v>
      </c>
      <c r="AF19" s="813" t="s">
        <v>209</v>
      </c>
      <c r="AG19" s="813" t="s">
        <v>210</v>
      </c>
      <c r="AH19" s="813" t="s">
        <v>109</v>
      </c>
      <c r="AI19" s="813" t="s">
        <v>15</v>
      </c>
      <c r="AJ19" s="813" t="s">
        <v>211</v>
      </c>
      <c r="AK19" s="813" t="s">
        <v>212</v>
      </c>
      <c r="AL19" s="813" t="s">
        <v>23</v>
      </c>
      <c r="AM19" s="814" t="s">
        <v>213</v>
      </c>
    </row>
    <row r="20" spans="2:40">
      <c r="B20" s="227" t="s">
        <v>549</v>
      </c>
      <c r="C20" s="34"/>
      <c r="D20" s="34"/>
      <c r="E20" s="34"/>
      <c r="F20" s="990">
        <f ca="1">SUM(G20:I20)</f>
        <v>605987992.95854163</v>
      </c>
      <c r="G20" s="84">
        <f ca="1">K20</f>
        <v>386865481.27499998</v>
      </c>
      <c r="H20" s="84">
        <f>U20</f>
        <v>134147681.47273812</v>
      </c>
      <c r="I20" s="84">
        <f>AE20</f>
        <v>84974830.210803568</v>
      </c>
      <c r="J20" s="34"/>
      <c r="K20" s="47">
        <f t="shared" ref="K20:K24" ca="1" si="56">G20</f>
        <v>386865481.27499998</v>
      </c>
      <c r="L20" s="84">
        <f>'Parcel breakdown'!Q19</f>
        <v>21668606.151562501</v>
      </c>
      <c r="M20" s="84">
        <f>'Parcel breakdown'!R19</f>
        <v>88896845.750000015</v>
      </c>
      <c r="N20" s="84">
        <f>'Parcel breakdown'!S19</f>
        <v>4272910</v>
      </c>
      <c r="O20" s="84">
        <f>'Parcel breakdown'!T19</f>
        <v>0</v>
      </c>
      <c r="P20" s="84">
        <f>'Parcel breakdown'!U19</f>
        <v>27240086.209821429</v>
      </c>
      <c r="Q20" s="84">
        <f>'Parcel breakdown'!V19</f>
        <v>110386626.38654763</v>
      </c>
      <c r="R20" s="84">
        <f>'Parcel breakdown'!W19</f>
        <v>2775487.5</v>
      </c>
      <c r="S20" s="84">
        <f>'Parcel breakdown'!X19</f>
        <v>19667670.178571429</v>
      </c>
      <c r="T20" s="991"/>
      <c r="U20" s="84">
        <f>SUM(V20:AC20)</f>
        <v>134147681.47273812</v>
      </c>
      <c r="V20" s="84">
        <f>'Parcel breakdown'!Q20</f>
        <v>6847391.9892857149</v>
      </c>
      <c r="W20" s="84">
        <f>'Parcel breakdown'!R20</f>
        <v>28091864.571428578</v>
      </c>
      <c r="X20" s="84">
        <f>'Parcel breakdown'!S20</f>
        <v>13625470</v>
      </c>
      <c r="Y20" s="84">
        <f>'Parcel breakdown'!T20</f>
        <v>51127078.259999998</v>
      </c>
      <c r="Z20" s="84">
        <f>'Parcel breakdown'!U20</f>
        <v>0</v>
      </c>
      <c r="AA20" s="84">
        <f>'Parcel breakdown'!V20</f>
        <v>29853876.652023815</v>
      </c>
      <c r="AB20" s="84">
        <f>'Parcel breakdown'!W20</f>
        <v>4602000</v>
      </c>
      <c r="AC20" s="84">
        <f>'Parcel breakdown'!X20</f>
        <v>0</v>
      </c>
      <c r="AD20" s="34"/>
      <c r="AE20" s="84">
        <f>SUM(AF20:AM20)</f>
        <v>84974830.210803568</v>
      </c>
      <c r="AF20" s="84">
        <f>'Parcel breakdown'!Q21</f>
        <v>8410657.1946428586</v>
      </c>
      <c r="AG20" s="84">
        <f>'Parcel breakdown'!R21</f>
        <v>34505260.285714291</v>
      </c>
      <c r="AH20" s="84">
        <f>'Parcel breakdown'!S21</f>
        <v>2829622.5</v>
      </c>
      <c r="AI20" s="84">
        <f>'Parcel breakdown'!T21</f>
        <v>21934685.379999999</v>
      </c>
      <c r="AJ20" s="84">
        <f>'Parcel breakdown'!U21</f>
        <v>5418274.9861607142</v>
      </c>
      <c r="AK20" s="84">
        <f>'Parcel breakdown'!V21</f>
        <v>0</v>
      </c>
      <c r="AL20" s="84">
        <f>'Parcel breakdown'!W21</f>
        <v>0</v>
      </c>
      <c r="AM20" s="693">
        <f>'Parcel breakdown'!X21</f>
        <v>11876329.864285715</v>
      </c>
    </row>
    <row r="21" spans="2:40">
      <c r="B21" s="227" t="s">
        <v>30</v>
      </c>
      <c r="C21" s="34">
        <v>8</v>
      </c>
      <c r="D21" s="34"/>
      <c r="E21" s="34"/>
      <c r="F21" s="992">
        <f>F4*$C$21</f>
        <v>5867928</v>
      </c>
      <c r="G21" s="47">
        <f t="shared" ref="G21:I21" si="57">G4*$C$21</f>
        <v>3153192</v>
      </c>
      <c r="H21" s="47">
        <f t="shared" si="57"/>
        <v>1886776</v>
      </c>
      <c r="I21" s="47">
        <f t="shared" si="57"/>
        <v>827960</v>
      </c>
      <c r="J21" s="34"/>
      <c r="K21" s="47">
        <f t="shared" si="56"/>
        <v>3153192</v>
      </c>
      <c r="L21" s="83">
        <f t="shared" ref="L21:L23" si="58">K21*$L$6</f>
        <v>195771.84618879945</v>
      </c>
      <c r="M21" s="83">
        <f t="shared" ref="M21:M23" si="59">$M$6*K21</f>
        <v>783087.3847551978</v>
      </c>
      <c r="N21" s="83">
        <f t="shared" ref="N21:N23" si="60">K21*$N$6</f>
        <v>40973.994279645594</v>
      </c>
      <c r="O21" s="83">
        <f t="shared" ref="O21:O23" si="61">K21*$O$6</f>
        <v>0</v>
      </c>
      <c r="P21" s="83">
        <f t="shared" ref="P21:P23" si="62">K21*$P$6</f>
        <v>272828.97298259276</v>
      </c>
      <c r="Q21" s="83">
        <f t="shared" ref="Q21:Q23" si="63">K21*$Q$6</f>
        <v>1242664.0501773311</v>
      </c>
      <c r="R21" s="83">
        <f t="shared" ref="R21:R23" si="64">K21*$R$6</f>
        <v>33712.128580855184</v>
      </c>
      <c r="S21" s="83">
        <f t="shared" ref="S21:S23" si="65">$S$6*K21</f>
        <v>584153.62303557829</v>
      </c>
      <c r="T21" s="991"/>
      <c r="U21" s="47">
        <f>H21</f>
        <v>1886776</v>
      </c>
      <c r="V21" s="83">
        <f>U21*$V$6</f>
        <v>91566.604020215411</v>
      </c>
      <c r="W21" s="83">
        <f t="shared" ref="W21" si="66">U21*$W$6</f>
        <v>366266.41608086164</v>
      </c>
      <c r="X21" s="83">
        <f t="shared" ref="X21" si="67">U21*$X$6</f>
        <v>193387.63647693751</v>
      </c>
      <c r="Y21" s="83">
        <f t="shared" ref="Y21" si="68">U21*$Y$6</f>
        <v>655392.43399117282</v>
      </c>
      <c r="Z21" s="83">
        <f t="shared" ref="Z21" si="69">U21*$Z$6</f>
        <v>0</v>
      </c>
      <c r="AA21" s="83">
        <f t="shared" ref="AA21" si="70">U21*$AA$6</f>
        <v>497428.50022868119</v>
      </c>
      <c r="AB21" s="83">
        <f t="shared" ref="AB21" si="71">U21*$AB$6</f>
        <v>82734.409202131297</v>
      </c>
      <c r="AC21" s="83">
        <f t="shared" ref="AC21" si="72">U21*$AC$6</f>
        <v>0</v>
      </c>
      <c r="AD21" s="34"/>
      <c r="AE21" s="84">
        <f ca="1">SUM(AF21:AM21)</f>
        <v>2384905</v>
      </c>
      <c r="AF21" s="83">
        <f ca="1">AE21*$AF$6</f>
        <v>180493.332854281</v>
      </c>
      <c r="AG21" s="47">
        <f ca="1">AE21*$AG$6</f>
        <v>721973.33141712402</v>
      </c>
      <c r="AH21" s="47">
        <f ca="1">AE21*$AH$6</f>
        <v>64450.312724555792</v>
      </c>
      <c r="AI21" s="47">
        <f ca="1">AE21*$AI$6</f>
        <v>451233.33213570243</v>
      </c>
      <c r="AJ21" s="47">
        <f ca="1">AE21*$AJ$6</f>
        <v>128900.62544911158</v>
      </c>
      <c r="AK21" s="47">
        <f ca="1">AE21*$AK$6</f>
        <v>0</v>
      </c>
      <c r="AL21" s="47">
        <f ca="1">AE21*$AL$6</f>
        <v>0</v>
      </c>
      <c r="AM21" s="989">
        <f ca="1">AE21*$AM$6</f>
        <v>837854.06541922526</v>
      </c>
    </row>
    <row r="22" spans="2:40">
      <c r="B22" s="227" t="s">
        <v>31</v>
      </c>
      <c r="C22" s="34"/>
      <c r="D22" s="34"/>
      <c r="E22" s="34"/>
      <c r="F22" s="992">
        <f>SUM(G22:I22)</f>
        <v>1879944.9603200001</v>
      </c>
      <c r="G22" s="47">
        <v>602000</v>
      </c>
      <c r="H22" s="47">
        <f>G22*1.02^2</f>
        <v>626320.80000000005</v>
      </c>
      <c r="I22" s="47">
        <f>H22*1.02^2</f>
        <v>651624.16032000002</v>
      </c>
      <c r="J22" s="34"/>
      <c r="K22" s="47">
        <f t="shared" si="56"/>
        <v>602000</v>
      </c>
      <c r="L22" s="83">
        <f t="shared" si="58"/>
        <v>37376.300398344683</v>
      </c>
      <c r="M22" s="83">
        <f t="shared" si="59"/>
        <v>149505.20159337873</v>
      </c>
      <c r="N22" s="83">
        <f t="shared" si="60"/>
        <v>7822.658612715828</v>
      </c>
      <c r="O22" s="83">
        <f t="shared" si="61"/>
        <v>0</v>
      </c>
      <c r="P22" s="83">
        <f t="shared" si="62"/>
        <v>52087.865799329964</v>
      </c>
      <c r="Q22" s="83">
        <f t="shared" si="63"/>
        <v>237246.49758300581</v>
      </c>
      <c r="R22" s="83">
        <f t="shared" si="64"/>
        <v>6436.2402941764476</v>
      </c>
      <c r="S22" s="83">
        <f t="shared" si="65"/>
        <v>111525.23571904855</v>
      </c>
      <c r="T22" s="991"/>
      <c r="U22" s="47">
        <f>H22</f>
        <v>626320.80000000005</v>
      </c>
      <c r="V22" s="83">
        <f>U22*$V$6</f>
        <v>30395.801453497679</v>
      </c>
      <c r="W22" s="83">
        <f t="shared" ref="W22" si="73">U22*$W$6</f>
        <v>121583.20581399072</v>
      </c>
      <c r="X22" s="83">
        <f t="shared" ref="X22" si="74">U22*$X$6</f>
        <v>64195.590355370579</v>
      </c>
      <c r="Y22" s="83">
        <f t="shared" ref="Y22" si="75">U22*$Y$6</f>
        <v>217559.4313110293</v>
      </c>
      <c r="Z22" s="83">
        <f t="shared" ref="Z22" si="76">U22*$Z$6</f>
        <v>0</v>
      </c>
      <c r="AA22" s="83">
        <f t="shared" ref="AA22" si="77">U22*$AA$6</f>
        <v>165122.84246038101</v>
      </c>
      <c r="AB22" s="83">
        <f t="shared" ref="AB22" si="78">U22*$AB$6</f>
        <v>27463.928605730751</v>
      </c>
      <c r="AC22" s="83">
        <f t="shared" ref="AC22" si="79">U22*$AC$6</f>
        <v>0</v>
      </c>
      <c r="AD22" s="34"/>
      <c r="AE22" s="47">
        <f>I22</f>
        <v>651624.16032000002</v>
      </c>
      <c r="AF22" s="83">
        <f>AE22*$AF$6</f>
        <v>49315.933533842704</v>
      </c>
      <c r="AG22" s="47">
        <f>AE22*$AG$6</f>
        <v>197263.73413537082</v>
      </c>
      <c r="AH22" s="47">
        <f>AE22*$AH$6</f>
        <v>17609.666176011237</v>
      </c>
      <c r="AI22" s="47">
        <f>AE22*$AI$6</f>
        <v>123289.83383460673</v>
      </c>
      <c r="AJ22" s="47">
        <f>AE22*$AJ$6</f>
        <v>35219.332352022473</v>
      </c>
      <c r="AK22" s="47">
        <f>AE22*$AK$6</f>
        <v>0</v>
      </c>
      <c r="AL22" s="47">
        <f>AE22*$AL$6</f>
        <v>0</v>
      </c>
      <c r="AM22" s="989">
        <f>AE22*$AM$6</f>
        <v>228925.66028814606</v>
      </c>
    </row>
    <row r="23" spans="2:40">
      <c r="B23" s="227" t="s">
        <v>550</v>
      </c>
      <c r="C23" s="34"/>
      <c r="D23" s="34"/>
      <c r="E23" s="83"/>
      <c r="F23" s="992">
        <f>SUM(G23:I23)</f>
        <v>3686709.6</v>
      </c>
      <c r="G23" s="83">
        <f>Assumptions!P39</f>
        <v>1888909.2</v>
      </c>
      <c r="H23" s="83">
        <f>Assumptions!R39</f>
        <v>1136562.3</v>
      </c>
      <c r="I23" s="83">
        <f>Assumptions!T39</f>
        <v>661238.1</v>
      </c>
      <c r="J23" s="83"/>
      <c r="K23" s="47">
        <f t="shared" si="56"/>
        <v>1888909.2</v>
      </c>
      <c r="L23" s="83">
        <f t="shared" si="58"/>
        <v>117276.47455879889</v>
      </c>
      <c r="M23" s="83">
        <f t="shared" si="59"/>
        <v>469105.89823519555</v>
      </c>
      <c r="N23" s="83">
        <f t="shared" si="60"/>
        <v>24545.335252521869</v>
      </c>
      <c r="O23" s="83">
        <f t="shared" si="61"/>
        <v>0</v>
      </c>
      <c r="P23" s="83">
        <f t="shared" si="62"/>
        <v>163437.29055933509</v>
      </c>
      <c r="Q23" s="83">
        <f t="shared" si="63"/>
        <v>744413.77400717186</v>
      </c>
      <c r="R23" s="83">
        <f t="shared" si="64"/>
        <v>20195.138712758471</v>
      </c>
      <c r="S23" s="83">
        <f t="shared" si="65"/>
        <v>349935.28867421829</v>
      </c>
      <c r="T23" s="982"/>
      <c r="U23" s="83">
        <f>H23</f>
        <v>1136562.3</v>
      </c>
      <c r="V23" s="83">
        <f>U23*$V$6</f>
        <v>55158.190515676099</v>
      </c>
      <c r="W23" s="83">
        <f t="shared" ref="W23:W25" si="80">U23*$W$6</f>
        <v>220632.76206270439</v>
      </c>
      <c r="X23" s="83">
        <f t="shared" ref="X23:X25" si="81">U23*$X$6</f>
        <v>116493.47718319079</v>
      </c>
      <c r="Y23" s="83">
        <f t="shared" ref="Y23:Y25" si="82">U23*$Y$6</f>
        <v>394797.43868885637</v>
      </c>
      <c r="Z23" s="83">
        <f t="shared" ref="Z23:Z25" si="83">U23*$Z$6</f>
        <v>0</v>
      </c>
      <c r="AA23" s="83">
        <f t="shared" ref="AA23:AA25" si="84">U23*$AA$6</f>
        <v>299642.60744543094</v>
      </c>
      <c r="AB23" s="83">
        <f t="shared" ref="AB23:AB25" si="85">U23*$AB$6</f>
        <v>49837.824104141415</v>
      </c>
      <c r="AC23" s="83">
        <f t="shared" ref="AC23:AC25" si="86">U23*$AC$6</f>
        <v>0</v>
      </c>
      <c r="AD23" s="34"/>
      <c r="AE23" s="83">
        <f>I23</f>
        <v>661238.1</v>
      </c>
      <c r="AF23" s="83">
        <f t="shared" ref="AF23" si="87">AE23*$AF$6</f>
        <v>50043.531494643328</v>
      </c>
      <c r="AG23" s="47">
        <f t="shared" ref="AG23" si="88">AE23*$AG$6</f>
        <v>200174.12597857331</v>
      </c>
      <c r="AH23" s="47">
        <f t="shared" ref="AH23" si="89">AE23*$AH$6</f>
        <v>17869.475861885941</v>
      </c>
      <c r="AI23" s="47">
        <f t="shared" ref="AI23" si="90">AE23*$AI$6</f>
        <v>125108.8287366083</v>
      </c>
      <c r="AJ23" s="47">
        <f t="shared" ref="AJ23" si="91">AE23*$AJ$6</f>
        <v>35738.951723771883</v>
      </c>
      <c r="AK23" s="47">
        <f t="shared" ref="AK23" si="92">AE23*$AK$6</f>
        <v>0</v>
      </c>
      <c r="AL23" s="47">
        <f t="shared" ref="AL23" si="93">AE23*$AL$6</f>
        <v>0</v>
      </c>
      <c r="AM23" s="989">
        <f t="shared" ref="AM23" si="94">AE23*$AM$6</f>
        <v>232303.18620451723</v>
      </c>
    </row>
    <row r="24" spans="2:40">
      <c r="B24" s="227" t="s">
        <v>551</v>
      </c>
      <c r="C24" s="244">
        <v>0.05</v>
      </c>
      <c r="D24" s="34"/>
      <c r="E24" s="83"/>
      <c r="F24" s="987">
        <f ca="1">F20*$C$24</f>
        <v>30299399.647927083</v>
      </c>
      <c r="G24" s="83">
        <f ca="1">G20*$C$24</f>
        <v>19343274.063749999</v>
      </c>
      <c r="H24" s="83">
        <f t="shared" ref="H24:I24" si="95">H20*$C$24</f>
        <v>6707384.0736369062</v>
      </c>
      <c r="I24" s="83">
        <f t="shared" si="95"/>
        <v>4248741.510540179</v>
      </c>
      <c r="J24" s="83"/>
      <c r="K24" s="47">
        <f t="shared" ca="1" si="56"/>
        <v>19343274.063749999</v>
      </c>
      <c r="L24" s="84">
        <f>L20*$C$24</f>
        <v>1083430.307578125</v>
      </c>
      <c r="M24" s="84">
        <f t="shared" ref="M24:R24" si="96">M20*$C$24</f>
        <v>4444842.2875000006</v>
      </c>
      <c r="N24" s="84">
        <f t="shared" si="96"/>
        <v>213645.5</v>
      </c>
      <c r="O24" s="84">
        <f t="shared" si="96"/>
        <v>0</v>
      </c>
      <c r="P24" s="84">
        <f t="shared" si="96"/>
        <v>1362004.3104910715</v>
      </c>
      <c r="Q24" s="84">
        <f t="shared" si="96"/>
        <v>5519331.3193273814</v>
      </c>
      <c r="R24" s="84">
        <f t="shared" si="96"/>
        <v>138774.375</v>
      </c>
      <c r="S24" s="84">
        <f>S20*$C$24</f>
        <v>983383.50892857148</v>
      </c>
      <c r="T24" s="991"/>
      <c r="U24" s="84">
        <f>H24</f>
        <v>6707384.0736369062</v>
      </c>
      <c r="V24" s="83">
        <f>U24*$V$6</f>
        <v>325514.20066940115</v>
      </c>
      <c r="W24" s="83">
        <f t="shared" si="80"/>
        <v>1302056.8026776046</v>
      </c>
      <c r="X24" s="83">
        <f t="shared" si="81"/>
        <v>687482.3259060398</v>
      </c>
      <c r="Y24" s="83">
        <f t="shared" si="82"/>
        <v>2329883.7666657409</v>
      </c>
      <c r="Z24" s="83">
        <f t="shared" si="83"/>
        <v>0</v>
      </c>
      <c r="AA24" s="83">
        <f t="shared" si="84"/>
        <v>1768330.7399537351</v>
      </c>
      <c r="AB24" s="83">
        <f t="shared" si="85"/>
        <v>294116.23776438442</v>
      </c>
      <c r="AC24" s="83">
        <f t="shared" si="86"/>
        <v>0</v>
      </c>
      <c r="AD24" s="34"/>
      <c r="AE24" s="84">
        <f>I24</f>
        <v>4248741.510540179</v>
      </c>
      <c r="AF24" s="84">
        <f>AF20*$C$24</f>
        <v>420532.85973214294</v>
      </c>
      <c r="AG24" s="84">
        <f t="shared" ref="AG24:AM24" si="97">AG20*$C$24</f>
        <v>1725263.0142857146</v>
      </c>
      <c r="AH24" s="84">
        <f t="shared" si="97"/>
        <v>141481.125</v>
      </c>
      <c r="AI24" s="84">
        <f t="shared" si="97"/>
        <v>1096734.2690000001</v>
      </c>
      <c r="AJ24" s="84">
        <f t="shared" si="97"/>
        <v>270913.74930803571</v>
      </c>
      <c r="AK24" s="84">
        <f t="shared" si="97"/>
        <v>0</v>
      </c>
      <c r="AL24" s="84">
        <f t="shared" si="97"/>
        <v>0</v>
      </c>
      <c r="AM24" s="693">
        <f t="shared" si="97"/>
        <v>593816.49321428582</v>
      </c>
    </row>
    <row r="25" spans="2:40">
      <c r="B25" s="227" t="s">
        <v>552</v>
      </c>
      <c r="C25" s="34"/>
      <c r="D25" s="34"/>
      <c r="E25" s="83"/>
      <c r="F25" s="987">
        <f ca="1">SUM(F20:F24)</f>
        <v>647721975.1667887</v>
      </c>
      <c r="G25" s="83">
        <f ca="1">SUM(G20:G24)</f>
        <v>411852856.53874993</v>
      </c>
      <c r="H25" s="83">
        <f>SUM(H20:H24)</f>
        <v>144504724.64637506</v>
      </c>
      <c r="I25" s="83">
        <f>SUM(I20:I24)</f>
        <v>91364393.981663734</v>
      </c>
      <c r="J25" s="34"/>
      <c r="K25" s="47">
        <f ca="1">G25</f>
        <v>411852856.53874993</v>
      </c>
      <c r="L25" s="84">
        <f>SUM(L20:L24)</f>
        <v>23102461.08028657</v>
      </c>
      <c r="M25" s="84">
        <f t="shared" ref="M25:S25" si="98">SUM(M20:M24)</f>
        <v>94743386.522083789</v>
      </c>
      <c r="N25" s="84">
        <f t="shared" si="98"/>
        <v>4559897.488144883</v>
      </c>
      <c r="O25" s="84">
        <f t="shared" si="98"/>
        <v>0</v>
      </c>
      <c r="P25" s="84">
        <f t="shared" si="98"/>
        <v>29090444.649653759</v>
      </c>
      <c r="Q25" s="84">
        <f t="shared" si="98"/>
        <v>118130282.02764252</v>
      </c>
      <c r="R25" s="84">
        <f t="shared" si="98"/>
        <v>2974605.3825877905</v>
      </c>
      <c r="S25" s="84">
        <f t="shared" si="98"/>
        <v>21696667.834928844</v>
      </c>
      <c r="T25" s="991"/>
      <c r="U25" s="47">
        <f>SUM(U20:U24)</f>
        <v>144504724.64637506</v>
      </c>
      <c r="V25" s="83">
        <f>U25*$V$6</f>
        <v>7012918.8100468144</v>
      </c>
      <c r="W25" s="83">
        <f t="shared" si="80"/>
        <v>28051675.240187258</v>
      </c>
      <c r="X25" s="83">
        <f t="shared" si="81"/>
        <v>14811205.548042338</v>
      </c>
      <c r="Y25" s="83">
        <f t="shared" si="82"/>
        <v>50195308.403971627</v>
      </c>
      <c r="Z25" s="83">
        <f t="shared" si="83"/>
        <v>0</v>
      </c>
      <c r="AA25" s="83">
        <f t="shared" si="84"/>
        <v>38097139.489162937</v>
      </c>
      <c r="AB25" s="83">
        <f t="shared" si="85"/>
        <v>6336477.1549640782</v>
      </c>
      <c r="AC25" s="83">
        <f t="shared" si="86"/>
        <v>0</v>
      </c>
      <c r="AD25" s="34"/>
      <c r="AE25" s="47">
        <f ca="1">SUM(AE20:AE24)</f>
        <v>92921338.981663734</v>
      </c>
      <c r="AF25" s="84">
        <f ca="1">SUM(AF20:AF24)</f>
        <v>9111042.8522577696</v>
      </c>
      <c r="AG25" s="84">
        <f t="shared" ref="AG25:AM25" ca="1" si="99">SUM(AG20:AG24)</f>
        <v>37349934.491531074</v>
      </c>
      <c r="AH25" s="84">
        <f t="shared" ca="1" si="99"/>
        <v>3071033.0797624532</v>
      </c>
      <c r="AI25" s="84">
        <f t="shared" ca="1" si="99"/>
        <v>23731051.643706918</v>
      </c>
      <c r="AJ25" s="84">
        <f t="shared" ca="1" si="99"/>
        <v>5889047.6449936563</v>
      </c>
      <c r="AK25" s="84">
        <f t="shared" ca="1" si="99"/>
        <v>0</v>
      </c>
      <c r="AL25" s="84">
        <f t="shared" ca="1" si="99"/>
        <v>0</v>
      </c>
      <c r="AM25" s="693">
        <f t="shared" ca="1" si="99"/>
        <v>13769229.269411888</v>
      </c>
    </row>
    <row r="26" spans="2:40">
      <c r="B26" s="227"/>
      <c r="C26" s="34"/>
      <c r="D26" s="34"/>
      <c r="E26" s="34"/>
      <c r="F26" s="32"/>
      <c r="G26" s="34"/>
      <c r="H26" s="34"/>
      <c r="I26" s="34"/>
      <c r="J26" s="83"/>
      <c r="K26" s="83"/>
      <c r="L26" s="34"/>
      <c r="M26" s="83"/>
      <c r="N26" s="34"/>
      <c r="O26" s="34"/>
      <c r="P26" s="34"/>
      <c r="Q26" s="34"/>
      <c r="R26" s="34"/>
      <c r="S26" s="34"/>
      <c r="T26" s="982"/>
      <c r="U26" s="83"/>
      <c r="V26" s="34"/>
      <c r="W26" s="83"/>
      <c r="X26" s="34"/>
      <c r="Y26" s="34"/>
      <c r="Z26" s="34"/>
      <c r="AA26" s="34"/>
      <c r="AB26" s="34"/>
      <c r="AC26" s="34"/>
      <c r="AD26" s="34"/>
      <c r="AE26" s="34"/>
      <c r="AF26" s="34"/>
      <c r="AG26" s="83"/>
      <c r="AH26" s="34"/>
      <c r="AI26" s="34"/>
      <c r="AJ26" s="34"/>
      <c r="AK26" s="34"/>
      <c r="AL26" s="34"/>
      <c r="AM26" s="229"/>
      <c r="AN26" s="25"/>
    </row>
    <row r="27" spans="2:40">
      <c r="B27" s="805" t="s">
        <v>161</v>
      </c>
      <c r="C27" s="448" t="s">
        <v>652</v>
      </c>
      <c r="D27" s="808"/>
      <c r="E27" s="808"/>
      <c r="F27" s="806" t="s">
        <v>55</v>
      </c>
      <c r="G27" s="806" t="s">
        <v>4</v>
      </c>
      <c r="H27" s="806" t="s">
        <v>5</v>
      </c>
      <c r="I27" s="806" t="s">
        <v>6</v>
      </c>
      <c r="J27" s="9"/>
      <c r="K27" s="810" t="s">
        <v>538</v>
      </c>
      <c r="L27" s="810" t="s">
        <v>209</v>
      </c>
      <c r="M27" s="810" t="s">
        <v>553</v>
      </c>
      <c r="N27" s="810" t="s">
        <v>109</v>
      </c>
      <c r="O27" s="810" t="s">
        <v>15</v>
      </c>
      <c r="P27" s="810" t="s">
        <v>211</v>
      </c>
      <c r="Q27" s="810" t="s">
        <v>212</v>
      </c>
      <c r="R27" s="810" t="s">
        <v>23</v>
      </c>
      <c r="S27" s="810" t="s">
        <v>213</v>
      </c>
      <c r="T27" s="811"/>
      <c r="U27" s="812" t="s">
        <v>538</v>
      </c>
      <c r="V27" s="812" t="s">
        <v>209</v>
      </c>
      <c r="W27" s="812" t="s">
        <v>210</v>
      </c>
      <c r="X27" s="812" t="s">
        <v>109</v>
      </c>
      <c r="Y27" s="812" t="s">
        <v>15</v>
      </c>
      <c r="Z27" s="812" t="s">
        <v>211</v>
      </c>
      <c r="AA27" s="812" t="s">
        <v>212</v>
      </c>
      <c r="AB27" s="812" t="s">
        <v>23</v>
      </c>
      <c r="AC27" s="812" t="s">
        <v>213</v>
      </c>
      <c r="AD27" s="9"/>
      <c r="AE27" s="813" t="s">
        <v>538</v>
      </c>
      <c r="AF27" s="813" t="s">
        <v>209</v>
      </c>
      <c r="AG27" s="813" t="s">
        <v>210</v>
      </c>
      <c r="AH27" s="813" t="s">
        <v>109</v>
      </c>
      <c r="AI27" s="813" t="s">
        <v>15</v>
      </c>
      <c r="AJ27" s="813" t="s">
        <v>211</v>
      </c>
      <c r="AK27" s="813" t="s">
        <v>212</v>
      </c>
      <c r="AL27" s="813" t="s">
        <v>23</v>
      </c>
      <c r="AM27" s="814" t="s">
        <v>213</v>
      </c>
    </row>
    <row r="28" spans="2:40">
      <c r="B28" s="227" t="s">
        <v>554</v>
      </c>
      <c r="C28" s="34"/>
      <c r="D28" s="34"/>
      <c r="E28" s="83"/>
      <c r="F28" s="987">
        <v>150000</v>
      </c>
      <c r="G28" s="83">
        <f>F28*$G$6</f>
        <v>87072.543430734542</v>
      </c>
      <c r="H28" s="83">
        <f>$H$6*F28</f>
        <v>35201.283686197225</v>
      </c>
      <c r="I28" s="47">
        <f>$I$6*F28</f>
        <v>27726.172883068237</v>
      </c>
      <c r="J28" s="83"/>
      <c r="K28" s="83">
        <f>G28</f>
        <v>87072.543430734542</v>
      </c>
      <c r="L28" s="85">
        <f>K28*$L$6</f>
        <v>5406.0623583306442</v>
      </c>
      <c r="M28" s="83">
        <f>$M$6*K28</f>
        <v>21624.249433322577</v>
      </c>
      <c r="N28" s="83">
        <f>K28*$N$6</f>
        <v>1131.4597704310775</v>
      </c>
      <c r="O28" s="83">
        <f>K28*$O$6</f>
        <v>0</v>
      </c>
      <c r="P28" s="83">
        <f>K28*$P$6</f>
        <v>7533.9251777847685</v>
      </c>
      <c r="Q28" s="83">
        <f>K28*$Q$6</f>
        <v>34315.043130541417</v>
      </c>
      <c r="R28" s="83">
        <f>K28*$R$6</f>
        <v>930.92992117163192</v>
      </c>
      <c r="S28" s="83">
        <f>$S$6*K28</f>
        <v>16130.873639152427</v>
      </c>
      <c r="T28" s="988"/>
      <c r="U28" s="83">
        <f>H28</f>
        <v>35201.283686197225</v>
      </c>
      <c r="V28" s="83">
        <f>U28*$V$6</f>
        <v>1708.3437590351425</v>
      </c>
      <c r="W28" s="83">
        <f>U28*$W$6</f>
        <v>6833.37503614057</v>
      </c>
      <c r="X28" s="83">
        <f>U28*$X$6</f>
        <v>3608.002779889006</v>
      </c>
      <c r="Y28" s="83">
        <f>U28*$Y$6</f>
        <v>12227.553771465486</v>
      </c>
      <c r="Z28" s="83">
        <f>U28*$Z$6</f>
        <v>0</v>
      </c>
      <c r="AA28" s="83">
        <f>U28*$AA$6</f>
        <v>9280.4454530635485</v>
      </c>
      <c r="AB28" s="83">
        <f>U28*$AB$6</f>
        <v>1543.5628866034708</v>
      </c>
      <c r="AC28" s="83">
        <f>U28*$AC$6</f>
        <v>0</v>
      </c>
      <c r="AD28" s="34"/>
      <c r="AE28" s="47">
        <f>I28</f>
        <v>27726.172883068237</v>
      </c>
      <c r="AF28" s="83">
        <f>AE28*$AF$6</f>
        <v>2098.3600399005309</v>
      </c>
      <c r="AG28" s="47">
        <f>AE28*$AG$6</f>
        <v>8393.4401596021235</v>
      </c>
      <c r="AH28" s="47">
        <f>AE28*$AH$6</f>
        <v>749.27953648839116</v>
      </c>
      <c r="AI28" s="47">
        <f>AE28*$AI$6</f>
        <v>5245.9000997513258</v>
      </c>
      <c r="AJ28" s="47">
        <f>AE28*$AJ$6</f>
        <v>1498.5590729767823</v>
      </c>
      <c r="AK28" s="47">
        <f>AE28*$AK$6</f>
        <v>0</v>
      </c>
      <c r="AL28" s="47">
        <f>AE28*$AL$6</f>
        <v>0</v>
      </c>
      <c r="AM28" s="989">
        <f>AE28*$AM$6</f>
        <v>9740.6339743490844</v>
      </c>
      <c r="AN28" s="25"/>
    </row>
    <row r="29" spans="2:40">
      <c r="B29" s="227" t="s">
        <v>555</v>
      </c>
      <c r="C29" s="34"/>
      <c r="D29" s="34"/>
      <c r="E29" s="83"/>
      <c r="F29" s="987">
        <v>200000</v>
      </c>
      <c r="G29" s="83">
        <f t="shared" ref="G29:G43" si="100">F29*$G$6</f>
        <v>116096.72457431273</v>
      </c>
      <c r="H29" s="83">
        <f>$H$6*F29</f>
        <v>46935.044914929633</v>
      </c>
      <c r="I29" s="47">
        <f t="shared" ref="I29:I38" si="101">$I$6*F29</f>
        <v>36968.230510757647</v>
      </c>
      <c r="J29" s="83"/>
      <c r="K29" s="83">
        <f t="shared" ref="K29:K43" si="102">G29</f>
        <v>116096.72457431273</v>
      </c>
      <c r="L29" s="83">
        <f t="shared" ref="L29:L43" si="103">K29*$L$6</f>
        <v>7208.0831444408595</v>
      </c>
      <c r="M29" s="83">
        <f t="shared" ref="M29:M43" si="104">$M$6*K29</f>
        <v>28832.332577763438</v>
      </c>
      <c r="N29" s="83">
        <f t="shared" ref="N29:N43" si="105">K29*$N$6</f>
        <v>1508.6130272414366</v>
      </c>
      <c r="O29" s="83">
        <f t="shared" ref="O29:O43" si="106">K29*$O$6</f>
        <v>0</v>
      </c>
      <c r="P29" s="83">
        <f t="shared" ref="P29:P43" si="107">K29*$P$6</f>
        <v>10045.233570379693</v>
      </c>
      <c r="Q29" s="83">
        <f t="shared" ref="Q29:Q43" si="108">K29*$Q$6</f>
        <v>45753.390840721891</v>
      </c>
      <c r="R29" s="83">
        <f t="shared" ref="R29:R43" si="109">K29*$R$6</f>
        <v>1241.2398948955092</v>
      </c>
      <c r="S29" s="83">
        <f t="shared" ref="S29:S43" si="110">$S$6*K29</f>
        <v>21507.831518869905</v>
      </c>
      <c r="T29" s="988"/>
      <c r="U29" s="83">
        <f t="shared" ref="U29:U44" si="111">H29</f>
        <v>46935.044914929633</v>
      </c>
      <c r="V29" s="83">
        <f t="shared" ref="V29:V44" si="112">U29*$V$6</f>
        <v>2277.7916787135232</v>
      </c>
      <c r="W29" s="83">
        <f t="shared" ref="W29:W44" si="113">U29*$W$6</f>
        <v>9111.1667148540928</v>
      </c>
      <c r="X29" s="83">
        <f t="shared" ref="X29:X43" si="114">U29*$X$6</f>
        <v>4810.6703731853413</v>
      </c>
      <c r="Y29" s="83">
        <f t="shared" ref="Y29:Y44" si="115">U29*$Y$6</f>
        <v>16303.405028620649</v>
      </c>
      <c r="Z29" s="83">
        <f t="shared" ref="Z29:Z43" si="116">U29*$Z$6</f>
        <v>0</v>
      </c>
      <c r="AA29" s="83">
        <f t="shared" ref="AA29:AA43" si="117">U29*$AA$6</f>
        <v>12373.927270751397</v>
      </c>
      <c r="AB29" s="83">
        <f t="shared" ref="AB29:AB43" si="118">U29*$AB$6</f>
        <v>2058.0838488046279</v>
      </c>
      <c r="AC29" s="83">
        <f t="shared" ref="AC29:AC43" si="119">U29*$AC$6</f>
        <v>0</v>
      </c>
      <c r="AD29" s="34"/>
      <c r="AE29" s="47">
        <f t="shared" ref="AE29:AE44" si="120">I29</f>
        <v>36968.230510757647</v>
      </c>
      <c r="AF29" s="83">
        <f t="shared" ref="AF29:AF44" si="121">AE29*$AF$6</f>
        <v>2797.813386534041</v>
      </c>
      <c r="AG29" s="47">
        <f t="shared" ref="AG29:AG44" si="122">AE29*$AG$6</f>
        <v>11191.253546136164</v>
      </c>
      <c r="AH29" s="47">
        <f t="shared" ref="AH29:AH44" si="123">AE29*$AH$6</f>
        <v>999.03938198452147</v>
      </c>
      <c r="AI29" s="47">
        <f t="shared" ref="AI29:AI44" si="124">AE29*$AI$6</f>
        <v>6994.5334663351005</v>
      </c>
      <c r="AJ29" s="47">
        <f t="shared" ref="AJ29:AJ44" si="125">AE29*$AJ$6</f>
        <v>1998.0787639690429</v>
      </c>
      <c r="AK29" s="47">
        <f t="shared" ref="AK29:AK44" si="126">AE29*$AK$6</f>
        <v>0</v>
      </c>
      <c r="AL29" s="47">
        <f t="shared" ref="AL29:AL44" si="127">AE29*$AL$6</f>
        <v>0</v>
      </c>
      <c r="AM29" s="989">
        <f t="shared" ref="AM29:AM44" si="128">AE29*$AM$6</f>
        <v>12987.511965798778</v>
      </c>
      <c r="AN29" s="25"/>
    </row>
    <row r="30" spans="2:40">
      <c r="B30" s="227" t="s">
        <v>556</v>
      </c>
      <c r="C30" s="244">
        <v>0.05</v>
      </c>
      <c r="D30" s="34"/>
      <c r="E30" s="83"/>
      <c r="F30" s="987">
        <f ca="1">F20*$C$30</f>
        <v>30299399.647927083</v>
      </c>
      <c r="G30" s="83">
        <f t="shared" ca="1" si="100"/>
        <v>17588305.278462093</v>
      </c>
      <c r="H30" s="83">
        <f t="shared" ref="H30:H43" ca="1" si="129">$H$6*F30</f>
        <v>7110518.4168543033</v>
      </c>
      <c r="I30" s="47">
        <f t="shared" ca="1" si="101"/>
        <v>5600575.9526106883</v>
      </c>
      <c r="J30" s="83"/>
      <c r="K30" s="83">
        <f t="shared" ca="1" si="102"/>
        <v>17588305.278462093</v>
      </c>
      <c r="L30" s="83">
        <f t="shared" ca="1" si="103"/>
        <v>1092002.9594445026</v>
      </c>
      <c r="M30" s="83">
        <f t="shared" ca="1" si="104"/>
        <v>4368011.8377780104</v>
      </c>
      <c r="N30" s="83">
        <f t="shared" ca="1" si="105"/>
        <v>228550.34513228698</v>
      </c>
      <c r="O30" s="83">
        <f t="shared" ca="1" si="106"/>
        <v>0</v>
      </c>
      <c r="P30" s="83">
        <f t="shared" ca="1" si="107"/>
        <v>1521822.7325285389</v>
      </c>
      <c r="Q30" s="83">
        <f t="shared" ca="1" si="108"/>
        <v>6931501.3716541948</v>
      </c>
      <c r="R30" s="83">
        <f t="shared" ca="1" si="109"/>
        <v>188044.11817195022</v>
      </c>
      <c r="S30" s="83">
        <f t="shared" ca="1" si="110"/>
        <v>3258371.9137526089</v>
      </c>
      <c r="T30" s="988"/>
      <c r="U30" s="83">
        <f t="shared" ca="1" si="111"/>
        <v>7110518.4168543033</v>
      </c>
      <c r="V30" s="83">
        <f t="shared" ca="1" si="112"/>
        <v>345078.60194031883</v>
      </c>
      <c r="W30" s="83">
        <f t="shared" ca="1" si="113"/>
        <v>1380314.4077612753</v>
      </c>
      <c r="X30" s="83">
        <f t="shared" ca="1" si="114"/>
        <v>728802.12105792586</v>
      </c>
      <c r="Y30" s="83">
        <f t="shared" ca="1" si="115"/>
        <v>2469916.9229210056</v>
      </c>
      <c r="Z30" s="83">
        <f t="shared" ca="1" si="116"/>
        <v>0</v>
      </c>
      <c r="AA30" s="83">
        <f t="shared" ca="1" si="117"/>
        <v>1874612.837954401</v>
      </c>
      <c r="AB30" s="83">
        <f t="shared" ca="1" si="118"/>
        <v>311793.52521937672</v>
      </c>
      <c r="AC30" s="83">
        <f t="shared" ca="1" si="119"/>
        <v>0</v>
      </c>
      <c r="AD30" s="34"/>
      <c r="AE30" s="47">
        <f t="shared" ca="1" si="120"/>
        <v>5600575.9526106883</v>
      </c>
      <c r="AF30" s="83">
        <f t="shared" ca="1" si="121"/>
        <v>423860.32969457604</v>
      </c>
      <c r="AG30" s="47">
        <f t="shared" ca="1" si="122"/>
        <v>1695441.3187783042</v>
      </c>
      <c r="AH30" s="47">
        <f t="shared" ca="1" si="123"/>
        <v>151351.46749383552</v>
      </c>
      <c r="AI30" s="47">
        <f t="shared" ca="1" si="124"/>
        <v>1059650.82423644</v>
      </c>
      <c r="AJ30" s="47">
        <f t="shared" ca="1" si="125"/>
        <v>302702.93498767103</v>
      </c>
      <c r="AK30" s="47">
        <f t="shared" ca="1" si="126"/>
        <v>0</v>
      </c>
      <c r="AL30" s="47">
        <f t="shared" ca="1" si="127"/>
        <v>0</v>
      </c>
      <c r="AM30" s="989">
        <f t="shared" ca="1" si="128"/>
        <v>1967569.0774198617</v>
      </c>
      <c r="AN30" s="25"/>
    </row>
    <row r="31" spans="2:40">
      <c r="B31" s="227" t="s">
        <v>557</v>
      </c>
      <c r="C31" s="34"/>
      <c r="D31" s="34"/>
      <c r="E31" s="83"/>
      <c r="F31" s="987">
        <v>400000</v>
      </c>
      <c r="G31" s="83">
        <f t="shared" si="100"/>
        <v>232193.44914862546</v>
      </c>
      <c r="H31" s="83">
        <f t="shared" si="129"/>
        <v>93870.089829859266</v>
      </c>
      <c r="I31" s="47">
        <f t="shared" si="101"/>
        <v>73936.461021515293</v>
      </c>
      <c r="J31" s="83"/>
      <c r="K31" s="83">
        <f t="shared" si="102"/>
        <v>232193.44914862546</v>
      </c>
      <c r="L31" s="83">
        <f t="shared" si="103"/>
        <v>14416.166288881719</v>
      </c>
      <c r="M31" s="83">
        <f t="shared" si="104"/>
        <v>57664.665155526876</v>
      </c>
      <c r="N31" s="83">
        <f t="shared" si="105"/>
        <v>3017.2260544828732</v>
      </c>
      <c r="O31" s="83">
        <f t="shared" si="106"/>
        <v>0</v>
      </c>
      <c r="P31" s="83">
        <f t="shared" si="107"/>
        <v>20090.467140759385</v>
      </c>
      <c r="Q31" s="83">
        <f t="shared" si="108"/>
        <v>91506.781681443783</v>
      </c>
      <c r="R31" s="83">
        <f t="shared" si="109"/>
        <v>2482.4797897910184</v>
      </c>
      <c r="S31" s="83">
        <f t="shared" si="110"/>
        <v>43015.663037739811</v>
      </c>
      <c r="T31" s="988"/>
      <c r="U31" s="83">
        <f t="shared" si="111"/>
        <v>93870.089829859266</v>
      </c>
      <c r="V31" s="83">
        <f t="shared" si="112"/>
        <v>4555.5833574270464</v>
      </c>
      <c r="W31" s="83">
        <f t="shared" si="113"/>
        <v>18222.333429708186</v>
      </c>
      <c r="X31" s="83">
        <f t="shared" si="114"/>
        <v>9621.3407463706826</v>
      </c>
      <c r="Y31" s="83">
        <f t="shared" si="115"/>
        <v>32606.810057241299</v>
      </c>
      <c r="Z31" s="83">
        <f t="shared" si="116"/>
        <v>0</v>
      </c>
      <c r="AA31" s="83">
        <f t="shared" si="117"/>
        <v>24747.854541502795</v>
      </c>
      <c r="AB31" s="83">
        <f t="shared" si="118"/>
        <v>4116.1676976092558</v>
      </c>
      <c r="AC31" s="83">
        <f t="shared" si="119"/>
        <v>0</v>
      </c>
      <c r="AD31" s="34"/>
      <c r="AE31" s="47">
        <f t="shared" si="120"/>
        <v>73936.461021515293</v>
      </c>
      <c r="AF31" s="83">
        <f t="shared" si="121"/>
        <v>5595.626773068082</v>
      </c>
      <c r="AG31" s="47">
        <f t="shared" si="122"/>
        <v>22382.507092272328</v>
      </c>
      <c r="AH31" s="47">
        <f t="shared" si="123"/>
        <v>1998.0787639690429</v>
      </c>
      <c r="AI31" s="47">
        <f t="shared" si="124"/>
        <v>13989.066932670201</v>
      </c>
      <c r="AJ31" s="47">
        <f t="shared" si="125"/>
        <v>3996.1575279380859</v>
      </c>
      <c r="AK31" s="47">
        <f t="shared" si="126"/>
        <v>0</v>
      </c>
      <c r="AL31" s="47">
        <f t="shared" si="127"/>
        <v>0</v>
      </c>
      <c r="AM31" s="989">
        <f t="shared" si="128"/>
        <v>25975.023931597556</v>
      </c>
      <c r="AN31" s="25"/>
    </row>
    <row r="32" spans="2:40">
      <c r="B32" s="227" t="s">
        <v>558</v>
      </c>
      <c r="C32" s="244">
        <v>0.01</v>
      </c>
      <c r="D32" s="34"/>
      <c r="E32" s="83"/>
      <c r="F32" s="987">
        <f ca="1">F20*0.01</f>
        <v>6059879.9295854168</v>
      </c>
      <c r="G32" s="83">
        <f t="shared" ca="1" si="100"/>
        <v>3517661.0556924185</v>
      </c>
      <c r="H32" s="83">
        <f t="shared" ca="1" si="129"/>
        <v>1422103.6833708608</v>
      </c>
      <c r="I32" s="47">
        <f t="shared" ca="1" si="101"/>
        <v>1120115.1905221376</v>
      </c>
      <c r="J32" s="83"/>
      <c r="K32" s="83">
        <f t="shared" ca="1" si="102"/>
        <v>3517661.0556924185</v>
      </c>
      <c r="L32" s="83">
        <f t="shared" ca="1" si="103"/>
        <v>218400.59188890053</v>
      </c>
      <c r="M32" s="83">
        <f t="shared" ca="1" si="104"/>
        <v>873602.3675556021</v>
      </c>
      <c r="N32" s="83">
        <f t="shared" ca="1" si="105"/>
        <v>45710.069026457393</v>
      </c>
      <c r="O32" s="83">
        <f t="shared" ca="1" si="106"/>
        <v>0</v>
      </c>
      <c r="P32" s="83">
        <f t="shared" ca="1" si="107"/>
        <v>304364.54650570778</v>
      </c>
      <c r="Q32" s="83">
        <f t="shared" ca="1" si="108"/>
        <v>1386300.274330839</v>
      </c>
      <c r="R32" s="83">
        <f t="shared" ca="1" si="109"/>
        <v>37608.823634390043</v>
      </c>
      <c r="S32" s="83">
        <f t="shared" ca="1" si="110"/>
        <v>651674.38275052176</v>
      </c>
      <c r="T32" s="988"/>
      <c r="U32" s="83">
        <f t="shared" ca="1" si="111"/>
        <v>1422103.6833708608</v>
      </c>
      <c r="V32" s="83">
        <f t="shared" ca="1" si="112"/>
        <v>69015.720388063768</v>
      </c>
      <c r="W32" s="83">
        <f t="shared" ca="1" si="113"/>
        <v>276062.88155225507</v>
      </c>
      <c r="X32" s="83">
        <f t="shared" ca="1" si="114"/>
        <v>145760.4242115852</v>
      </c>
      <c r="Y32" s="83">
        <f t="shared" ca="1" si="115"/>
        <v>493983.38458420109</v>
      </c>
      <c r="Z32" s="83">
        <f t="shared" ca="1" si="116"/>
        <v>0</v>
      </c>
      <c r="AA32" s="83">
        <f t="shared" ca="1" si="117"/>
        <v>374922.56759088021</v>
      </c>
      <c r="AB32" s="83">
        <f t="shared" ca="1" si="118"/>
        <v>62358.70504387535</v>
      </c>
      <c r="AC32" s="83">
        <f t="shared" ca="1" si="119"/>
        <v>0</v>
      </c>
      <c r="AD32" s="34"/>
      <c r="AE32" s="47">
        <f t="shared" ca="1" si="120"/>
        <v>1120115.1905221376</v>
      </c>
      <c r="AF32" s="83">
        <f t="shared" ca="1" si="121"/>
        <v>84772.065938915199</v>
      </c>
      <c r="AG32" s="47">
        <f t="shared" ca="1" si="122"/>
        <v>339088.2637556608</v>
      </c>
      <c r="AH32" s="47">
        <f t="shared" ca="1" si="123"/>
        <v>30270.2934987671</v>
      </c>
      <c r="AI32" s="47">
        <f t="shared" ca="1" si="124"/>
        <v>211930.16484728796</v>
      </c>
      <c r="AJ32" s="47">
        <f t="shared" ca="1" si="125"/>
        <v>60540.586997534199</v>
      </c>
      <c r="AK32" s="47">
        <f t="shared" ca="1" si="126"/>
        <v>0</v>
      </c>
      <c r="AL32" s="47">
        <f t="shared" ca="1" si="127"/>
        <v>0</v>
      </c>
      <c r="AM32" s="989">
        <f t="shared" ca="1" si="128"/>
        <v>393513.81548397231</v>
      </c>
      <c r="AN32" s="25"/>
    </row>
    <row r="33" spans="1:40">
      <c r="B33" s="227" t="s">
        <v>559</v>
      </c>
      <c r="C33" s="34">
        <v>5.7000000000000002E-2</v>
      </c>
      <c r="D33" s="34"/>
      <c r="E33" s="83"/>
      <c r="F33" s="987">
        <f>F5*$C$33</f>
        <v>169940.598</v>
      </c>
      <c r="G33" s="83">
        <f t="shared" si="100"/>
        <v>98647.733999999997</v>
      </c>
      <c r="H33" s="83">
        <f t="shared" si="129"/>
        <v>39880.848000000005</v>
      </c>
      <c r="I33" s="47">
        <f t="shared" si="101"/>
        <v>31412.016</v>
      </c>
      <c r="J33" s="83"/>
      <c r="K33" s="83">
        <f t="shared" si="102"/>
        <v>98647.733999999997</v>
      </c>
      <c r="L33" s="83">
        <f t="shared" si="103"/>
        <v>6124.7298000000001</v>
      </c>
      <c r="M33" s="83">
        <f t="shared" si="104"/>
        <v>24498.9192</v>
      </c>
      <c r="N33" s="83">
        <f t="shared" si="105"/>
        <v>1281.873</v>
      </c>
      <c r="O33" s="83">
        <f t="shared" si="106"/>
        <v>0</v>
      </c>
      <c r="P33" s="83">
        <f t="shared" si="107"/>
        <v>8535.4650000000001</v>
      </c>
      <c r="Q33" s="83">
        <f t="shared" si="108"/>
        <v>38876.792999999998</v>
      </c>
      <c r="R33" s="83">
        <f t="shared" si="109"/>
        <v>1054.68525</v>
      </c>
      <c r="S33" s="83">
        <f t="shared" si="110"/>
        <v>18275.268749999999</v>
      </c>
      <c r="T33" s="988"/>
      <c r="U33" s="83">
        <f t="shared" si="111"/>
        <v>39880.848000000005</v>
      </c>
      <c r="V33" s="83">
        <f t="shared" si="112"/>
        <v>1935.4464000000003</v>
      </c>
      <c r="W33" s="83">
        <f t="shared" si="113"/>
        <v>7741.7856000000011</v>
      </c>
      <c r="X33" s="83">
        <f t="shared" si="114"/>
        <v>4087.6410000000005</v>
      </c>
      <c r="Y33" s="83">
        <f t="shared" si="115"/>
        <v>13853.052000000001</v>
      </c>
      <c r="Z33" s="83">
        <f t="shared" si="116"/>
        <v>0</v>
      </c>
      <c r="AA33" s="83">
        <f t="shared" si="117"/>
        <v>10514.163000000002</v>
      </c>
      <c r="AB33" s="83">
        <f t="shared" si="118"/>
        <v>1748.7600000000002</v>
      </c>
      <c r="AC33" s="83">
        <f t="shared" si="119"/>
        <v>0</v>
      </c>
      <c r="AD33" s="34"/>
      <c r="AE33" s="47">
        <f t="shared" si="120"/>
        <v>31412.016</v>
      </c>
      <c r="AF33" s="83">
        <f t="shared" si="121"/>
        <v>2377.3104000000003</v>
      </c>
      <c r="AG33" s="47">
        <f t="shared" si="122"/>
        <v>9509.2416000000012</v>
      </c>
      <c r="AH33" s="47">
        <f t="shared" si="123"/>
        <v>848.88675000000001</v>
      </c>
      <c r="AI33" s="47">
        <f t="shared" si="124"/>
        <v>5943.2759999999998</v>
      </c>
      <c r="AJ33" s="47">
        <f t="shared" si="125"/>
        <v>1697.7735</v>
      </c>
      <c r="AK33" s="47">
        <f t="shared" si="126"/>
        <v>0</v>
      </c>
      <c r="AL33" s="47">
        <f t="shared" si="127"/>
        <v>0</v>
      </c>
      <c r="AM33" s="989">
        <f t="shared" si="128"/>
        <v>11035.527749999999</v>
      </c>
      <c r="AN33" s="25"/>
    </row>
    <row r="34" spans="1:40">
      <c r="B34" s="227" t="s">
        <v>560</v>
      </c>
      <c r="C34" s="34"/>
      <c r="D34" s="34"/>
      <c r="E34" s="83"/>
      <c r="F34" s="987">
        <v>300000</v>
      </c>
      <c r="G34" s="83">
        <f t="shared" si="100"/>
        <v>174145.08686146908</v>
      </c>
      <c r="H34" s="83">
        <f t="shared" si="129"/>
        <v>70402.567372394449</v>
      </c>
      <c r="I34" s="47">
        <f t="shared" si="101"/>
        <v>55452.345766136474</v>
      </c>
      <c r="J34" s="83"/>
      <c r="K34" s="83">
        <f t="shared" si="102"/>
        <v>174145.08686146908</v>
      </c>
      <c r="L34" s="83">
        <f t="shared" si="103"/>
        <v>10812.124716661288</v>
      </c>
      <c r="M34" s="83">
        <f t="shared" si="104"/>
        <v>43248.498866645154</v>
      </c>
      <c r="N34" s="83">
        <f t="shared" si="105"/>
        <v>2262.9195408621549</v>
      </c>
      <c r="O34" s="83">
        <f t="shared" si="106"/>
        <v>0</v>
      </c>
      <c r="P34" s="83">
        <f t="shared" si="107"/>
        <v>15067.850355569537</v>
      </c>
      <c r="Q34" s="83">
        <f t="shared" si="108"/>
        <v>68630.086261082834</v>
      </c>
      <c r="R34" s="83">
        <f t="shared" si="109"/>
        <v>1861.8598423432638</v>
      </c>
      <c r="S34" s="83">
        <f t="shared" si="110"/>
        <v>32261.747278304854</v>
      </c>
      <c r="T34" s="988"/>
      <c r="U34" s="83">
        <f t="shared" si="111"/>
        <v>70402.567372394449</v>
      </c>
      <c r="V34" s="83">
        <f t="shared" si="112"/>
        <v>3416.687518070285</v>
      </c>
      <c r="W34" s="83">
        <f t="shared" si="113"/>
        <v>13666.75007228114</v>
      </c>
      <c r="X34" s="83">
        <f t="shared" si="114"/>
        <v>7216.005559778012</v>
      </c>
      <c r="Y34" s="83">
        <f t="shared" si="115"/>
        <v>24455.107542930971</v>
      </c>
      <c r="Z34" s="83">
        <f t="shared" si="116"/>
        <v>0</v>
      </c>
      <c r="AA34" s="83">
        <f t="shared" si="117"/>
        <v>18560.890906127097</v>
      </c>
      <c r="AB34" s="83">
        <f t="shared" si="118"/>
        <v>3087.1257732069416</v>
      </c>
      <c r="AC34" s="83">
        <f t="shared" si="119"/>
        <v>0</v>
      </c>
      <c r="AD34" s="34"/>
      <c r="AE34" s="47">
        <f t="shared" si="120"/>
        <v>55452.345766136474</v>
      </c>
      <c r="AF34" s="83">
        <f t="shared" si="121"/>
        <v>4196.7200798010617</v>
      </c>
      <c r="AG34" s="47">
        <f t="shared" si="122"/>
        <v>16786.880319204247</v>
      </c>
      <c r="AH34" s="47">
        <f t="shared" si="123"/>
        <v>1498.5590729767823</v>
      </c>
      <c r="AI34" s="47">
        <f t="shared" si="124"/>
        <v>10491.800199502652</v>
      </c>
      <c r="AJ34" s="47">
        <f t="shared" si="125"/>
        <v>2997.1181459535646</v>
      </c>
      <c r="AK34" s="47">
        <f t="shared" si="126"/>
        <v>0</v>
      </c>
      <c r="AL34" s="47">
        <f t="shared" si="127"/>
        <v>0</v>
      </c>
      <c r="AM34" s="989">
        <f t="shared" si="128"/>
        <v>19481.267948698169</v>
      </c>
      <c r="AN34" s="25"/>
    </row>
    <row r="35" spans="1:40">
      <c r="B35" s="227" t="s">
        <v>561</v>
      </c>
      <c r="C35" s="34"/>
      <c r="D35" s="34"/>
      <c r="E35" s="83"/>
      <c r="F35" s="987">
        <v>200000</v>
      </c>
      <c r="G35" s="83">
        <f t="shared" si="100"/>
        <v>116096.72457431273</v>
      </c>
      <c r="H35" s="83">
        <f t="shared" si="129"/>
        <v>46935.044914929633</v>
      </c>
      <c r="I35" s="47">
        <f t="shared" si="101"/>
        <v>36968.230510757647</v>
      </c>
      <c r="J35" s="83"/>
      <c r="K35" s="83">
        <f t="shared" si="102"/>
        <v>116096.72457431273</v>
      </c>
      <c r="L35" s="83">
        <f t="shared" si="103"/>
        <v>7208.0831444408595</v>
      </c>
      <c r="M35" s="83">
        <f t="shared" si="104"/>
        <v>28832.332577763438</v>
      </c>
      <c r="N35" s="83">
        <f t="shared" si="105"/>
        <v>1508.6130272414366</v>
      </c>
      <c r="O35" s="83">
        <f t="shared" si="106"/>
        <v>0</v>
      </c>
      <c r="P35" s="83">
        <f t="shared" si="107"/>
        <v>10045.233570379693</v>
      </c>
      <c r="Q35" s="83">
        <f t="shared" si="108"/>
        <v>45753.390840721891</v>
      </c>
      <c r="R35" s="83">
        <f t="shared" si="109"/>
        <v>1241.2398948955092</v>
      </c>
      <c r="S35" s="83">
        <f t="shared" si="110"/>
        <v>21507.831518869905</v>
      </c>
      <c r="T35" s="988"/>
      <c r="U35" s="83">
        <f t="shared" si="111"/>
        <v>46935.044914929633</v>
      </c>
      <c r="V35" s="83">
        <f t="shared" si="112"/>
        <v>2277.7916787135232</v>
      </c>
      <c r="W35" s="83">
        <f t="shared" si="113"/>
        <v>9111.1667148540928</v>
      </c>
      <c r="X35" s="83">
        <f t="shared" si="114"/>
        <v>4810.6703731853413</v>
      </c>
      <c r="Y35" s="83">
        <f t="shared" si="115"/>
        <v>16303.405028620649</v>
      </c>
      <c r="Z35" s="83">
        <f t="shared" si="116"/>
        <v>0</v>
      </c>
      <c r="AA35" s="83">
        <f t="shared" si="117"/>
        <v>12373.927270751397</v>
      </c>
      <c r="AB35" s="83">
        <f t="shared" si="118"/>
        <v>2058.0838488046279</v>
      </c>
      <c r="AC35" s="83">
        <f t="shared" si="119"/>
        <v>0</v>
      </c>
      <c r="AD35" s="34"/>
      <c r="AE35" s="47">
        <f t="shared" si="120"/>
        <v>36968.230510757647</v>
      </c>
      <c r="AF35" s="83">
        <f t="shared" si="121"/>
        <v>2797.813386534041</v>
      </c>
      <c r="AG35" s="47">
        <f t="shared" si="122"/>
        <v>11191.253546136164</v>
      </c>
      <c r="AH35" s="47">
        <f t="shared" si="123"/>
        <v>999.03938198452147</v>
      </c>
      <c r="AI35" s="47">
        <f t="shared" si="124"/>
        <v>6994.5334663351005</v>
      </c>
      <c r="AJ35" s="47">
        <f t="shared" si="125"/>
        <v>1998.0787639690429</v>
      </c>
      <c r="AK35" s="47">
        <f t="shared" si="126"/>
        <v>0</v>
      </c>
      <c r="AL35" s="47">
        <f t="shared" si="127"/>
        <v>0</v>
      </c>
      <c r="AM35" s="989">
        <f t="shared" si="128"/>
        <v>12987.511965798778</v>
      </c>
      <c r="AN35" s="25"/>
    </row>
    <row r="36" spans="1:40">
      <c r="B36" s="227" t="s">
        <v>562</v>
      </c>
      <c r="C36" s="244">
        <v>0.01</v>
      </c>
      <c r="D36" s="34"/>
      <c r="E36" s="83"/>
      <c r="F36" s="987">
        <f ca="1">F20*C36</f>
        <v>6059879.9295854168</v>
      </c>
      <c r="G36" s="83">
        <f ca="1">F36*$G$6</f>
        <v>3517661.0556924185</v>
      </c>
      <c r="H36" s="83">
        <f t="shared" ca="1" si="129"/>
        <v>1422103.6833708608</v>
      </c>
      <c r="I36" s="47">
        <f t="shared" ca="1" si="101"/>
        <v>1120115.1905221376</v>
      </c>
      <c r="J36" s="83"/>
      <c r="K36" s="83">
        <f t="shared" ca="1" si="102"/>
        <v>3517661.0556924185</v>
      </c>
      <c r="L36" s="83">
        <f t="shared" ca="1" si="103"/>
        <v>218400.59188890053</v>
      </c>
      <c r="M36" s="83">
        <f t="shared" ca="1" si="104"/>
        <v>873602.3675556021</v>
      </c>
      <c r="N36" s="83">
        <f t="shared" ca="1" si="105"/>
        <v>45710.069026457393</v>
      </c>
      <c r="O36" s="83">
        <f t="shared" ca="1" si="106"/>
        <v>0</v>
      </c>
      <c r="P36" s="83">
        <f t="shared" ca="1" si="107"/>
        <v>304364.54650570778</v>
      </c>
      <c r="Q36" s="83">
        <f t="shared" ca="1" si="108"/>
        <v>1386300.274330839</v>
      </c>
      <c r="R36" s="83">
        <f t="shared" ca="1" si="109"/>
        <v>37608.823634390043</v>
      </c>
      <c r="S36" s="83">
        <f ca="1">$S$6*K36</f>
        <v>651674.38275052176</v>
      </c>
      <c r="T36" s="988"/>
      <c r="U36" s="83">
        <f t="shared" ca="1" si="111"/>
        <v>1422103.6833708608</v>
      </c>
      <c r="V36" s="83">
        <f t="shared" ca="1" si="112"/>
        <v>69015.720388063768</v>
      </c>
      <c r="W36" s="83">
        <f t="shared" ca="1" si="113"/>
        <v>276062.88155225507</v>
      </c>
      <c r="X36" s="83">
        <f t="shared" ca="1" si="114"/>
        <v>145760.4242115852</v>
      </c>
      <c r="Y36" s="83">
        <f t="shared" ca="1" si="115"/>
        <v>493983.38458420109</v>
      </c>
      <c r="Z36" s="83">
        <f t="shared" ca="1" si="116"/>
        <v>0</v>
      </c>
      <c r="AA36" s="83">
        <f t="shared" ca="1" si="117"/>
        <v>374922.56759088021</v>
      </c>
      <c r="AB36" s="83">
        <f t="shared" ca="1" si="118"/>
        <v>62358.70504387535</v>
      </c>
      <c r="AC36" s="83">
        <f t="shared" ca="1" si="119"/>
        <v>0</v>
      </c>
      <c r="AD36" s="34"/>
      <c r="AE36" s="47">
        <f t="shared" ca="1" si="120"/>
        <v>1120115.1905221376</v>
      </c>
      <c r="AF36" s="83">
        <f t="shared" ca="1" si="121"/>
        <v>84772.065938915199</v>
      </c>
      <c r="AG36" s="47">
        <f t="shared" ca="1" si="122"/>
        <v>339088.2637556608</v>
      </c>
      <c r="AH36" s="47">
        <f t="shared" ca="1" si="123"/>
        <v>30270.2934987671</v>
      </c>
      <c r="AI36" s="47">
        <f t="shared" ca="1" si="124"/>
        <v>211930.16484728796</v>
      </c>
      <c r="AJ36" s="47">
        <f t="shared" ca="1" si="125"/>
        <v>60540.586997534199</v>
      </c>
      <c r="AK36" s="47">
        <f t="shared" ca="1" si="126"/>
        <v>0</v>
      </c>
      <c r="AL36" s="47">
        <f t="shared" ca="1" si="127"/>
        <v>0</v>
      </c>
      <c r="AM36" s="989">
        <f t="shared" ca="1" si="128"/>
        <v>393513.81548397231</v>
      </c>
      <c r="AN36" s="25"/>
    </row>
    <row r="37" spans="1:40">
      <c r="B37" s="227" t="s">
        <v>563</v>
      </c>
      <c r="C37" s="34"/>
      <c r="D37" s="34"/>
      <c r="E37" s="83"/>
      <c r="F37" s="987">
        <v>1000000</v>
      </c>
      <c r="G37" s="83">
        <f t="shared" si="100"/>
        <v>580483.62287156365</v>
      </c>
      <c r="H37" s="83">
        <f t="shared" si="129"/>
        <v>234675.22457464816</v>
      </c>
      <c r="I37" s="47">
        <f t="shared" si="101"/>
        <v>184841.15255378824</v>
      </c>
      <c r="J37" s="83"/>
      <c r="K37" s="83">
        <f t="shared" si="102"/>
        <v>580483.62287156365</v>
      </c>
      <c r="L37" s="83">
        <f t="shared" si="103"/>
        <v>36040.4157222043</v>
      </c>
      <c r="M37" s="83">
        <f t="shared" si="104"/>
        <v>144161.6628888172</v>
      </c>
      <c r="N37" s="83">
        <f t="shared" si="105"/>
        <v>7543.0651362071831</v>
      </c>
      <c r="O37" s="83">
        <f t="shared" si="106"/>
        <v>0</v>
      </c>
      <c r="P37" s="83">
        <f t="shared" si="107"/>
        <v>50226.167851898463</v>
      </c>
      <c r="Q37" s="83">
        <f t="shared" si="108"/>
        <v>228766.95420360944</v>
      </c>
      <c r="R37" s="83">
        <f t="shared" si="109"/>
        <v>6206.1994744775466</v>
      </c>
      <c r="S37" s="83">
        <f t="shared" si="110"/>
        <v>107539.15759434953</v>
      </c>
      <c r="T37" s="988"/>
      <c r="U37" s="83">
        <f t="shared" si="111"/>
        <v>234675.22457464816</v>
      </c>
      <c r="V37" s="83">
        <f t="shared" si="112"/>
        <v>11388.958393567616</v>
      </c>
      <c r="W37" s="83">
        <f t="shared" si="113"/>
        <v>45555.833574270466</v>
      </c>
      <c r="X37" s="83">
        <f t="shared" si="114"/>
        <v>24053.351865926707</v>
      </c>
      <c r="Y37" s="83">
        <f t="shared" si="115"/>
        <v>81517.025143103237</v>
      </c>
      <c r="Z37" s="83">
        <f t="shared" si="116"/>
        <v>0</v>
      </c>
      <c r="AA37" s="83">
        <f t="shared" si="117"/>
        <v>61869.636353756985</v>
      </c>
      <c r="AB37" s="83">
        <f t="shared" si="118"/>
        <v>10290.419244023138</v>
      </c>
      <c r="AC37" s="83">
        <f t="shared" si="119"/>
        <v>0</v>
      </c>
      <c r="AD37" s="34"/>
      <c r="AE37" s="47">
        <f t="shared" si="120"/>
        <v>184841.15255378824</v>
      </c>
      <c r="AF37" s="83">
        <f t="shared" si="121"/>
        <v>13989.066932670205</v>
      </c>
      <c r="AG37" s="47">
        <f t="shared" si="122"/>
        <v>55956.267730680818</v>
      </c>
      <c r="AH37" s="47">
        <f t="shared" si="123"/>
        <v>4995.1969099226071</v>
      </c>
      <c r="AI37" s="47">
        <f t="shared" si="124"/>
        <v>34972.667331675504</v>
      </c>
      <c r="AJ37" s="47">
        <f t="shared" si="125"/>
        <v>9990.3938198452142</v>
      </c>
      <c r="AK37" s="47">
        <f t="shared" si="126"/>
        <v>0</v>
      </c>
      <c r="AL37" s="47">
        <f t="shared" si="127"/>
        <v>0</v>
      </c>
      <c r="AM37" s="989">
        <f t="shared" si="128"/>
        <v>64937.559828993893</v>
      </c>
      <c r="AN37" s="25"/>
    </row>
    <row r="38" spans="1:40">
      <c r="B38" s="227" t="s">
        <v>564</v>
      </c>
      <c r="C38" s="34"/>
      <c r="D38" s="34"/>
      <c r="E38" s="83"/>
      <c r="F38" s="987">
        <v>1500000</v>
      </c>
      <c r="G38" s="83">
        <f>F38*$G$6</f>
        <v>870725.43430734542</v>
      </c>
      <c r="H38" s="83">
        <f t="shared" si="129"/>
        <v>352012.83686197223</v>
      </c>
      <c r="I38" s="47">
        <f t="shared" si="101"/>
        <v>277261.72883068235</v>
      </c>
      <c r="J38" s="83"/>
      <c r="K38" s="83">
        <f t="shared" si="102"/>
        <v>870725.43430734542</v>
      </c>
      <c r="L38" s="83">
        <f t="shared" si="103"/>
        <v>54060.623583306449</v>
      </c>
      <c r="M38" s="83">
        <f t="shared" si="104"/>
        <v>216242.4943332258</v>
      </c>
      <c r="N38" s="83">
        <f t="shared" si="105"/>
        <v>11314.597704310774</v>
      </c>
      <c r="O38" s="83">
        <f t="shared" si="106"/>
        <v>0</v>
      </c>
      <c r="P38" s="83">
        <f t="shared" si="107"/>
        <v>75339.25177784769</v>
      </c>
      <c r="Q38" s="83">
        <f t="shared" si="108"/>
        <v>343150.43130541412</v>
      </c>
      <c r="R38" s="83">
        <f t="shared" si="109"/>
        <v>9309.2992117163194</v>
      </c>
      <c r="S38" s="83">
        <f t="shared" si="110"/>
        <v>161308.73639152429</v>
      </c>
      <c r="T38" s="988"/>
      <c r="U38" s="83">
        <f t="shared" si="111"/>
        <v>352012.83686197223</v>
      </c>
      <c r="V38" s="83">
        <f t="shared" si="112"/>
        <v>17083.437590351426</v>
      </c>
      <c r="W38" s="83">
        <f t="shared" si="113"/>
        <v>68333.750361405706</v>
      </c>
      <c r="X38" s="83">
        <f t="shared" si="114"/>
        <v>36080.027798890056</v>
      </c>
      <c r="Y38" s="83">
        <f t="shared" si="115"/>
        <v>122275.53771465486</v>
      </c>
      <c r="Z38" s="83">
        <f t="shared" si="116"/>
        <v>0</v>
      </c>
      <c r="AA38" s="83">
        <f t="shared" si="117"/>
        <v>92804.45453063547</v>
      </c>
      <c r="AB38" s="83">
        <f t="shared" si="118"/>
        <v>15435.628866034707</v>
      </c>
      <c r="AC38" s="83">
        <f t="shared" si="119"/>
        <v>0</v>
      </c>
      <c r="AD38" s="34"/>
      <c r="AE38" s="47">
        <f t="shared" si="120"/>
        <v>277261.72883068235</v>
      </c>
      <c r="AF38" s="83">
        <f t="shared" si="121"/>
        <v>20983.600399005307</v>
      </c>
      <c r="AG38" s="47">
        <f t="shared" si="122"/>
        <v>83934.401596021227</v>
      </c>
      <c r="AH38" s="47">
        <f t="shared" si="123"/>
        <v>7492.7953648839102</v>
      </c>
      <c r="AI38" s="47">
        <f t="shared" si="124"/>
        <v>52459.000997513256</v>
      </c>
      <c r="AJ38" s="47">
        <f t="shared" si="125"/>
        <v>14985.59072976782</v>
      </c>
      <c r="AK38" s="47">
        <f t="shared" si="126"/>
        <v>0</v>
      </c>
      <c r="AL38" s="47">
        <f t="shared" si="127"/>
        <v>0</v>
      </c>
      <c r="AM38" s="989">
        <f t="shared" si="128"/>
        <v>97406.33974349084</v>
      </c>
      <c r="AN38" s="25"/>
    </row>
    <row r="39" spans="1:40">
      <c r="B39" s="227" t="s">
        <v>565</v>
      </c>
      <c r="C39" s="34"/>
      <c r="D39" s="34"/>
      <c r="E39" s="83"/>
      <c r="F39" s="987">
        <v>500000</v>
      </c>
      <c r="G39" s="83">
        <f t="shared" si="100"/>
        <v>290241.81143578183</v>
      </c>
      <c r="H39" s="83">
        <f t="shared" si="129"/>
        <v>117337.61228732408</v>
      </c>
      <c r="I39" s="47">
        <f>$I$6*F39</f>
        <v>92420.57627689412</v>
      </c>
      <c r="J39" s="83"/>
      <c r="K39" s="83">
        <f t="shared" si="102"/>
        <v>290241.81143578183</v>
      </c>
      <c r="L39" s="83">
        <f t="shared" si="103"/>
        <v>18020.20786110215</v>
      </c>
      <c r="M39" s="83">
        <f t="shared" si="104"/>
        <v>72080.831444408599</v>
      </c>
      <c r="N39" s="83">
        <f t="shared" si="105"/>
        <v>3771.5325681035915</v>
      </c>
      <c r="O39" s="83">
        <f t="shared" si="106"/>
        <v>0</v>
      </c>
      <c r="P39" s="83">
        <f t="shared" si="107"/>
        <v>25113.083925949231</v>
      </c>
      <c r="Q39" s="83">
        <f t="shared" si="108"/>
        <v>114383.47710180472</v>
      </c>
      <c r="R39" s="83">
        <f t="shared" si="109"/>
        <v>3103.0997372387733</v>
      </c>
      <c r="S39" s="83">
        <f t="shared" si="110"/>
        <v>53769.578797174763</v>
      </c>
      <c r="T39" s="988"/>
      <c r="U39" s="83">
        <f t="shared" si="111"/>
        <v>117337.61228732408</v>
      </c>
      <c r="V39" s="83">
        <f t="shared" si="112"/>
        <v>5694.4791967838082</v>
      </c>
      <c r="W39" s="83">
        <f t="shared" si="113"/>
        <v>22777.916787135233</v>
      </c>
      <c r="X39" s="83">
        <f t="shared" si="114"/>
        <v>12026.675932963353</v>
      </c>
      <c r="Y39" s="83">
        <f t="shared" si="115"/>
        <v>40758.512571551619</v>
      </c>
      <c r="Z39" s="83">
        <f t="shared" si="116"/>
        <v>0</v>
      </c>
      <c r="AA39" s="83">
        <f t="shared" si="117"/>
        <v>30934.818176878493</v>
      </c>
      <c r="AB39" s="83">
        <f t="shared" si="118"/>
        <v>5145.2096220115691</v>
      </c>
      <c r="AC39" s="83">
        <f t="shared" si="119"/>
        <v>0</v>
      </c>
      <c r="AD39" s="34"/>
      <c r="AE39" s="47">
        <f t="shared" si="120"/>
        <v>92420.57627689412</v>
      </c>
      <c r="AF39" s="83">
        <f t="shared" si="121"/>
        <v>6994.5334663351023</v>
      </c>
      <c r="AG39" s="47">
        <f t="shared" si="122"/>
        <v>27978.133865340409</v>
      </c>
      <c r="AH39" s="47">
        <f t="shared" si="123"/>
        <v>2497.5984549613036</v>
      </c>
      <c r="AI39" s="47">
        <f t="shared" si="124"/>
        <v>17486.333665837752</v>
      </c>
      <c r="AJ39" s="47">
        <f t="shared" si="125"/>
        <v>4995.1969099226071</v>
      </c>
      <c r="AK39" s="47">
        <f t="shared" si="126"/>
        <v>0</v>
      </c>
      <c r="AL39" s="47">
        <f t="shared" si="127"/>
        <v>0</v>
      </c>
      <c r="AM39" s="989">
        <f t="shared" si="128"/>
        <v>32468.779914496947</v>
      </c>
    </row>
    <row r="40" spans="1:40">
      <c r="B40" s="227" t="s">
        <v>566</v>
      </c>
      <c r="C40" s="71">
        <f>21.3464/1000</f>
        <v>2.1346399999999998E-2</v>
      </c>
      <c r="D40" s="34"/>
      <c r="E40" s="83"/>
      <c r="F40" s="987">
        <f>SUM(G40:I40)</f>
        <v>13837381.568208</v>
      </c>
      <c r="G40" s="83">
        <f>($C$40*'TIF Financing'!$C$3)*2</f>
        <v>4612460.5227359999</v>
      </c>
      <c r="H40" s="83">
        <f>($C$40*'TIF Financing'!$C$3)*2</f>
        <v>4612460.5227359999</v>
      </c>
      <c r="I40" s="83">
        <f>($C$40*'TIF Financing'!$C$3)*2</f>
        <v>4612460.5227359999</v>
      </c>
      <c r="J40" s="83"/>
      <c r="K40" s="83">
        <f t="shared" si="102"/>
        <v>4612460.5227359999</v>
      </c>
      <c r="L40" s="83">
        <f t="shared" si="103"/>
        <v>286373.27254698781</v>
      </c>
      <c r="M40" s="83">
        <f t="shared" si="104"/>
        <v>1145493.0901879512</v>
      </c>
      <c r="N40" s="83">
        <f t="shared" si="105"/>
        <v>59936.38543852578</v>
      </c>
      <c r="O40" s="83">
        <f t="shared" si="106"/>
        <v>0</v>
      </c>
      <c r="P40" s="83">
        <f t="shared" si="107"/>
        <v>399091.73540362145</v>
      </c>
      <c r="Q40" s="83">
        <f t="shared" si="108"/>
        <v>1817757.6482707576</v>
      </c>
      <c r="R40" s="83">
        <f t="shared" si="109"/>
        <v>49313.794471314955</v>
      </c>
      <c r="S40" s="83">
        <f t="shared" si="110"/>
        <v>854494.59641684091</v>
      </c>
      <c r="T40" s="988"/>
      <c r="U40" s="83">
        <f t="shared" si="111"/>
        <v>4612460.5227359999</v>
      </c>
      <c r="V40" s="83">
        <f>U40*$V$6</f>
        <v>223846.04544696514</v>
      </c>
      <c r="W40" s="83">
        <f t="shared" si="113"/>
        <v>895384.18178786058</v>
      </c>
      <c r="X40" s="83">
        <f t="shared" si="114"/>
        <v>472760.32705265208</v>
      </c>
      <c r="Y40" s="83">
        <f t="shared" si="115"/>
        <v>1602188.9872905656</v>
      </c>
      <c r="Z40" s="83">
        <f t="shared" si="116"/>
        <v>0</v>
      </c>
      <c r="AA40" s="83">
        <f t="shared" si="117"/>
        <v>1216026.3434496557</v>
      </c>
      <c r="AB40" s="83">
        <f t="shared" si="118"/>
        <v>202254.63770830064</v>
      </c>
      <c r="AC40" s="83">
        <f t="shared" si="119"/>
        <v>0</v>
      </c>
      <c r="AD40" s="34"/>
      <c r="AE40" s="47">
        <f t="shared" si="120"/>
        <v>4612460.5227359999</v>
      </c>
      <c r="AF40" s="83">
        <f t="shared" si="121"/>
        <v>349078.21167191974</v>
      </c>
      <c r="AG40" s="47">
        <f t="shared" si="122"/>
        <v>1396312.8466876789</v>
      </c>
      <c r="AH40" s="47">
        <f t="shared" si="123"/>
        <v>124648.37094978763</v>
      </c>
      <c r="AI40" s="47">
        <f t="shared" si="124"/>
        <v>872695.52917979925</v>
      </c>
      <c r="AJ40" s="47">
        <f t="shared" si="125"/>
        <v>249296.74189957525</v>
      </c>
      <c r="AK40" s="47">
        <f t="shared" si="126"/>
        <v>0</v>
      </c>
      <c r="AL40" s="47">
        <f t="shared" si="127"/>
        <v>0</v>
      </c>
      <c r="AM40" s="989">
        <f t="shared" si="128"/>
        <v>1620428.8223472391</v>
      </c>
      <c r="AN40" s="25"/>
    </row>
    <row r="41" spans="1:40">
      <c r="B41" s="227" t="s">
        <v>567</v>
      </c>
      <c r="C41" s="71">
        <v>2.5000000000000001E-3</v>
      </c>
      <c r="D41" s="34"/>
      <c r="E41" s="83"/>
      <c r="F41" s="987">
        <f ca="1">C41*F20</f>
        <v>1514969.9823963542</v>
      </c>
      <c r="G41" s="83">
        <f t="shared" ca="1" si="100"/>
        <v>879415.26392310462</v>
      </c>
      <c r="H41" s="83">
        <f ca="1">$H$6*F41</f>
        <v>355525.92084271519</v>
      </c>
      <c r="I41" s="47">
        <f ca="1">$I$6*F41</f>
        <v>280028.79763053439</v>
      </c>
      <c r="J41" s="83"/>
      <c r="K41" s="83">
        <f t="shared" ca="1" si="102"/>
        <v>879415.26392310462</v>
      </c>
      <c r="L41" s="83">
        <f t="shared" ca="1" si="103"/>
        <v>54600.147972225132</v>
      </c>
      <c r="M41" s="83">
        <f t="shared" ca="1" si="104"/>
        <v>218400.59188890053</v>
      </c>
      <c r="N41" s="83">
        <f t="shared" ca="1" si="105"/>
        <v>11427.517256614348</v>
      </c>
      <c r="O41" s="83">
        <f t="shared" ca="1" si="106"/>
        <v>0</v>
      </c>
      <c r="P41" s="83">
        <f t="shared" ca="1" si="107"/>
        <v>76091.136626426945</v>
      </c>
      <c r="Q41" s="83">
        <f t="shared" ca="1" si="108"/>
        <v>346575.06858270976</v>
      </c>
      <c r="R41" s="83">
        <f t="shared" ca="1" si="109"/>
        <v>9402.2059085975106</v>
      </c>
      <c r="S41" s="83">
        <f t="shared" ca="1" si="110"/>
        <v>162918.59568763044</v>
      </c>
      <c r="T41" s="988"/>
      <c r="U41" s="83">
        <f t="shared" ca="1" si="111"/>
        <v>355525.92084271519</v>
      </c>
      <c r="V41" s="83">
        <f t="shared" ca="1" si="112"/>
        <v>17253.930097015942</v>
      </c>
      <c r="W41" s="83">
        <f t="shared" ca="1" si="113"/>
        <v>69015.720388063768</v>
      </c>
      <c r="X41" s="83">
        <f t="shared" ca="1" si="114"/>
        <v>36440.106052896299</v>
      </c>
      <c r="Y41" s="83">
        <f t="shared" ca="1" si="115"/>
        <v>123495.84614605027</v>
      </c>
      <c r="Z41" s="83">
        <f ca="1">U41*$Z$6</f>
        <v>0</v>
      </c>
      <c r="AA41" s="83">
        <f ca="1">U41*$AA$6</f>
        <v>93730.641897720052</v>
      </c>
      <c r="AB41" s="83">
        <f t="shared" ca="1" si="118"/>
        <v>15589.676260968838</v>
      </c>
      <c r="AC41" s="83">
        <f t="shared" ca="1" si="119"/>
        <v>0</v>
      </c>
      <c r="AD41" s="34"/>
      <c r="AE41" s="47">
        <f t="shared" ca="1" si="120"/>
        <v>280028.79763053439</v>
      </c>
      <c r="AF41" s="83">
        <f t="shared" ca="1" si="121"/>
        <v>21193.0164847288</v>
      </c>
      <c r="AG41" s="47">
        <f t="shared" ca="1" si="122"/>
        <v>84772.065938915199</v>
      </c>
      <c r="AH41" s="47">
        <f t="shared" ca="1" si="123"/>
        <v>7567.5733746917749</v>
      </c>
      <c r="AI41" s="47">
        <f t="shared" ca="1" si="124"/>
        <v>52982.54121182199</v>
      </c>
      <c r="AJ41" s="47">
        <f t="shared" ca="1" si="125"/>
        <v>15135.14674938355</v>
      </c>
      <c r="AK41" s="47">
        <f t="shared" ca="1" si="126"/>
        <v>0</v>
      </c>
      <c r="AL41" s="47">
        <f t="shared" ca="1" si="127"/>
        <v>0</v>
      </c>
      <c r="AM41" s="989">
        <f t="shared" ca="1" si="128"/>
        <v>98378.453870993078</v>
      </c>
      <c r="AN41" s="25"/>
    </row>
    <row r="42" spans="1:40">
      <c r="B42" s="227" t="s">
        <v>568</v>
      </c>
      <c r="C42" s="71">
        <v>2.5000000000000001E-3</v>
      </c>
      <c r="D42" s="34"/>
      <c r="E42" s="83"/>
      <c r="F42" s="987">
        <f ca="1">F20*C42</f>
        <v>1514969.9823963542</v>
      </c>
      <c r="G42" s="83">
        <f t="shared" ca="1" si="100"/>
        <v>879415.26392310462</v>
      </c>
      <c r="H42" s="83">
        <f t="shared" ca="1" si="129"/>
        <v>355525.92084271519</v>
      </c>
      <c r="I42" s="47">
        <f t="shared" ref="I42:I43" ca="1" si="130">$I$6*F42</f>
        <v>280028.79763053439</v>
      </c>
      <c r="J42" s="83"/>
      <c r="K42" s="83">
        <f t="shared" ca="1" si="102"/>
        <v>879415.26392310462</v>
      </c>
      <c r="L42" s="83">
        <f t="shared" ca="1" si="103"/>
        <v>54600.147972225132</v>
      </c>
      <c r="M42" s="83">
        <f t="shared" ca="1" si="104"/>
        <v>218400.59188890053</v>
      </c>
      <c r="N42" s="83">
        <f t="shared" ca="1" si="105"/>
        <v>11427.517256614348</v>
      </c>
      <c r="O42" s="83">
        <f t="shared" ca="1" si="106"/>
        <v>0</v>
      </c>
      <c r="P42" s="83">
        <f t="shared" ca="1" si="107"/>
        <v>76091.136626426945</v>
      </c>
      <c r="Q42" s="83">
        <f t="shared" ca="1" si="108"/>
        <v>346575.06858270976</v>
      </c>
      <c r="R42" s="83">
        <f t="shared" ca="1" si="109"/>
        <v>9402.2059085975106</v>
      </c>
      <c r="S42" s="83">
        <f t="shared" ca="1" si="110"/>
        <v>162918.59568763044</v>
      </c>
      <c r="T42" s="988"/>
      <c r="U42" s="83">
        <f t="shared" ca="1" si="111"/>
        <v>355525.92084271519</v>
      </c>
      <c r="V42" s="83">
        <f t="shared" ca="1" si="112"/>
        <v>17253.930097015942</v>
      </c>
      <c r="W42" s="83">
        <f t="shared" ca="1" si="113"/>
        <v>69015.720388063768</v>
      </c>
      <c r="X42" s="83">
        <f t="shared" ca="1" si="114"/>
        <v>36440.106052896299</v>
      </c>
      <c r="Y42" s="83">
        <f t="shared" ca="1" si="115"/>
        <v>123495.84614605027</v>
      </c>
      <c r="Z42" s="83">
        <f t="shared" ca="1" si="116"/>
        <v>0</v>
      </c>
      <c r="AA42" s="83">
        <f t="shared" ca="1" si="117"/>
        <v>93730.641897720052</v>
      </c>
      <c r="AB42" s="83">
        <f t="shared" ca="1" si="118"/>
        <v>15589.676260968838</v>
      </c>
      <c r="AC42" s="83">
        <f t="shared" ca="1" si="119"/>
        <v>0</v>
      </c>
      <c r="AD42" s="34"/>
      <c r="AE42" s="47">
        <f t="shared" ca="1" si="120"/>
        <v>280028.79763053439</v>
      </c>
      <c r="AF42" s="83">
        <f t="shared" ca="1" si="121"/>
        <v>21193.0164847288</v>
      </c>
      <c r="AG42" s="47">
        <f t="shared" ca="1" si="122"/>
        <v>84772.065938915199</v>
      </c>
      <c r="AH42" s="47">
        <f t="shared" ca="1" si="123"/>
        <v>7567.5733746917749</v>
      </c>
      <c r="AI42" s="47">
        <f t="shared" ca="1" si="124"/>
        <v>52982.54121182199</v>
      </c>
      <c r="AJ42" s="47">
        <f t="shared" ca="1" si="125"/>
        <v>15135.14674938355</v>
      </c>
      <c r="AK42" s="47">
        <f t="shared" ca="1" si="126"/>
        <v>0</v>
      </c>
      <c r="AL42" s="47">
        <f t="shared" ca="1" si="127"/>
        <v>0</v>
      </c>
      <c r="AM42" s="989">
        <f t="shared" ca="1" si="128"/>
        <v>98378.453870993078</v>
      </c>
      <c r="AN42" s="25"/>
    </row>
    <row r="43" spans="1:40">
      <c r="B43" s="227" t="s">
        <v>569</v>
      </c>
      <c r="C43" s="244">
        <v>0.05</v>
      </c>
      <c r="D43" s="34"/>
      <c r="E43" s="83"/>
      <c r="F43" s="987">
        <f ca="1">SUM(F28:F42)*C43</f>
        <v>3185321.0819049319</v>
      </c>
      <c r="G43" s="83">
        <f t="shared" ca="1" si="100"/>
        <v>1849026.7216333435</v>
      </c>
      <c r="H43" s="83">
        <f t="shared" ca="1" si="129"/>
        <v>747515.94023840106</v>
      </c>
      <c r="I43" s="47">
        <f t="shared" ca="1" si="130"/>
        <v>588778.42003318737</v>
      </c>
      <c r="J43" s="83"/>
      <c r="K43" s="83">
        <f t="shared" ca="1" si="102"/>
        <v>1849026.7216333435</v>
      </c>
      <c r="L43" s="83">
        <f t="shared" ca="1" si="103"/>
        <v>114800.29600055532</v>
      </c>
      <c r="M43" s="83">
        <f t="shared" ca="1" si="104"/>
        <v>459201.18400222127</v>
      </c>
      <c r="N43" s="83">
        <f t="shared" ca="1" si="105"/>
        <v>24027.084400542833</v>
      </c>
      <c r="O43" s="83">
        <f t="shared" ca="1" si="106"/>
        <v>0</v>
      </c>
      <c r="P43" s="83">
        <f t="shared" ca="1" si="107"/>
        <v>159986.4713219479</v>
      </c>
      <c r="Q43" s="83">
        <f t="shared" ca="1" si="108"/>
        <v>728696.20206793724</v>
      </c>
      <c r="R43" s="83">
        <f t="shared" ca="1" si="109"/>
        <v>19768.738024560636</v>
      </c>
      <c r="S43" s="83">
        <f t="shared" ca="1" si="110"/>
        <v>342546.74581557838</v>
      </c>
      <c r="T43" s="988"/>
      <c r="U43" s="83">
        <f t="shared" ca="1" si="111"/>
        <v>747515.94023840106</v>
      </c>
      <c r="V43" s="83">
        <f t="shared" ca="1" si="112"/>
        <v>36277.489271969054</v>
      </c>
      <c r="W43" s="83">
        <f t="shared" ca="1" si="113"/>
        <v>145109.95708787622</v>
      </c>
      <c r="X43" s="83">
        <f t="shared" ca="1" si="114"/>
        <v>76617.648789013663</v>
      </c>
      <c r="Y43" s="83">
        <f t="shared" ca="1" si="115"/>
        <v>259657.89872250112</v>
      </c>
      <c r="Z43" s="83">
        <f t="shared" ca="1" si="116"/>
        <v>0</v>
      </c>
      <c r="AA43" s="83">
        <f t="shared" ca="1" si="117"/>
        <v>197074.65700741389</v>
      </c>
      <c r="AB43" s="83">
        <f t="shared" ca="1" si="118"/>
        <v>32778.28935962711</v>
      </c>
      <c r="AC43" s="83">
        <f t="shared" ca="1" si="119"/>
        <v>0</v>
      </c>
      <c r="AD43" s="34"/>
      <c r="AE43" s="47">
        <f t="shared" ca="1" si="120"/>
        <v>588778.42003318737</v>
      </c>
      <c r="AF43" s="83">
        <f t="shared" ca="1" si="121"/>
        <v>44559.66981681357</v>
      </c>
      <c r="AG43" s="47">
        <f t="shared" ca="1" si="122"/>
        <v>178238.67926725428</v>
      </c>
      <c r="AH43" s="47">
        <f t="shared" ca="1" si="123"/>
        <v>15911.306025442853</v>
      </c>
      <c r="AI43" s="47">
        <f t="shared" ca="1" si="124"/>
        <v>111399.1745420339</v>
      </c>
      <c r="AJ43" s="47">
        <f t="shared" ca="1" si="125"/>
        <v>31822.612050885706</v>
      </c>
      <c r="AK43" s="47">
        <f t="shared" ca="1" si="126"/>
        <v>0</v>
      </c>
      <c r="AL43" s="47">
        <f t="shared" ca="1" si="127"/>
        <v>0</v>
      </c>
      <c r="AM43" s="989">
        <f t="shared" ca="1" si="128"/>
        <v>206846.97833075709</v>
      </c>
      <c r="AN43" s="25"/>
    </row>
    <row r="44" spans="1:40" s="9" customFormat="1">
      <c r="B44" s="227" t="s">
        <v>570</v>
      </c>
      <c r="C44" s="34"/>
      <c r="D44" s="34"/>
      <c r="E44" s="83"/>
      <c r="F44" s="987">
        <f ca="1">SUM(F28:F43)</f>
        <v>66891742.720003568</v>
      </c>
      <c r="G44" s="83">
        <f ca="1">SUM(G28:G43)</f>
        <v>35409648.293266632</v>
      </c>
      <c r="H44" s="83">
        <f t="shared" ref="H44:I44" ca="1" si="131">SUM(H28:H43)</f>
        <v>17063004.640698105</v>
      </c>
      <c r="I44" s="83">
        <f t="shared" ca="1" si="131"/>
        <v>14419089.786038818</v>
      </c>
      <c r="J44" s="83"/>
      <c r="K44" s="83">
        <f ca="1">G44</f>
        <v>35409648.293266632</v>
      </c>
      <c r="L44" s="83">
        <f ca="1">SUM(L28:L43)</f>
        <v>2198474.5043336656</v>
      </c>
      <c r="M44" s="83">
        <f t="shared" ref="M44:S44" ca="1" si="132">SUM(M28:M43)</f>
        <v>8793898.0173346624</v>
      </c>
      <c r="N44" s="83">
        <f t="shared" ca="1" si="132"/>
        <v>460128.88736637955</v>
      </c>
      <c r="O44" s="83">
        <f t="shared" ca="1" si="132"/>
        <v>0</v>
      </c>
      <c r="P44" s="83">
        <f t="shared" ca="1" si="132"/>
        <v>3063808.9838889465</v>
      </c>
      <c r="Q44" s="83">
        <f t="shared" ca="1" si="132"/>
        <v>13954842.256185329</v>
      </c>
      <c r="R44" s="83">
        <f t="shared" ca="1" si="132"/>
        <v>378579.74277033051</v>
      </c>
      <c r="S44" s="83">
        <f t="shared" ca="1" si="132"/>
        <v>6559915.9013873171</v>
      </c>
      <c r="T44" s="988"/>
      <c r="U44" s="83">
        <f t="shared" ca="1" si="111"/>
        <v>17063004.640698105</v>
      </c>
      <c r="V44" s="83">
        <f t="shared" ca="1" si="112"/>
        <v>828079.95720207458</v>
      </c>
      <c r="W44" s="83">
        <f t="shared" ca="1" si="113"/>
        <v>3312319.8288082983</v>
      </c>
      <c r="X44" s="83">
        <f ca="1">U44*$X$6</f>
        <v>1748895.5438587426</v>
      </c>
      <c r="Y44" s="83">
        <f t="shared" ca="1" si="115"/>
        <v>5927022.6792527614</v>
      </c>
      <c r="Z44" s="83">
        <f t="shared" ref="Z44" ca="1" si="133">U44*$Z$6</f>
        <v>0</v>
      </c>
      <c r="AA44" s="83">
        <f t="shared" ref="AA44" ca="1" si="134">U44*$AA$6</f>
        <v>4498480.374892137</v>
      </c>
      <c r="AB44" s="83">
        <f t="shared" ref="AB44" ca="1" si="135">U44*$AB$6</f>
        <v>748206.25668409094</v>
      </c>
      <c r="AC44" s="83">
        <f t="shared" ref="AC44" ca="1" si="136">U44*$AC$6</f>
        <v>0</v>
      </c>
      <c r="AD44" s="34"/>
      <c r="AE44" s="47">
        <f t="shared" ca="1" si="120"/>
        <v>14419089.786038818</v>
      </c>
      <c r="AF44" s="83">
        <f t="shared" ca="1" si="121"/>
        <v>1091259.2208944457</v>
      </c>
      <c r="AG44" s="47">
        <f t="shared" ca="1" si="122"/>
        <v>4365036.8835777827</v>
      </c>
      <c r="AH44" s="47">
        <f t="shared" ca="1" si="123"/>
        <v>389665.3518331548</v>
      </c>
      <c r="AI44" s="47">
        <f t="shared" ca="1" si="124"/>
        <v>2728148.0522361137</v>
      </c>
      <c r="AJ44" s="47">
        <f t="shared" ca="1" si="125"/>
        <v>779330.70366630959</v>
      </c>
      <c r="AK44" s="47">
        <f t="shared" ca="1" si="126"/>
        <v>0</v>
      </c>
      <c r="AL44" s="47">
        <f t="shared" ca="1" si="127"/>
        <v>0</v>
      </c>
      <c r="AM44" s="989">
        <f t="shared" ca="1" si="128"/>
        <v>5065649.5738310125</v>
      </c>
      <c r="AN44" s="79"/>
    </row>
    <row r="45" spans="1:40">
      <c r="B45" s="227"/>
      <c r="C45" s="34"/>
      <c r="D45" s="34"/>
      <c r="E45" s="34"/>
      <c r="F45" s="32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982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47"/>
      <c r="AH45" s="34"/>
      <c r="AI45" s="34"/>
      <c r="AJ45" s="34"/>
      <c r="AK45" s="34"/>
      <c r="AL45" s="34"/>
      <c r="AM45" s="229"/>
    </row>
    <row r="46" spans="1:40">
      <c r="B46" s="805" t="s">
        <v>522</v>
      </c>
      <c r="C46" s="448" t="s">
        <v>652</v>
      </c>
      <c r="D46" s="806"/>
      <c r="E46" s="806"/>
      <c r="F46" s="806" t="s">
        <v>55</v>
      </c>
      <c r="G46" s="806" t="s">
        <v>4</v>
      </c>
      <c r="H46" s="806" t="s">
        <v>5</v>
      </c>
      <c r="I46" s="806" t="s">
        <v>6</v>
      </c>
      <c r="J46" s="9"/>
      <c r="K46" s="810" t="s">
        <v>538</v>
      </c>
      <c r="L46" s="810" t="s">
        <v>209</v>
      </c>
      <c r="M46" s="810" t="s">
        <v>210</v>
      </c>
      <c r="N46" s="810" t="s">
        <v>109</v>
      </c>
      <c r="O46" s="810" t="s">
        <v>15</v>
      </c>
      <c r="P46" s="810" t="s">
        <v>211</v>
      </c>
      <c r="Q46" s="810" t="s">
        <v>212</v>
      </c>
      <c r="R46" s="810" t="s">
        <v>23</v>
      </c>
      <c r="S46" s="810" t="s">
        <v>213</v>
      </c>
      <c r="T46" s="811"/>
      <c r="U46" s="812" t="s">
        <v>538</v>
      </c>
      <c r="V46" s="812" t="s">
        <v>209</v>
      </c>
      <c r="W46" s="812" t="s">
        <v>210</v>
      </c>
      <c r="X46" s="812" t="s">
        <v>109</v>
      </c>
      <c r="Y46" s="812" t="s">
        <v>15</v>
      </c>
      <c r="Z46" s="812" t="s">
        <v>211</v>
      </c>
      <c r="AA46" s="812" t="s">
        <v>212</v>
      </c>
      <c r="AB46" s="812" t="s">
        <v>23</v>
      </c>
      <c r="AC46" s="812" t="s">
        <v>213</v>
      </c>
      <c r="AD46" s="9"/>
      <c r="AE46" s="813" t="s">
        <v>538</v>
      </c>
      <c r="AF46" s="813" t="s">
        <v>209</v>
      </c>
      <c r="AG46" s="813" t="s">
        <v>210</v>
      </c>
      <c r="AH46" s="813" t="s">
        <v>109</v>
      </c>
      <c r="AI46" s="813" t="s">
        <v>15</v>
      </c>
      <c r="AJ46" s="813" t="s">
        <v>211</v>
      </c>
      <c r="AK46" s="813" t="s">
        <v>212</v>
      </c>
      <c r="AL46" s="813" t="s">
        <v>23</v>
      </c>
      <c r="AM46" s="814" t="s">
        <v>213</v>
      </c>
    </row>
    <row r="47" spans="1:40">
      <c r="A47" s="69"/>
      <c r="B47" s="227" t="s">
        <v>571</v>
      </c>
      <c r="C47" s="71">
        <v>0.05</v>
      </c>
      <c r="D47" s="34"/>
      <c r="E47" s="83"/>
      <c r="F47" s="987">
        <f ca="1">'Financing Costs'!C3</f>
        <v>13591761.144390333</v>
      </c>
      <c r="G47" s="83">
        <f ca="1">'Financing Costs'!D3</f>
        <v>3588321.9426140045</v>
      </c>
      <c r="H47" s="83">
        <f ca="1">'Financing Costs'!E3</f>
        <v>8989844.3932101633</v>
      </c>
      <c r="I47" s="83">
        <f ca="1">'Financing Costs'!F3</f>
        <v>1013594.8085661652</v>
      </c>
      <c r="J47" s="83"/>
      <c r="K47" s="83">
        <f ca="1">G47</f>
        <v>3588321.9426140045</v>
      </c>
      <c r="L47" s="85">
        <f ca="1">K47*$L$6</f>
        <v>222787.70573606773</v>
      </c>
      <c r="M47" s="83">
        <f ca="1">$M$6*K47</f>
        <v>891150.82294427091</v>
      </c>
      <c r="N47" s="83">
        <f ca="1">K47*$N$6</f>
        <v>46628.268354795073</v>
      </c>
      <c r="O47" s="83">
        <f ca="1">K47*$O$6</f>
        <v>0</v>
      </c>
      <c r="P47" s="83">
        <f ca="1">K47*$P$6</f>
        <v>310478.45812569646</v>
      </c>
      <c r="Q47" s="83">
        <f ca="1">K47*$Q$6</f>
        <v>1414147.5300422262</v>
      </c>
      <c r="R47" s="83">
        <f ca="1">K47*$R$6</f>
        <v>38364.289494235491</v>
      </c>
      <c r="S47" s="83">
        <f ca="1">$S$6*K47</f>
        <v>664764.86791671265</v>
      </c>
      <c r="T47" s="982"/>
      <c r="U47" s="83">
        <f ca="1">H47</f>
        <v>8989844.3932101633</v>
      </c>
      <c r="V47" s="83">
        <f ca="1">U47*$V$6</f>
        <v>436283.65092434332</v>
      </c>
      <c r="W47" s="83">
        <f ca="1">U47*$W$6</f>
        <v>1745134.6036973733</v>
      </c>
      <c r="X47" s="83">
        <f ca="1">U47*$X$6</f>
        <v>921426.15737022401</v>
      </c>
      <c r="Y47" s="83">
        <f ca="1">U47*$Y$6</f>
        <v>3122721.5091075501</v>
      </c>
      <c r="Z47" s="83">
        <f ca="1">U47*$Z$6</f>
        <v>0</v>
      </c>
      <c r="AA47" s="83">
        <f ca="1">U47*$AA$6</f>
        <v>2370077.2183893318</v>
      </c>
      <c r="AB47" s="83">
        <f ca="1">U47*$AB$6</f>
        <v>394201.25372134021</v>
      </c>
      <c r="AC47" s="83">
        <f ca="1">U47*$AC$6</f>
        <v>0</v>
      </c>
      <c r="AD47" s="34"/>
      <c r="AE47" s="83">
        <f ca="1">I47</f>
        <v>1013594.8085661652</v>
      </c>
      <c r="AF47" s="83">
        <f ca="1">AE47*$AF$6</f>
        <v>76710.437171251717</v>
      </c>
      <c r="AG47" s="47">
        <f ca="1">AE47*$AG$6</f>
        <v>306841.74868500687</v>
      </c>
      <c r="AH47" s="47">
        <f ca="1">AE47*$AH$6</f>
        <v>27391.658111361081</v>
      </c>
      <c r="AI47" s="47">
        <f ca="1">AE47*$AI$6</f>
        <v>191776.09292812928</v>
      </c>
      <c r="AJ47" s="47">
        <f ca="1">AE47*$AJ$6</f>
        <v>54783.316222722162</v>
      </c>
      <c r="AK47" s="47">
        <f ca="1">AE47*$AK$6</f>
        <v>0</v>
      </c>
      <c r="AL47" s="47">
        <f ca="1">AE47*$AL$6</f>
        <v>0</v>
      </c>
      <c r="AM47" s="989">
        <f ca="1">AE47*$AM$6</f>
        <v>356091.55544769403</v>
      </c>
    </row>
    <row r="48" spans="1:40">
      <c r="B48" s="227" t="s">
        <v>572</v>
      </c>
      <c r="C48" s="34"/>
      <c r="D48" s="34"/>
      <c r="E48" s="83"/>
      <c r="F48" s="987">
        <f ca="1">'Financing Costs'!C4</f>
        <v>45487876.248591565</v>
      </c>
      <c r="G48" s="83">
        <f ca="1">'Financing Costs'!D4</f>
        <v>26356224.668499865</v>
      </c>
      <c r="H48" s="83">
        <f ca="1">'Financing Costs'!E4</f>
        <v>11686797.711173214</v>
      </c>
      <c r="I48" s="83">
        <f ca="1">'Financing Costs'!F4</f>
        <v>7444853.8689184831</v>
      </c>
      <c r="J48" s="83"/>
      <c r="K48" s="83">
        <f t="shared" ref="K48:K55" ca="1" si="137">G48</f>
        <v>26356224.668499865</v>
      </c>
      <c r="L48" s="85">
        <f t="shared" ref="L48:L55" ca="1" si="138">K48*$L$6</f>
        <v>1636375.6986314177</v>
      </c>
      <c r="M48" s="83">
        <f t="shared" ref="M48:M55" ca="1" si="139">$M$6*K48</f>
        <v>6545502.7945256708</v>
      </c>
      <c r="N48" s="83">
        <f t="shared" ref="N48:N55" ca="1" si="140">K48*$N$6</f>
        <v>342484.63106596982</v>
      </c>
      <c r="O48" s="83">
        <f t="shared" ref="O48:O55" ca="1" si="141">K48*$O$6</f>
        <v>0</v>
      </c>
      <c r="P48" s="83">
        <f t="shared" ref="P48:P55" ca="1" si="142">K48*$P$6</f>
        <v>2280464.2749332408</v>
      </c>
      <c r="Q48" s="83">
        <f t="shared" ref="Q48:Q55" ca="1" si="143">K48*$Q$6</f>
        <v>10386913.608160151</v>
      </c>
      <c r="R48" s="83">
        <f t="shared" ref="R48:R55" ca="1" si="144">K48*$R$6</f>
        <v>281785.70633515966</v>
      </c>
      <c r="S48" s="83">
        <f t="shared" ref="S48:S55" ca="1" si="145">$S$6*K48</f>
        <v>4882697.954848255</v>
      </c>
      <c r="T48" s="982"/>
      <c r="U48" s="83">
        <f t="shared" ref="U48:U55" ca="1" si="146">H48</f>
        <v>11686797.711173214</v>
      </c>
      <c r="V48" s="83">
        <f t="shared" ref="V48:V55" ca="1" si="147">U48*$V$6</f>
        <v>567168.7462016464</v>
      </c>
      <c r="W48" s="83">
        <f t="shared" ref="W48:W55" ca="1" si="148">U48*$W$6</f>
        <v>2268674.9848065856</v>
      </c>
      <c r="X48" s="83">
        <f t="shared" ref="X48:X55" ca="1" si="149">U48*$X$6</f>
        <v>1197854.0045812915</v>
      </c>
      <c r="Y48" s="83">
        <f t="shared" ref="Y48:Y55" ca="1" si="150">U48*$Y$6</f>
        <v>4059537.9618398161</v>
      </c>
      <c r="Z48" s="83">
        <f t="shared" ref="Z48:Z55" ca="1" si="151">U48*$Z$6</f>
        <v>0</v>
      </c>
      <c r="AA48" s="83">
        <f t="shared" ref="AA48:AA55" ca="1" si="152">U48*$AA$6</f>
        <v>3081100.3839061321</v>
      </c>
      <c r="AB48" s="83">
        <f t="shared" ref="AB48:AB55" ca="1" si="153">U48*$AB$6</f>
        <v>512461.62983774237</v>
      </c>
      <c r="AC48" s="83">
        <f t="shared" ref="AC48:AC55" ca="1" si="154">U48*$AC$6</f>
        <v>0</v>
      </c>
      <c r="AD48" s="34"/>
      <c r="AE48" s="83">
        <f t="shared" ref="AE48:AE55" ca="1" si="155">I48</f>
        <v>7444853.8689184831</v>
      </c>
      <c r="AF48" s="83">
        <f t="shared" ref="AF48:AF55" ca="1" si="156">AE48*$AF$6</f>
        <v>563438.16102284391</v>
      </c>
      <c r="AG48" s="47">
        <f t="shared" ref="AG48:AG55" ca="1" si="157">AE48*$AG$6</f>
        <v>2253752.6440913756</v>
      </c>
      <c r="AH48" s="47">
        <f t="shared" ref="AH48:AH55" ca="1" si="158">AE48*$AH$6</f>
        <v>201191.72882794714</v>
      </c>
      <c r="AI48" s="47">
        <f t="shared" ref="AI48:AI55" ca="1" si="159">AE48*$AI$6</f>
        <v>1408595.4025571095</v>
      </c>
      <c r="AJ48" s="47">
        <f t="shared" ref="AJ48:AJ55" ca="1" si="160">AE48*$AJ$6</f>
        <v>402383.45765589428</v>
      </c>
      <c r="AK48" s="47">
        <f t="shared" ref="AK48:AK55" ca="1" si="161">AE48*$AK$6</f>
        <v>0</v>
      </c>
      <c r="AL48" s="47">
        <f t="shared" ref="AL48:AL55" ca="1" si="162">AE48*$AL$6</f>
        <v>0</v>
      </c>
      <c r="AM48" s="989">
        <f t="shared" ref="AM48:AM55" ca="1" si="163">AE48*$AM$6</f>
        <v>2615492.4747633128</v>
      </c>
      <c r="AN48" s="25"/>
    </row>
    <row r="49" spans="2:40">
      <c r="B49" s="227" t="s">
        <v>573</v>
      </c>
      <c r="C49" s="34"/>
      <c r="D49" s="34"/>
      <c r="E49" s="83"/>
      <c r="F49" s="987">
        <f>'Financing Costs'!C5</f>
        <v>694804.87226999993</v>
      </c>
      <c r="G49" s="83">
        <f>'Financing Costs'!D5</f>
        <v>144180.67345</v>
      </c>
      <c r="H49" s="83">
        <f>'Financing Costs'!E5</f>
        <v>362820.65239999996</v>
      </c>
      <c r="I49" s="83">
        <f>'Financing Costs'!F5</f>
        <v>187803.54641999997</v>
      </c>
      <c r="J49" s="83"/>
      <c r="K49" s="83">
        <f t="shared" si="137"/>
        <v>144180.67345</v>
      </c>
      <c r="L49" s="85">
        <f t="shared" si="138"/>
        <v>8951.7278446891014</v>
      </c>
      <c r="M49" s="83">
        <f t="shared" si="139"/>
        <v>35806.911378756406</v>
      </c>
      <c r="N49" s="83">
        <f t="shared" si="140"/>
        <v>1873.5484833069947</v>
      </c>
      <c r="O49" s="83">
        <f t="shared" si="141"/>
        <v>0</v>
      </c>
      <c r="P49" s="83">
        <f t="shared" si="142"/>
        <v>12475.188653688732</v>
      </c>
      <c r="Q49" s="83">
        <f t="shared" si="143"/>
        <v>56821.195673042486</v>
      </c>
      <c r="R49" s="83">
        <f t="shared" si="144"/>
        <v>1541.4974420272199</v>
      </c>
      <c r="S49" s="83">
        <f t="shared" si="145"/>
        <v>26710.603974489059</v>
      </c>
      <c r="T49" s="982"/>
      <c r="U49" s="83">
        <f t="shared" si="146"/>
        <v>362820.65239999996</v>
      </c>
      <c r="V49" s="83">
        <f t="shared" si="147"/>
        <v>17607.948695906147</v>
      </c>
      <c r="W49" s="83">
        <f t="shared" si="148"/>
        <v>70431.794783624588</v>
      </c>
      <c r="X49" s="83">
        <f t="shared" si="149"/>
        <v>37187.789346831043</v>
      </c>
      <c r="Y49" s="83">
        <f t="shared" si="150"/>
        <v>126029.75153314503</v>
      </c>
      <c r="Z49" s="83">
        <f t="shared" si="151"/>
        <v>0</v>
      </c>
      <c r="AA49" s="83">
        <f t="shared" si="152"/>
        <v>95653.820578236977</v>
      </c>
      <c r="AB49" s="83">
        <f t="shared" si="153"/>
        <v>15909.547462256165</v>
      </c>
      <c r="AC49" s="83">
        <f t="shared" si="154"/>
        <v>0</v>
      </c>
      <c r="AD49" s="34"/>
      <c r="AE49" s="83">
        <f t="shared" si="155"/>
        <v>187803.54641999997</v>
      </c>
      <c r="AF49" s="83">
        <f t="shared" si="156"/>
        <v>14213.265524286908</v>
      </c>
      <c r="AG49" s="47">
        <f t="shared" si="157"/>
        <v>56853.062097147631</v>
      </c>
      <c r="AH49" s="47">
        <f t="shared" si="158"/>
        <v>5075.2534367405106</v>
      </c>
      <c r="AI49" s="47">
        <f t="shared" si="159"/>
        <v>35533.163810717262</v>
      </c>
      <c r="AJ49" s="47">
        <f t="shared" si="160"/>
        <v>10150.506873481021</v>
      </c>
      <c r="AK49" s="47">
        <f t="shared" si="161"/>
        <v>0</v>
      </c>
      <c r="AL49" s="47">
        <f t="shared" si="162"/>
        <v>0</v>
      </c>
      <c r="AM49" s="989">
        <f t="shared" si="163"/>
        <v>65978.294677626633</v>
      </c>
      <c r="AN49" s="25"/>
    </row>
    <row r="50" spans="2:40">
      <c r="B50" s="227" t="s">
        <v>574</v>
      </c>
      <c r="C50" s="34"/>
      <c r="D50" s="34"/>
      <c r="E50" s="83"/>
      <c r="F50" s="987">
        <f>'Financing Costs'!C6</f>
        <v>4168829.2336199991</v>
      </c>
      <c r="G50" s="83">
        <f>'Financing Costs'!D6</f>
        <v>865084.0406999999</v>
      </c>
      <c r="H50" s="83">
        <f>'Financing Costs'!E6</f>
        <v>2176923.9143999997</v>
      </c>
      <c r="I50" s="83">
        <f>'Financing Costs'!F6</f>
        <v>1126821.2785199997</v>
      </c>
      <c r="J50" s="83"/>
      <c r="K50" s="83">
        <f t="shared" si="137"/>
        <v>865084.0406999999</v>
      </c>
      <c r="L50" s="85">
        <f t="shared" si="138"/>
        <v>53710.367068134605</v>
      </c>
      <c r="M50" s="83">
        <f t="shared" si="139"/>
        <v>214841.46827253842</v>
      </c>
      <c r="N50" s="83">
        <f t="shared" si="140"/>
        <v>11241.290899841966</v>
      </c>
      <c r="O50" s="83">
        <f t="shared" si="141"/>
        <v>0</v>
      </c>
      <c r="P50" s="83">
        <f t="shared" si="142"/>
        <v>74851.131922132394</v>
      </c>
      <c r="Q50" s="83">
        <f t="shared" si="143"/>
        <v>340927.17403825489</v>
      </c>
      <c r="R50" s="83">
        <f t="shared" si="144"/>
        <v>9248.984652163319</v>
      </c>
      <c r="S50" s="83">
        <f t="shared" si="145"/>
        <v>160263.62384693435</v>
      </c>
      <c r="T50" s="982"/>
      <c r="U50" s="83">
        <f t="shared" si="146"/>
        <v>2176923.9143999997</v>
      </c>
      <c r="V50" s="83">
        <f t="shared" si="147"/>
        <v>105647.69217543688</v>
      </c>
      <c r="W50" s="83">
        <f t="shared" si="148"/>
        <v>422590.76870174753</v>
      </c>
      <c r="X50" s="83">
        <f t="shared" si="149"/>
        <v>223126.73608098627</v>
      </c>
      <c r="Y50" s="83">
        <f t="shared" si="150"/>
        <v>756178.50919887016</v>
      </c>
      <c r="Z50" s="83">
        <f t="shared" si="151"/>
        <v>0</v>
      </c>
      <c r="AA50" s="83">
        <f t="shared" si="152"/>
        <v>573922.9234694218</v>
      </c>
      <c r="AB50" s="83">
        <f t="shared" si="153"/>
        <v>95457.284773536987</v>
      </c>
      <c r="AC50" s="83">
        <f t="shared" si="154"/>
        <v>0</v>
      </c>
      <c r="AD50" s="34"/>
      <c r="AE50" s="83">
        <f t="shared" si="155"/>
        <v>1126821.2785199997</v>
      </c>
      <c r="AF50" s="83">
        <f t="shared" si="156"/>
        <v>85279.593145721446</v>
      </c>
      <c r="AG50" s="47">
        <f t="shared" si="157"/>
        <v>341118.37258288579</v>
      </c>
      <c r="AH50" s="47">
        <f t="shared" si="158"/>
        <v>30451.520620443061</v>
      </c>
      <c r="AI50" s="47">
        <f t="shared" si="159"/>
        <v>213198.98286430357</v>
      </c>
      <c r="AJ50" s="47">
        <f t="shared" si="160"/>
        <v>60903.041240886123</v>
      </c>
      <c r="AK50" s="47">
        <f t="shared" si="161"/>
        <v>0</v>
      </c>
      <c r="AL50" s="47">
        <f t="shared" si="162"/>
        <v>0</v>
      </c>
      <c r="AM50" s="989">
        <f t="shared" si="163"/>
        <v>395869.7680657598</v>
      </c>
      <c r="AN50" s="25"/>
    </row>
    <row r="51" spans="2:40">
      <c r="B51" s="227" t="s">
        <v>575</v>
      </c>
      <c r="C51" s="34"/>
      <c r="D51" s="34"/>
      <c r="E51" s="83"/>
      <c r="F51" s="987">
        <f>'Financing Costs'!C7</f>
        <v>82213.40134210822</v>
      </c>
      <c r="G51" s="83">
        <f>'Financing Costs'!D7</f>
        <v>82213.400000000009</v>
      </c>
      <c r="H51" s="83">
        <f>'Financing Costs'!E7</f>
        <v>1.3421082063038981E-3</v>
      </c>
      <c r="I51" s="83">
        <f>'Financing Costs'!F7</f>
        <v>0</v>
      </c>
      <c r="J51" s="83"/>
      <c r="K51" s="83">
        <f t="shared" si="137"/>
        <v>82213.400000000009</v>
      </c>
      <c r="L51" s="85">
        <f t="shared" si="138"/>
        <v>5104.3733142346691</v>
      </c>
      <c r="M51" s="83">
        <f t="shared" si="139"/>
        <v>20417.493256938676</v>
      </c>
      <c r="N51" s="83">
        <f t="shared" si="140"/>
        <v>1068.3178763964311</v>
      </c>
      <c r="O51" s="83">
        <f t="shared" si="141"/>
        <v>0</v>
      </c>
      <c r="P51" s="83">
        <f t="shared" si="142"/>
        <v>7113.4892792469018</v>
      </c>
      <c r="Q51" s="83">
        <f t="shared" si="143"/>
        <v>32400.068445831716</v>
      </c>
      <c r="R51" s="83">
        <f t="shared" si="144"/>
        <v>878.97873388911307</v>
      </c>
      <c r="S51" s="83">
        <f t="shared" si="145"/>
        <v>15230.679093462502</v>
      </c>
      <c r="T51" s="982"/>
      <c r="U51" s="83">
        <f t="shared" si="146"/>
        <v>1.3421082063038981E-3</v>
      </c>
      <c r="V51" s="83">
        <f t="shared" si="147"/>
        <v>6.5133482023785878E-5</v>
      </c>
      <c r="W51" s="83">
        <f t="shared" si="148"/>
        <v>2.6053392809514351E-4</v>
      </c>
      <c r="X51" s="83">
        <f t="shared" si="149"/>
        <v>1.3756118050760286E-4</v>
      </c>
      <c r="Y51" s="83">
        <f t="shared" si="150"/>
        <v>4.6619607415455727E-4</v>
      </c>
      <c r="Z51" s="83">
        <f t="shared" si="151"/>
        <v>0</v>
      </c>
      <c r="AA51" s="83">
        <f t="shared" si="152"/>
        <v>3.5383260768970639E-4</v>
      </c>
      <c r="AB51" s="83">
        <f t="shared" si="153"/>
        <v>5.8850933833102162E-5</v>
      </c>
      <c r="AC51" s="83">
        <f t="shared" si="154"/>
        <v>0</v>
      </c>
      <c r="AD51" s="34"/>
      <c r="AE51" s="83">
        <f t="shared" si="155"/>
        <v>0</v>
      </c>
      <c r="AF51" s="83">
        <f t="shared" si="156"/>
        <v>0</v>
      </c>
      <c r="AG51" s="47">
        <f t="shared" si="157"/>
        <v>0</v>
      </c>
      <c r="AH51" s="47">
        <f t="shared" si="158"/>
        <v>0</v>
      </c>
      <c r="AI51" s="47">
        <f t="shared" si="159"/>
        <v>0</v>
      </c>
      <c r="AJ51" s="47">
        <f t="shared" si="160"/>
        <v>0</v>
      </c>
      <c r="AK51" s="47">
        <f t="shared" si="161"/>
        <v>0</v>
      </c>
      <c r="AL51" s="47">
        <f t="shared" si="162"/>
        <v>0</v>
      </c>
      <c r="AM51" s="989">
        <f t="shared" si="163"/>
        <v>0</v>
      </c>
      <c r="AN51" s="25"/>
    </row>
    <row r="52" spans="2:40">
      <c r="B52" s="227" t="s">
        <v>576</v>
      </c>
      <c r="C52" s="34"/>
      <c r="D52" s="34"/>
      <c r="E52" s="83"/>
      <c r="F52" s="987">
        <f>'Financing Costs'!C8</f>
        <v>184980.15301974345</v>
      </c>
      <c r="G52" s="83">
        <f>'Financing Costs'!D8</f>
        <v>184980.15</v>
      </c>
      <c r="H52" s="83">
        <f>'Financing Costs'!E8</f>
        <v>3.0197434641837705E-3</v>
      </c>
      <c r="I52" s="83">
        <f>'Financing Costs'!F8</f>
        <v>0</v>
      </c>
      <c r="J52" s="83"/>
      <c r="K52" s="83">
        <f t="shared" si="137"/>
        <v>184980.15</v>
      </c>
      <c r="L52" s="85">
        <f t="shared" si="138"/>
        <v>11484.839957028005</v>
      </c>
      <c r="M52" s="83">
        <f t="shared" si="139"/>
        <v>45939.359828112021</v>
      </c>
      <c r="N52" s="83">
        <f t="shared" si="140"/>
        <v>2403.7152218919696</v>
      </c>
      <c r="O52" s="83">
        <f t="shared" si="141"/>
        <v>0</v>
      </c>
      <c r="P52" s="83">
        <f t="shared" si="142"/>
        <v>16005.350878305526</v>
      </c>
      <c r="Q52" s="83">
        <f t="shared" si="143"/>
        <v>72900.154003121352</v>
      </c>
      <c r="R52" s="83">
        <f t="shared" si="144"/>
        <v>1977.7021512505041</v>
      </c>
      <c r="S52" s="83">
        <f t="shared" si="145"/>
        <v>34269.027960290623</v>
      </c>
      <c r="T52" s="982"/>
      <c r="U52" s="83">
        <f t="shared" si="146"/>
        <v>3.0197434641837705E-3</v>
      </c>
      <c r="V52" s="83">
        <f t="shared" si="147"/>
        <v>1.465503345535182E-4</v>
      </c>
      <c r="W52" s="83">
        <f t="shared" si="148"/>
        <v>5.862013382140728E-4</v>
      </c>
      <c r="X52" s="83">
        <f t="shared" si="149"/>
        <v>3.0951265614210637E-4</v>
      </c>
      <c r="Y52" s="83">
        <f t="shared" si="150"/>
        <v>1.0489411668477538E-3</v>
      </c>
      <c r="Z52" s="83">
        <f t="shared" si="151"/>
        <v>0</v>
      </c>
      <c r="AA52" s="83">
        <f t="shared" si="152"/>
        <v>7.9612336730183937E-4</v>
      </c>
      <c r="AB52" s="83">
        <f t="shared" si="153"/>
        <v>1.3241460112447986E-4</v>
      </c>
      <c r="AC52" s="83">
        <f t="shared" si="154"/>
        <v>0</v>
      </c>
      <c r="AD52" s="34"/>
      <c r="AE52" s="83">
        <f t="shared" si="155"/>
        <v>0</v>
      </c>
      <c r="AF52" s="83">
        <f t="shared" si="156"/>
        <v>0</v>
      </c>
      <c r="AG52" s="47">
        <f t="shared" si="157"/>
        <v>0</v>
      </c>
      <c r="AH52" s="47">
        <f t="shared" si="158"/>
        <v>0</v>
      </c>
      <c r="AI52" s="47">
        <f t="shared" si="159"/>
        <v>0</v>
      </c>
      <c r="AJ52" s="47">
        <f t="shared" si="160"/>
        <v>0</v>
      </c>
      <c r="AK52" s="47">
        <f t="shared" si="161"/>
        <v>0</v>
      </c>
      <c r="AL52" s="47">
        <f t="shared" si="162"/>
        <v>0</v>
      </c>
      <c r="AM52" s="989">
        <f t="shared" si="163"/>
        <v>0</v>
      </c>
      <c r="AN52" s="25"/>
    </row>
    <row r="53" spans="2:40">
      <c r="B53" s="227" t="s">
        <v>577</v>
      </c>
      <c r="C53" s="34"/>
      <c r="D53" s="34"/>
      <c r="E53" s="83"/>
      <c r="F53" s="987">
        <f>'Financing Costs'!C9</f>
        <v>411067.00671054103</v>
      </c>
      <c r="G53" s="83">
        <f>'Financing Costs'!D9</f>
        <v>411067</v>
      </c>
      <c r="H53" s="83">
        <f>'Financing Costs'!E9</f>
        <v>6.7105410315194906E-3</v>
      </c>
      <c r="I53" s="83">
        <f>'Financing Costs'!F9</f>
        <v>0</v>
      </c>
      <c r="J53" s="83"/>
      <c r="K53" s="83">
        <f t="shared" si="137"/>
        <v>411067</v>
      </c>
      <c r="L53" s="85">
        <f t="shared" si="138"/>
        <v>25521.866571173345</v>
      </c>
      <c r="M53" s="83">
        <f t="shared" si="139"/>
        <v>102087.46628469338</v>
      </c>
      <c r="N53" s="83">
        <f t="shared" si="140"/>
        <v>5341.5893819821549</v>
      </c>
      <c r="O53" s="83">
        <f t="shared" si="141"/>
        <v>0</v>
      </c>
      <c r="P53" s="83">
        <f t="shared" si="142"/>
        <v>35567.446396234503</v>
      </c>
      <c r="Q53" s="83">
        <f t="shared" si="143"/>
        <v>162000.34222915856</v>
      </c>
      <c r="R53" s="83">
        <f t="shared" si="144"/>
        <v>4394.8936694455642</v>
      </c>
      <c r="S53" s="83">
        <f t="shared" si="145"/>
        <v>76153.395467312497</v>
      </c>
      <c r="T53" s="982"/>
      <c r="U53" s="83">
        <f t="shared" si="146"/>
        <v>6.7105410315194906E-3</v>
      </c>
      <c r="V53" s="83">
        <f t="shared" si="147"/>
        <v>3.256674101189294E-4</v>
      </c>
      <c r="W53" s="83">
        <f t="shared" si="148"/>
        <v>1.3026696404757176E-3</v>
      </c>
      <c r="X53" s="83">
        <f t="shared" si="149"/>
        <v>6.8780590253801426E-4</v>
      </c>
      <c r="Y53" s="83">
        <f t="shared" si="150"/>
        <v>2.3309803707727865E-3</v>
      </c>
      <c r="Z53" s="83">
        <f t="shared" si="151"/>
        <v>0</v>
      </c>
      <c r="AA53" s="83">
        <f t="shared" si="152"/>
        <v>1.7691630384485321E-3</v>
      </c>
      <c r="AB53" s="83">
        <f t="shared" si="153"/>
        <v>2.942546691655108E-4</v>
      </c>
      <c r="AC53" s="83">
        <f t="shared" si="154"/>
        <v>0</v>
      </c>
      <c r="AD53" s="34"/>
      <c r="AE53" s="83">
        <f t="shared" si="155"/>
        <v>0</v>
      </c>
      <c r="AF53" s="83">
        <f t="shared" si="156"/>
        <v>0</v>
      </c>
      <c r="AG53" s="47">
        <f t="shared" si="157"/>
        <v>0</v>
      </c>
      <c r="AH53" s="47">
        <f t="shared" si="158"/>
        <v>0</v>
      </c>
      <c r="AI53" s="47">
        <f t="shared" si="159"/>
        <v>0</v>
      </c>
      <c r="AJ53" s="47">
        <f t="shared" si="160"/>
        <v>0</v>
      </c>
      <c r="AK53" s="47">
        <f t="shared" si="161"/>
        <v>0</v>
      </c>
      <c r="AL53" s="47">
        <f t="shared" si="162"/>
        <v>0</v>
      </c>
      <c r="AM53" s="989">
        <f t="shared" si="163"/>
        <v>0</v>
      </c>
      <c r="AN53" s="25"/>
    </row>
    <row r="54" spans="2:40">
      <c r="B54" s="227" t="s">
        <v>578</v>
      </c>
      <c r="C54" s="34"/>
      <c r="D54" s="34"/>
      <c r="E54" s="83"/>
      <c r="F54" s="987">
        <f ca="1">'Financing Costs'!C10</f>
        <v>115057.1903570228</v>
      </c>
      <c r="G54" s="83">
        <f>'Financing Costs'!D10</f>
        <v>87963.646902330787</v>
      </c>
      <c r="H54" s="83">
        <f ca="1">'Financing Costs'!E10</f>
        <v>12158.835653015993</v>
      </c>
      <c r="I54" s="83">
        <f ca="1">'Financing Costs'!F10</f>
        <v>14934.707801676013</v>
      </c>
      <c r="J54" s="83"/>
      <c r="K54" s="83">
        <f t="shared" si="137"/>
        <v>87963.646902330787</v>
      </c>
      <c r="L54" s="85">
        <f t="shared" si="138"/>
        <v>5461.3881906236493</v>
      </c>
      <c r="M54" s="83">
        <f t="shared" si="139"/>
        <v>21845.552762494597</v>
      </c>
      <c r="N54" s="83">
        <f t="shared" si="140"/>
        <v>1143.0391695123121</v>
      </c>
      <c r="O54" s="83">
        <f t="shared" si="141"/>
        <v>0</v>
      </c>
      <c r="P54" s="83">
        <f t="shared" si="142"/>
        <v>7611.0276330037432</v>
      </c>
      <c r="Q54" s="83">
        <f t="shared" si="143"/>
        <v>34666.224488714615</v>
      </c>
      <c r="R54" s="83">
        <f t="shared" si="144"/>
        <v>940.45709072340651</v>
      </c>
      <c r="S54" s="83">
        <f t="shared" si="145"/>
        <v>16295.957567258463</v>
      </c>
      <c r="T54" s="982"/>
      <c r="U54" s="83">
        <f t="shared" ca="1" si="146"/>
        <v>12158.835653015993</v>
      </c>
      <c r="V54" s="83">
        <f t="shared" ca="1" si="147"/>
        <v>590.07708895310986</v>
      </c>
      <c r="W54" s="83">
        <f t="shared" ca="1" si="148"/>
        <v>2360.3083558124395</v>
      </c>
      <c r="X54" s="83">
        <f t="shared" ca="1" si="149"/>
        <v>1246.2361664809621</v>
      </c>
      <c r="Y54" s="83">
        <f t="shared" ca="1" si="150"/>
        <v>4223.5055423265949</v>
      </c>
      <c r="Z54" s="83">
        <f t="shared" ca="1" si="151"/>
        <v>0</v>
      </c>
      <c r="AA54" s="83">
        <f t="shared" ca="1" si="152"/>
        <v>3205.5481855857624</v>
      </c>
      <c r="AB54" s="83">
        <f t="shared" ca="1" si="153"/>
        <v>533.1603138571237</v>
      </c>
      <c r="AC54" s="83">
        <f t="shared" ca="1" si="154"/>
        <v>0</v>
      </c>
      <c r="AD54" s="34"/>
      <c r="AE54" s="83">
        <f t="shared" ca="1" si="155"/>
        <v>14934.707801676013</v>
      </c>
      <c r="AF54" s="83">
        <f t="shared" ca="1" si="156"/>
        <v>1130.2819971149106</v>
      </c>
      <c r="AG54" s="47">
        <f t="shared" ca="1" si="157"/>
        <v>4521.1279884596424</v>
      </c>
      <c r="AH54" s="47">
        <f t="shared" ca="1" si="158"/>
        <v>403.5995514571365</v>
      </c>
      <c r="AI54" s="47">
        <f t="shared" ca="1" si="159"/>
        <v>2825.7049927872763</v>
      </c>
      <c r="AJ54" s="47">
        <f t="shared" ca="1" si="160"/>
        <v>807.199102914273</v>
      </c>
      <c r="AK54" s="47">
        <f t="shared" ca="1" si="161"/>
        <v>0</v>
      </c>
      <c r="AL54" s="47">
        <f t="shared" ca="1" si="162"/>
        <v>0</v>
      </c>
      <c r="AM54" s="989">
        <f t="shared" ca="1" si="163"/>
        <v>5246.7941689427744</v>
      </c>
      <c r="AN54" s="25"/>
    </row>
    <row r="55" spans="2:40">
      <c r="B55" s="449" t="s">
        <v>579</v>
      </c>
      <c r="C55" s="34"/>
      <c r="D55" s="34"/>
      <c r="E55" s="83"/>
      <c r="F55" s="987">
        <f ca="1">SUM(F47:F54)</f>
        <v>64736589.250301324</v>
      </c>
      <c r="G55" s="83">
        <f ca="1">SUM(G47:G54)</f>
        <v>31720035.522166196</v>
      </c>
      <c r="H55" s="83">
        <f ca="1">SUM(H47:H54)</f>
        <v>23228545.517908782</v>
      </c>
      <c r="I55" s="83">
        <f ca="1">SUM(I47:I54)</f>
        <v>9788008.2102263235</v>
      </c>
      <c r="J55" s="83"/>
      <c r="K55" s="83">
        <f t="shared" ca="1" si="137"/>
        <v>31720035.522166196</v>
      </c>
      <c r="L55" s="85">
        <f t="shared" ca="1" si="138"/>
        <v>1969397.9673133686</v>
      </c>
      <c r="M55" s="83">
        <f t="shared" ca="1" si="139"/>
        <v>7877591.8692534743</v>
      </c>
      <c r="N55" s="83">
        <f t="shared" ca="1" si="140"/>
        <v>412184.40045369667</v>
      </c>
      <c r="O55" s="83">
        <f t="shared" ca="1" si="141"/>
        <v>0</v>
      </c>
      <c r="P55" s="83">
        <f t="shared" ca="1" si="142"/>
        <v>2744566.3678215486</v>
      </c>
      <c r="Q55" s="83">
        <f t="shared" ca="1" si="143"/>
        <v>12500776.2970805</v>
      </c>
      <c r="R55" s="83">
        <f t="shared" ca="1" si="144"/>
        <v>339132.50956889422</v>
      </c>
      <c r="S55" s="83">
        <f t="shared" ca="1" si="145"/>
        <v>5876386.1106747147</v>
      </c>
      <c r="T55" s="982"/>
      <c r="U55" s="83">
        <f t="shared" ca="1" si="146"/>
        <v>23228545.517908782</v>
      </c>
      <c r="V55" s="83">
        <f t="shared" ca="1" si="147"/>
        <v>1127298.1156236369</v>
      </c>
      <c r="W55" s="83">
        <f t="shared" ca="1" si="148"/>
        <v>4509192.4624945475</v>
      </c>
      <c r="X55" s="83">
        <f t="shared" ca="1" si="149"/>
        <v>2380840.9246806931</v>
      </c>
      <c r="Y55" s="83">
        <f t="shared" ca="1" si="150"/>
        <v>8068691.241067824</v>
      </c>
      <c r="Z55" s="83">
        <f t="shared" ca="1" si="151"/>
        <v>0</v>
      </c>
      <c r="AA55" s="83">
        <f t="shared" ca="1" si="152"/>
        <v>6123959.8974478263</v>
      </c>
      <c r="AB55" s="83">
        <f t="shared" ca="1" si="153"/>
        <v>1018562.8765942529</v>
      </c>
      <c r="AC55" s="83">
        <f t="shared" ca="1" si="154"/>
        <v>0</v>
      </c>
      <c r="AD55" s="34"/>
      <c r="AE55" s="83">
        <f t="shared" ca="1" si="155"/>
        <v>9788008.2102263235</v>
      </c>
      <c r="AF55" s="83">
        <f t="shared" ca="1" si="156"/>
        <v>740771.73886121879</v>
      </c>
      <c r="AG55" s="47">
        <f t="shared" ca="1" si="157"/>
        <v>2963086.9554448752</v>
      </c>
      <c r="AH55" s="47">
        <f t="shared" ca="1" si="158"/>
        <v>264513.76054794894</v>
      </c>
      <c r="AI55" s="47">
        <f t="shared" ca="1" si="159"/>
        <v>1851929.3471530469</v>
      </c>
      <c r="AJ55" s="47">
        <f t="shared" ca="1" si="160"/>
        <v>529027.52109589789</v>
      </c>
      <c r="AK55" s="47">
        <f t="shared" ca="1" si="161"/>
        <v>0</v>
      </c>
      <c r="AL55" s="47">
        <f t="shared" ca="1" si="162"/>
        <v>0</v>
      </c>
      <c r="AM55" s="989">
        <f t="shared" ca="1" si="163"/>
        <v>3438678.8871233361</v>
      </c>
      <c r="AN55" s="25"/>
    </row>
    <row r="56" spans="2:40">
      <c r="B56" s="449"/>
      <c r="C56" s="34"/>
      <c r="D56" s="34"/>
      <c r="E56" s="83"/>
      <c r="F56" s="987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982"/>
      <c r="U56" s="83"/>
      <c r="V56" s="83"/>
      <c r="W56" s="34"/>
      <c r="X56" s="34"/>
      <c r="Y56" s="34"/>
      <c r="Z56" s="34"/>
      <c r="AA56" s="34"/>
      <c r="AB56" s="34"/>
      <c r="AC56" s="34"/>
      <c r="AD56" s="34"/>
      <c r="AE56" s="34"/>
      <c r="AF56" s="83"/>
      <c r="AG56" s="34"/>
      <c r="AH56" s="34"/>
      <c r="AI56" s="34"/>
      <c r="AJ56" s="34"/>
      <c r="AK56" s="34"/>
      <c r="AL56" s="34"/>
      <c r="AM56" s="229"/>
      <c r="AN56" s="25"/>
    </row>
    <row r="57" spans="2:40">
      <c r="B57" s="805" t="s">
        <v>26</v>
      </c>
      <c r="C57" s="448" t="s">
        <v>652</v>
      </c>
      <c r="D57" s="806"/>
      <c r="E57" s="806"/>
      <c r="F57" s="806" t="s">
        <v>55</v>
      </c>
      <c r="G57" s="806" t="s">
        <v>4</v>
      </c>
      <c r="H57" s="806" t="s">
        <v>5</v>
      </c>
      <c r="I57" s="806" t="s">
        <v>6</v>
      </c>
      <c r="J57" s="9"/>
      <c r="K57" s="810" t="s">
        <v>538</v>
      </c>
      <c r="L57" s="810" t="s">
        <v>209</v>
      </c>
      <c r="M57" s="810" t="s">
        <v>210</v>
      </c>
      <c r="N57" s="810" t="s">
        <v>109</v>
      </c>
      <c r="O57" s="810" t="s">
        <v>15</v>
      </c>
      <c r="P57" s="810" t="s">
        <v>211</v>
      </c>
      <c r="Q57" s="810" t="s">
        <v>212</v>
      </c>
      <c r="R57" s="810" t="s">
        <v>23</v>
      </c>
      <c r="S57" s="810" t="s">
        <v>213</v>
      </c>
      <c r="T57" s="815"/>
      <c r="U57" s="812" t="s">
        <v>538</v>
      </c>
      <c r="V57" s="812" t="s">
        <v>209</v>
      </c>
      <c r="W57" s="812" t="s">
        <v>210</v>
      </c>
      <c r="X57" s="812" t="s">
        <v>109</v>
      </c>
      <c r="Y57" s="812" t="s">
        <v>15</v>
      </c>
      <c r="Z57" s="812" t="s">
        <v>211</v>
      </c>
      <c r="AA57" s="812" t="s">
        <v>212</v>
      </c>
      <c r="AB57" s="812" t="s">
        <v>23</v>
      </c>
      <c r="AC57" s="812" t="s">
        <v>213</v>
      </c>
      <c r="AD57" s="9"/>
      <c r="AE57" s="813" t="s">
        <v>538</v>
      </c>
      <c r="AF57" s="813" t="s">
        <v>209</v>
      </c>
      <c r="AG57" s="813" t="s">
        <v>210</v>
      </c>
      <c r="AH57" s="813" t="s">
        <v>109</v>
      </c>
      <c r="AI57" s="813" t="s">
        <v>15</v>
      </c>
      <c r="AJ57" s="813" t="s">
        <v>211</v>
      </c>
      <c r="AK57" s="813" t="s">
        <v>212</v>
      </c>
      <c r="AL57" s="813" t="s">
        <v>23</v>
      </c>
      <c r="AM57" s="814" t="s">
        <v>213</v>
      </c>
    </row>
    <row r="58" spans="2:40">
      <c r="B58" s="227" t="s">
        <v>580</v>
      </c>
      <c r="C58" s="34"/>
      <c r="D58" s="34"/>
      <c r="E58" s="83"/>
      <c r="F58" s="987">
        <v>1000000</v>
      </c>
      <c r="G58" s="83">
        <f t="shared" ref="G58:G59" si="164">F58*$G$6</f>
        <v>580483.62287156365</v>
      </c>
      <c r="H58" s="83">
        <f t="shared" ref="H58:H59" si="165">G58*$G$6</f>
        <v>336961.23642209574</v>
      </c>
      <c r="I58" s="83">
        <f t="shared" ref="I58:I59" si="166">H58*$G$6</f>
        <v>195600.47928557961</v>
      </c>
      <c r="J58" s="83"/>
      <c r="K58" s="83">
        <f>G58</f>
        <v>580483.62287156365</v>
      </c>
      <c r="L58" s="83">
        <f>K58*$L$6</f>
        <v>36040.4157222043</v>
      </c>
      <c r="M58" s="83">
        <f>$M$6*K58</f>
        <v>144161.6628888172</v>
      </c>
      <c r="N58" s="83">
        <f>K58*$N$6</f>
        <v>7543.0651362071831</v>
      </c>
      <c r="O58" s="83">
        <f>K58*$O$6</f>
        <v>0</v>
      </c>
      <c r="P58" s="83">
        <f>K58*$P$6</f>
        <v>50226.167851898463</v>
      </c>
      <c r="Q58" s="83">
        <f>K58*$Q$6</f>
        <v>228766.95420360944</v>
      </c>
      <c r="R58" s="83">
        <f>K58*$R$6</f>
        <v>6206.1994744775466</v>
      </c>
      <c r="S58" s="83">
        <f>$S$6*K58</f>
        <v>107539.15759434953</v>
      </c>
      <c r="T58" s="982"/>
      <c r="U58" s="83">
        <f>H58</f>
        <v>336961.23642209574</v>
      </c>
      <c r="V58" s="83">
        <f>U58*$L$6</f>
        <v>20920.871088222415</v>
      </c>
      <c r="W58" s="83">
        <f>$M$6*U58</f>
        <v>83683.48435288966</v>
      </c>
      <c r="X58" s="83">
        <f>U58*$N$6</f>
        <v>4378.6257778217305</v>
      </c>
      <c r="Y58" s="83">
        <f>U58*$Y$6</f>
        <v>117047.19844822722</v>
      </c>
      <c r="Z58" s="83">
        <f>U58*$Z$6</f>
        <v>0</v>
      </c>
      <c r="AA58" s="83">
        <f>U58*$AA$6</f>
        <v>88836.259560565304</v>
      </c>
      <c r="AB58" s="83">
        <f t="shared" ref="AB58:AB59" si="167">U58*$AB$6</f>
        <v>14775.621917706065</v>
      </c>
      <c r="AC58" s="83">
        <f t="shared" ref="AC58:AC59" si="168">U58*$AC$6</f>
        <v>0</v>
      </c>
      <c r="AD58" s="34"/>
      <c r="AE58" s="83">
        <f>I58</f>
        <v>195600.47928557961</v>
      </c>
      <c r="AF58" s="83">
        <f>AE58*$L$6</f>
        <v>12144.223042920299</v>
      </c>
      <c r="AG58" s="83">
        <f>$M$6*AE58</f>
        <v>48576.892171681196</v>
      </c>
      <c r="AH58" s="83">
        <f>AE58*$N$6</f>
        <v>2541.720554708776</v>
      </c>
      <c r="AI58" s="83">
        <f>AE58*$AI$6</f>
        <v>37008.373933289811</v>
      </c>
      <c r="AJ58" s="83">
        <f>AE58*$P$6</f>
        <v>16924.27162011942</v>
      </c>
      <c r="AK58" s="47">
        <f t="shared" ref="AK58:AK59" si="169">AE58*$AK$6</f>
        <v>0</v>
      </c>
      <c r="AL58" s="47">
        <f t="shared" ref="AL58:AL59" si="170">AE58*$AL$6</f>
        <v>0</v>
      </c>
      <c r="AM58" s="989">
        <f t="shared" ref="AM58:AM59" si="171">AE58*$AM$6</f>
        <v>68717.477957139519</v>
      </c>
    </row>
    <row r="59" spans="2:40">
      <c r="B59" s="227" t="s">
        <v>581</v>
      </c>
      <c r="C59" s="34"/>
      <c r="D59" s="34"/>
      <c r="E59" s="83"/>
      <c r="F59" s="987">
        <v>1000000</v>
      </c>
      <c r="G59" s="83">
        <f t="shared" si="164"/>
        <v>580483.62287156365</v>
      </c>
      <c r="H59" s="83">
        <f t="shared" si="165"/>
        <v>336961.23642209574</v>
      </c>
      <c r="I59" s="83">
        <f t="shared" si="166"/>
        <v>195600.47928557961</v>
      </c>
      <c r="J59" s="83"/>
      <c r="K59" s="83">
        <f>G59</f>
        <v>580483.62287156365</v>
      </c>
      <c r="L59" s="83">
        <f>K59*$L$6</f>
        <v>36040.4157222043</v>
      </c>
      <c r="M59" s="83">
        <f>$M$6*K59</f>
        <v>144161.6628888172</v>
      </c>
      <c r="N59" s="83">
        <f>K59*$N$6</f>
        <v>7543.0651362071831</v>
      </c>
      <c r="O59" s="83">
        <f>K59*$O$6</f>
        <v>0</v>
      </c>
      <c r="P59" s="83">
        <f>K59*$P$6</f>
        <v>50226.167851898463</v>
      </c>
      <c r="Q59" s="83">
        <f>K59*$Q$6</f>
        <v>228766.95420360944</v>
      </c>
      <c r="R59" s="83">
        <f>K59*$R$6</f>
        <v>6206.1994744775466</v>
      </c>
      <c r="S59" s="83">
        <f>$S$6*K59</f>
        <v>107539.15759434953</v>
      </c>
      <c r="T59" s="982"/>
      <c r="U59" s="83">
        <f>H59</f>
        <v>336961.23642209574</v>
      </c>
      <c r="V59" s="83">
        <f>U59*$L$6</f>
        <v>20920.871088222415</v>
      </c>
      <c r="W59" s="83">
        <f>$M$6*U59</f>
        <v>83683.48435288966</v>
      </c>
      <c r="X59" s="83">
        <f>U59*$N$6</f>
        <v>4378.6257778217305</v>
      </c>
      <c r="Y59" s="83">
        <f>U59*$Y$6</f>
        <v>117047.19844822722</v>
      </c>
      <c r="Z59" s="83">
        <f>U59*$Z$6</f>
        <v>0</v>
      </c>
      <c r="AA59" s="83">
        <f>U59*$AA$6</f>
        <v>88836.259560565304</v>
      </c>
      <c r="AB59" s="83">
        <f t="shared" si="167"/>
        <v>14775.621917706065</v>
      </c>
      <c r="AC59" s="83">
        <f t="shared" si="168"/>
        <v>0</v>
      </c>
      <c r="AD59" s="34"/>
      <c r="AE59" s="83">
        <f>I59</f>
        <v>195600.47928557961</v>
      </c>
      <c r="AF59" s="83">
        <f>AE59*$L$6</f>
        <v>12144.223042920299</v>
      </c>
      <c r="AG59" s="83">
        <f>$M$6*AE59</f>
        <v>48576.892171681196</v>
      </c>
      <c r="AH59" s="83">
        <f>AE59*$N$6</f>
        <v>2541.720554708776</v>
      </c>
      <c r="AI59" s="83">
        <f>AE59*$AI$6</f>
        <v>37008.373933289811</v>
      </c>
      <c r="AJ59" s="83">
        <f>AE59*$P$6</f>
        <v>16924.27162011942</v>
      </c>
      <c r="AK59" s="47">
        <f t="shared" si="169"/>
        <v>0</v>
      </c>
      <c r="AL59" s="47">
        <f t="shared" si="170"/>
        <v>0</v>
      </c>
      <c r="AM59" s="989">
        <f t="shared" si="171"/>
        <v>68717.477957139519</v>
      </c>
    </row>
    <row r="60" spans="2:40">
      <c r="B60" s="227" t="s">
        <v>582</v>
      </c>
      <c r="C60" s="34"/>
      <c r="D60" s="34"/>
      <c r="E60" s="34"/>
      <c r="F60" s="987">
        <f>SUM(F58:F59)</f>
        <v>2000000</v>
      </c>
      <c r="G60" s="83">
        <f t="shared" ref="G60:I60" si="172">SUM(G58:G59)</f>
        <v>1160967.2457431273</v>
      </c>
      <c r="H60" s="83">
        <f t="shared" si="172"/>
        <v>673922.47284419148</v>
      </c>
      <c r="I60" s="83">
        <f t="shared" si="172"/>
        <v>391200.95857115922</v>
      </c>
      <c r="J60" s="34"/>
      <c r="K60" s="83">
        <f>SUM(K58:K59)</f>
        <v>1160967.2457431273</v>
      </c>
      <c r="L60" s="83">
        <f t="shared" ref="L60:S60" si="173">SUM(L58:L59)</f>
        <v>72080.831444408599</v>
      </c>
      <c r="M60" s="83">
        <f t="shared" si="173"/>
        <v>288323.3257776344</v>
      </c>
      <c r="N60" s="83">
        <f t="shared" si="173"/>
        <v>15086.130272414366</v>
      </c>
      <c r="O60" s="83">
        <f t="shared" si="173"/>
        <v>0</v>
      </c>
      <c r="P60" s="83">
        <f t="shared" si="173"/>
        <v>100452.33570379693</v>
      </c>
      <c r="Q60" s="83">
        <f t="shared" si="173"/>
        <v>457533.90840721887</v>
      </c>
      <c r="R60" s="83">
        <f t="shared" si="173"/>
        <v>12412.398948955093</v>
      </c>
      <c r="S60" s="83">
        <f t="shared" si="173"/>
        <v>215078.31518869905</v>
      </c>
      <c r="T60" s="982"/>
      <c r="U60" s="83">
        <f>SUM(U58:U59)</f>
        <v>673922.47284419148</v>
      </c>
      <c r="V60" s="83">
        <f t="shared" ref="V60" si="174">SUM(V58:V59)</f>
        <v>41841.74217644483</v>
      </c>
      <c r="W60" s="83">
        <f t="shared" ref="W60" si="175">SUM(W58:W59)</f>
        <v>167366.96870577932</v>
      </c>
      <c r="X60" s="83">
        <f t="shared" ref="X60" si="176">SUM(X58:X59)</f>
        <v>8757.251555643461</v>
      </c>
      <c r="Y60" s="83">
        <f t="shared" ref="Y60" si="177">SUM(Y58:Y59)</f>
        <v>234094.39689645445</v>
      </c>
      <c r="Z60" s="83">
        <f t="shared" ref="Z60" si="178">SUM(Z58:Z59)</f>
        <v>0</v>
      </c>
      <c r="AA60" s="83">
        <f t="shared" ref="AA60" si="179">SUM(AA58:AA59)</f>
        <v>177672.51912113061</v>
      </c>
      <c r="AB60" s="83">
        <f t="shared" ref="AB60" si="180">SUM(AB58:AB59)</f>
        <v>29551.24383541213</v>
      </c>
      <c r="AC60" s="83">
        <f t="shared" ref="AC60" si="181">SUM(AC58:AC59)</f>
        <v>0</v>
      </c>
      <c r="AD60" s="34"/>
      <c r="AE60" s="83">
        <f>SUM(AE58:AE59)</f>
        <v>391200.95857115922</v>
      </c>
      <c r="AF60" s="83">
        <f t="shared" ref="AF60" si="182">SUM(AF58:AF59)</f>
        <v>24288.446085840598</v>
      </c>
      <c r="AG60" s="83">
        <f t="shared" ref="AG60" si="183">SUM(AG58:AG59)</f>
        <v>97153.784343362393</v>
      </c>
      <c r="AH60" s="83">
        <f t="shared" ref="AH60" si="184">SUM(AH58:AH59)</f>
        <v>5083.4411094175521</v>
      </c>
      <c r="AI60" s="83">
        <f t="shared" ref="AI60" si="185">SUM(AI58:AI59)</f>
        <v>74016.747866579622</v>
      </c>
      <c r="AJ60" s="83">
        <f>SUM(AJ58:AJ59)</f>
        <v>33848.54324023884</v>
      </c>
      <c r="AK60" s="83">
        <f t="shared" ref="AK60:AM60" si="186">SUM(AK58:AK59)</f>
        <v>0</v>
      </c>
      <c r="AL60" s="83">
        <f t="shared" si="186"/>
        <v>0</v>
      </c>
      <c r="AM60" s="228">
        <f t="shared" si="186"/>
        <v>137434.95591427904</v>
      </c>
    </row>
    <row r="61" spans="2:40">
      <c r="B61" s="227"/>
      <c r="C61" s="34"/>
      <c r="D61" s="34"/>
      <c r="E61" s="34"/>
      <c r="F61" s="32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982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229"/>
    </row>
    <row r="62" spans="2:40">
      <c r="B62" s="805" t="s">
        <v>27</v>
      </c>
      <c r="C62" s="448" t="s">
        <v>652</v>
      </c>
      <c r="D62" s="806"/>
      <c r="E62" s="806"/>
      <c r="F62" s="806" t="s">
        <v>55</v>
      </c>
      <c r="G62" s="806" t="s">
        <v>4</v>
      </c>
      <c r="H62" s="806" t="s">
        <v>5</v>
      </c>
      <c r="I62" s="806" t="s">
        <v>6</v>
      </c>
      <c r="J62" s="9"/>
      <c r="K62" s="810" t="s">
        <v>538</v>
      </c>
      <c r="L62" s="810" t="s">
        <v>209</v>
      </c>
      <c r="M62" s="810" t="s">
        <v>210</v>
      </c>
      <c r="N62" s="810" t="s">
        <v>109</v>
      </c>
      <c r="O62" s="810" t="s">
        <v>15</v>
      </c>
      <c r="P62" s="810" t="s">
        <v>211</v>
      </c>
      <c r="Q62" s="810" t="s">
        <v>212</v>
      </c>
      <c r="R62" s="810" t="s">
        <v>23</v>
      </c>
      <c r="S62" s="810" t="s">
        <v>213</v>
      </c>
      <c r="T62" s="815"/>
      <c r="U62" s="812" t="s">
        <v>538</v>
      </c>
      <c r="V62" s="812" t="s">
        <v>209</v>
      </c>
      <c r="W62" s="812" t="s">
        <v>210</v>
      </c>
      <c r="X62" s="812" t="s">
        <v>109</v>
      </c>
      <c r="Y62" s="812" t="s">
        <v>15</v>
      </c>
      <c r="Z62" s="812" t="s">
        <v>211</v>
      </c>
      <c r="AA62" s="812" t="s">
        <v>212</v>
      </c>
      <c r="AB62" s="812" t="s">
        <v>23</v>
      </c>
      <c r="AC62" s="812" t="s">
        <v>213</v>
      </c>
      <c r="AD62" s="9"/>
      <c r="AE62" s="813" t="s">
        <v>538</v>
      </c>
      <c r="AF62" s="813" t="s">
        <v>209</v>
      </c>
      <c r="AG62" s="813" t="s">
        <v>210</v>
      </c>
      <c r="AH62" s="813" t="s">
        <v>109</v>
      </c>
      <c r="AI62" s="813" t="s">
        <v>15</v>
      </c>
      <c r="AJ62" s="813" t="s">
        <v>211</v>
      </c>
      <c r="AK62" s="813" t="s">
        <v>212</v>
      </c>
      <c r="AL62" s="813" t="s">
        <v>23</v>
      </c>
      <c r="AM62" s="814" t="s">
        <v>213</v>
      </c>
    </row>
    <row r="63" spans="2:40">
      <c r="B63" s="227" t="s">
        <v>523</v>
      </c>
      <c r="C63" s="244">
        <v>0.03</v>
      </c>
      <c r="D63" s="34"/>
      <c r="E63" s="83"/>
      <c r="F63" s="987">
        <f ca="1">SUM(H63:I63)</f>
        <v>9042986.7064297851</v>
      </c>
      <c r="G63" s="83">
        <f ca="1">$C$63*(G25+G44+G55+G60)</f>
        <v>14404305.227997778</v>
      </c>
      <c r="H63" s="83">
        <f ca="1">$C$63*(H25+H44+H55+H60)</f>
        <v>5564105.918334784</v>
      </c>
      <c r="I63" s="83">
        <f ca="1">$C$63*(I25+I44+I55+I60)</f>
        <v>3478880.7880950011</v>
      </c>
      <c r="J63" s="83"/>
      <c r="K63" s="83">
        <f ca="1">G63</f>
        <v>14404305.227997778</v>
      </c>
      <c r="L63" s="83">
        <f ca="1">K63*$L$6</f>
        <v>894318.33759317559</v>
      </c>
      <c r="M63" s="83">
        <f ca="1">$M$6*K63</f>
        <v>3577273.3503727023</v>
      </c>
      <c r="N63" s="83">
        <f ca="1">K63*$N$6</f>
        <v>187176.01719598746</v>
      </c>
      <c r="O63" s="83">
        <f ca="1">K63*$O$6</f>
        <v>0</v>
      </c>
      <c r="P63" s="83">
        <f ca="1">K63*$P$6</f>
        <v>1246328.1024062049</v>
      </c>
      <c r="Q63" s="83">
        <f ca="1">K63*$Q$6</f>
        <v>5676695.955912048</v>
      </c>
      <c r="R63" s="83">
        <f ca="1">K63*$R$6</f>
        <v>154002.60750507601</v>
      </c>
      <c r="S63" s="83">
        <f ca="1">$S$6*K63</f>
        <v>2668510.8570125839</v>
      </c>
      <c r="T63" s="982"/>
      <c r="U63" s="83">
        <f ca="1">H63</f>
        <v>5564105.918334784</v>
      </c>
      <c r="V63" s="83">
        <f ca="1">U63*$L$6</f>
        <v>345457.96387356875</v>
      </c>
      <c r="W63" s="83">
        <f ca="1">$M$6*U63</f>
        <v>1381831.855494275</v>
      </c>
      <c r="X63" s="83">
        <f ca="1">U63*$N$6</f>
        <v>72302.493495223767</v>
      </c>
      <c r="Y63" s="83">
        <f ca="1">U63*$Y$6</f>
        <v>1932753.50163566</v>
      </c>
      <c r="Z63" s="83">
        <f ca="1">U63*$Z$6</f>
        <v>0</v>
      </c>
      <c r="AA63" s="83">
        <f ca="1">U63*$AA$6</f>
        <v>1466917.568418721</v>
      </c>
      <c r="AB63" s="83">
        <f t="shared" ref="AB63" ca="1" si="187">U63*$AB$6</f>
        <v>243983.92596233499</v>
      </c>
      <c r="AC63" s="83">
        <f t="shared" ref="AC63" ca="1" si="188">U63*$AC$6</f>
        <v>0</v>
      </c>
      <c r="AD63" s="34"/>
      <c r="AE63" s="83">
        <f ca="1">I63</f>
        <v>3478880.7880950011</v>
      </c>
      <c r="AF63" s="83">
        <f ca="1">AE63*$L$6</f>
        <v>215992.84615592833</v>
      </c>
      <c r="AG63" s="83">
        <f ca="1">$M$6*AE63</f>
        <v>863971.38462371333</v>
      </c>
      <c r="AH63" s="83">
        <f ca="1">AE63*$N$6</f>
        <v>45206.140796682703</v>
      </c>
      <c r="AI63" s="83">
        <f ca="1">AE63*$AI$6</f>
        <v>658217.82004523696</v>
      </c>
      <c r="AJ63" s="83">
        <f ca="1">AE63*$P$6</f>
        <v>301009.09571787325</v>
      </c>
      <c r="AK63" s="47">
        <f ca="1">AE63*$AK$6</f>
        <v>0</v>
      </c>
      <c r="AL63" s="47">
        <f ca="1">AE63*$AL$6</f>
        <v>0</v>
      </c>
      <c r="AM63" s="989">
        <f ca="1">AE63*$AM$6</f>
        <v>1222184.7039669231</v>
      </c>
    </row>
    <row r="64" spans="2:40">
      <c r="B64" s="449" t="s">
        <v>583</v>
      </c>
      <c r="C64" s="34"/>
      <c r="D64" s="34"/>
      <c r="E64" s="83"/>
      <c r="F64" s="987">
        <f ca="1">SUM(F63:F63)</f>
        <v>9042986.7064297851</v>
      </c>
      <c r="G64" s="83">
        <f ca="1">SUM(G63:G63)</f>
        <v>14404305.227997778</v>
      </c>
      <c r="H64" s="83">
        <f ca="1">SUM(H63:H63)</f>
        <v>5564105.918334784</v>
      </c>
      <c r="I64" s="83">
        <f ca="1">SUM(I63:I63)</f>
        <v>3478880.7880950011</v>
      </c>
      <c r="J64" s="83"/>
      <c r="K64" s="83">
        <f t="shared" ref="K64:S64" ca="1" si="189">SUM(K63:K63)</f>
        <v>14404305.227997778</v>
      </c>
      <c r="L64" s="83">
        <f t="shared" ca="1" si="189"/>
        <v>894318.33759317559</v>
      </c>
      <c r="M64" s="83">
        <f t="shared" ca="1" si="189"/>
        <v>3577273.3503727023</v>
      </c>
      <c r="N64" s="83">
        <f t="shared" ca="1" si="189"/>
        <v>187176.01719598746</v>
      </c>
      <c r="O64" s="83">
        <f t="shared" ca="1" si="189"/>
        <v>0</v>
      </c>
      <c r="P64" s="83">
        <f t="shared" ca="1" si="189"/>
        <v>1246328.1024062049</v>
      </c>
      <c r="Q64" s="83">
        <f t="shared" ca="1" si="189"/>
        <v>5676695.955912048</v>
      </c>
      <c r="R64" s="83">
        <f t="shared" ca="1" si="189"/>
        <v>154002.60750507601</v>
      </c>
      <c r="S64" s="83">
        <f t="shared" ca="1" si="189"/>
        <v>2668510.8570125839</v>
      </c>
      <c r="T64" s="982"/>
      <c r="U64" s="83">
        <f t="shared" ref="U64:AC64" ca="1" si="190">SUM(U63:U63)</f>
        <v>5564105.918334784</v>
      </c>
      <c r="V64" s="83">
        <f t="shared" ca="1" si="190"/>
        <v>345457.96387356875</v>
      </c>
      <c r="W64" s="83">
        <f t="shared" ca="1" si="190"/>
        <v>1381831.855494275</v>
      </c>
      <c r="X64" s="83">
        <f t="shared" ca="1" si="190"/>
        <v>72302.493495223767</v>
      </c>
      <c r="Y64" s="83">
        <f t="shared" ca="1" si="190"/>
        <v>1932753.50163566</v>
      </c>
      <c r="Z64" s="83">
        <f t="shared" ca="1" si="190"/>
        <v>0</v>
      </c>
      <c r="AA64" s="83">
        <f t="shared" ca="1" si="190"/>
        <v>1466917.568418721</v>
      </c>
      <c r="AB64" s="83">
        <f t="shared" ca="1" si="190"/>
        <v>243983.92596233499</v>
      </c>
      <c r="AC64" s="83">
        <f t="shared" ca="1" si="190"/>
        <v>0</v>
      </c>
      <c r="AD64" s="34"/>
      <c r="AE64" s="83">
        <f t="shared" ref="AE64:AM64" ca="1" si="191">SUM(AE63:AE63)</f>
        <v>3478880.7880950011</v>
      </c>
      <c r="AF64" s="83">
        <f t="shared" ca="1" si="191"/>
        <v>215992.84615592833</v>
      </c>
      <c r="AG64" s="83">
        <f t="shared" ca="1" si="191"/>
        <v>863971.38462371333</v>
      </c>
      <c r="AH64" s="83">
        <f t="shared" ca="1" si="191"/>
        <v>45206.140796682703</v>
      </c>
      <c r="AI64" s="83">
        <f t="shared" ca="1" si="191"/>
        <v>658217.82004523696</v>
      </c>
      <c r="AJ64" s="83">
        <f t="shared" ca="1" si="191"/>
        <v>301009.09571787325</v>
      </c>
      <c r="AK64" s="83">
        <f t="shared" ca="1" si="191"/>
        <v>0</v>
      </c>
      <c r="AL64" s="83">
        <f t="shared" ca="1" si="191"/>
        <v>0</v>
      </c>
      <c r="AM64" s="228">
        <f t="shared" ca="1" si="191"/>
        <v>1222184.7039669231</v>
      </c>
    </row>
    <row r="65" spans="2:39">
      <c r="B65" s="227"/>
      <c r="C65" s="34"/>
      <c r="D65" s="34"/>
      <c r="E65" s="34"/>
      <c r="F65" s="32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982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229"/>
    </row>
    <row r="66" spans="2:39" s="11" customFormat="1" ht="14" thickBot="1">
      <c r="B66" s="234" t="s">
        <v>584</v>
      </c>
      <c r="C66" s="455"/>
      <c r="D66" s="455"/>
      <c r="E66" s="993"/>
      <c r="F66" s="993">
        <f ca="1">F11+F17+F25+F44+F55+F60+F64</f>
        <v>908521663.73052347</v>
      </c>
      <c r="G66" s="993">
        <f ca="1">G11+G17+G25+G44+G55+G60+G64</f>
        <v>552049529.63292372</v>
      </c>
      <c r="H66" s="993">
        <f ca="1">H11+H17+H25+H44+H55+H60+H64</f>
        <v>227303271.63616091</v>
      </c>
      <c r="I66" s="993">
        <f ca="1">I11+I17+I25+I44+I55+I60+I64</f>
        <v>144799258.36659503</v>
      </c>
      <c r="J66" s="993"/>
      <c r="K66" s="993">
        <f t="shared" ref="K66:S66" ca="1" si="192">K11+K17+K25+K44+K55+K60+K64</f>
        <v>552049529.63292372</v>
      </c>
      <c r="L66" s="993">
        <f t="shared" ca="1" si="192"/>
        <v>31806834.781974882</v>
      </c>
      <c r="M66" s="993">
        <f t="shared" ca="1" si="192"/>
        <v>129560881.32883704</v>
      </c>
      <c r="N66" s="993">
        <f t="shared" ca="1" si="192"/>
        <v>6381676.0799293416</v>
      </c>
      <c r="O66" s="993">
        <f t="shared" ca="1" si="192"/>
        <v>0</v>
      </c>
      <c r="P66" s="993">
        <f t="shared" ca="1" si="192"/>
        <v>41220918.891583756</v>
      </c>
      <c r="Q66" s="993">
        <f t="shared" ca="1" si="192"/>
        <v>173381394.42694873</v>
      </c>
      <c r="R66" s="993">
        <f t="shared" ca="1" si="192"/>
        <v>4473508.1674353052</v>
      </c>
      <c r="S66" s="993">
        <f t="shared" ca="1" si="192"/>
        <v>47669204.402792826</v>
      </c>
      <c r="T66" s="994"/>
      <c r="U66" s="993">
        <f t="shared" ref="U66:AC66" ca="1" si="193">U11+U17+U25+U44+U55+U60+U64</f>
        <v>218092127.8381609</v>
      </c>
      <c r="V66" s="993">
        <f t="shared" ca="1" si="193"/>
        <v>10668732.390227221</v>
      </c>
      <c r="W66" s="993">
        <f t="shared" ca="1" si="193"/>
        <v>42674929.560908884</v>
      </c>
      <c r="X66" s="993">
        <f t="shared" ca="1" si="193"/>
        <v>21795329.785586637</v>
      </c>
      <c r="Y66" s="993">
        <f t="shared" ca="1" si="193"/>
        <v>75756703.762484938</v>
      </c>
      <c r="Z66" s="993">
        <f t="shared" ca="1" si="193"/>
        <v>0</v>
      </c>
      <c r="AA66" s="993">
        <f t="shared" ca="1" si="193"/>
        <v>57497678.612733148</v>
      </c>
      <c r="AB66" s="993">
        <f t="shared" ca="1" si="193"/>
        <v>9563256.7662117481</v>
      </c>
      <c r="AC66" s="993">
        <f t="shared" ca="1" si="193"/>
        <v>0</v>
      </c>
      <c r="AD66" s="455"/>
      <c r="AE66" s="993">
        <f t="shared" ref="AE66:AM66" ca="1" si="194">AE11+AE17+AE25+AE44+AE55+AE60+AE64</f>
        <v>146356203.36659503</v>
      </c>
      <c r="AF66" s="993">
        <f t="shared" ca="1" si="194"/>
        <v>13102464.257241337</v>
      </c>
      <c r="AG66" s="993">
        <f t="shared" ca="1" si="194"/>
        <v>53315620.111465342</v>
      </c>
      <c r="AH66" s="993">
        <f t="shared" ca="1" si="194"/>
        <v>4460774.6487124069</v>
      </c>
      <c r="AI66" s="993">
        <f t="shared" ca="1" si="194"/>
        <v>33841136.493473224</v>
      </c>
      <c r="AJ66" s="993">
        <f t="shared" ca="1" si="194"/>
        <v>8902809.2580394745</v>
      </c>
      <c r="AK66" s="993">
        <f t="shared" ca="1" si="194"/>
        <v>0</v>
      </c>
      <c r="AL66" s="993">
        <f t="shared" ca="1" si="194"/>
        <v>0</v>
      </c>
      <c r="AM66" s="995">
        <f t="shared" ca="1" si="194"/>
        <v>32541724.760863185</v>
      </c>
    </row>
    <row r="67" spans="2:39">
      <c r="B67" s="11"/>
      <c r="E67" s="25"/>
      <c r="F67" s="77"/>
      <c r="G67" s="25"/>
      <c r="H67" s="25"/>
      <c r="I67" s="25"/>
      <c r="J67" s="25"/>
      <c r="K67" s="25"/>
      <c r="L67" s="25"/>
    </row>
  </sheetData>
  <mergeCells count="4">
    <mergeCell ref="K2:S2"/>
    <mergeCell ref="U2:AC2"/>
    <mergeCell ref="AE2:AM2"/>
    <mergeCell ref="B2:I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78C7B-2296-459D-9C01-6C87D3798815}">
  <dimension ref="A1:M14"/>
  <sheetViews>
    <sheetView workbookViewId="0">
      <selection activeCell="M1" sqref="L1:M1"/>
    </sheetView>
  </sheetViews>
  <sheetFormatPr baseColWidth="10" defaultColWidth="8.83203125" defaultRowHeight="13"/>
  <cols>
    <col min="1" max="2" width="12.33203125" style="2" customWidth="1"/>
    <col min="3" max="3" width="15.5" style="2" customWidth="1"/>
    <col min="4" max="10" width="12.33203125" style="2" customWidth="1"/>
    <col min="11" max="16384" width="8.83203125" style="2"/>
  </cols>
  <sheetData>
    <row r="1" spans="1:13" ht="14" thickBot="1">
      <c r="L1" s="301" t="s">
        <v>1</v>
      </c>
      <c r="M1" s="302" t="s">
        <v>2</v>
      </c>
    </row>
    <row r="2" spans="1:13" ht="42">
      <c r="A2" s="888" t="s">
        <v>585</v>
      </c>
      <c r="B2" s="797" t="s">
        <v>586</v>
      </c>
      <c r="C2" s="889" t="s">
        <v>587</v>
      </c>
      <c r="D2" s="797" t="s">
        <v>588</v>
      </c>
      <c r="E2" s="889" t="s">
        <v>589</v>
      </c>
      <c r="F2" s="889" t="s">
        <v>590</v>
      </c>
      <c r="G2" s="889" t="s">
        <v>591</v>
      </c>
      <c r="H2" s="889" t="s">
        <v>592</v>
      </c>
      <c r="I2" s="889" t="s">
        <v>593</v>
      </c>
      <c r="J2" s="890" t="s">
        <v>594</v>
      </c>
    </row>
    <row r="3" spans="1:13">
      <c r="A3" s="147" t="s">
        <v>336</v>
      </c>
      <c r="B3" s="80">
        <f>SUM('Parcel breakdown'!AC18:AD18)</f>
        <v>915569.00000000012</v>
      </c>
      <c r="C3" s="594"/>
      <c r="D3" s="594">
        <v>1066</v>
      </c>
      <c r="E3" s="595">
        <v>1.5</v>
      </c>
      <c r="F3" s="594">
        <f>D3*E3</f>
        <v>1599</v>
      </c>
      <c r="G3" s="9">
        <f>E3/2</f>
        <v>0.75</v>
      </c>
      <c r="H3" s="594">
        <f>D3*G3</f>
        <v>799.5</v>
      </c>
      <c r="I3" s="595">
        <v>0.5</v>
      </c>
      <c r="J3" s="596">
        <f>D3*I3</f>
        <v>533</v>
      </c>
    </row>
    <row r="4" spans="1:13">
      <c r="A4" s="147" t="s">
        <v>15</v>
      </c>
      <c r="B4" s="80">
        <f>'Parcel breakdown'!AF18</f>
        <v>347304</v>
      </c>
      <c r="C4" s="594">
        <v>450</v>
      </c>
      <c r="D4" s="594">
        <v>578.84</v>
      </c>
      <c r="E4" s="595">
        <v>0.5</v>
      </c>
      <c r="F4" s="594">
        <v>289.42</v>
      </c>
      <c r="G4" s="9">
        <f t="shared" ref="G4:G6" si="0">E4/2</f>
        <v>0.25</v>
      </c>
      <c r="H4" s="594">
        <f t="shared" ref="H4:H6" si="1">D4*G4</f>
        <v>144.71</v>
      </c>
      <c r="I4" s="597">
        <v>0.1</v>
      </c>
      <c r="J4" s="596">
        <f t="shared" ref="J4:J6" si="2">D4*I4</f>
        <v>57.884000000000007</v>
      </c>
    </row>
    <row r="5" spans="1:13">
      <c r="A5" s="147" t="s">
        <v>212</v>
      </c>
      <c r="B5" s="80">
        <f>'Parcel breakdown'!AH18</f>
        <v>866508</v>
      </c>
      <c r="C5" s="594">
        <v>1000</v>
      </c>
      <c r="D5" s="594">
        <v>1030.7750000000001</v>
      </c>
      <c r="E5" s="595">
        <v>3</v>
      </c>
      <c r="F5" s="594">
        <v>3092.3249999999998</v>
      </c>
      <c r="G5" s="9">
        <f t="shared" si="0"/>
        <v>1.5</v>
      </c>
      <c r="H5" s="594">
        <f t="shared" si="1"/>
        <v>1546.1625000000001</v>
      </c>
      <c r="I5" s="595">
        <v>0.8</v>
      </c>
      <c r="J5" s="596">
        <f t="shared" si="2"/>
        <v>824.62000000000012</v>
      </c>
    </row>
    <row r="6" spans="1:13">
      <c r="A6" s="147" t="s">
        <v>595</v>
      </c>
      <c r="B6" s="80">
        <f>'Parcel breakdown'!AE18+'Parcel breakdown'!AI18</f>
        <v>158278</v>
      </c>
      <c r="C6" s="594">
        <v>1000</v>
      </c>
      <c r="D6" s="594">
        <v>98.185000000000002</v>
      </c>
      <c r="E6" s="595">
        <v>3</v>
      </c>
      <c r="F6" s="594">
        <v>294.55500000000001</v>
      </c>
      <c r="G6" s="9">
        <f t="shared" si="0"/>
        <v>1.5</v>
      </c>
      <c r="H6" s="594">
        <f t="shared" si="1"/>
        <v>147.2775</v>
      </c>
      <c r="I6" s="595">
        <v>1.45</v>
      </c>
      <c r="J6" s="596">
        <f t="shared" si="2"/>
        <v>142.36824999999999</v>
      </c>
    </row>
    <row r="7" spans="1:13" ht="14" thickBot="1">
      <c r="A7" s="598" t="s">
        <v>55</v>
      </c>
      <c r="B7" s="599">
        <f>SUM(B3:B6)</f>
        <v>2287659</v>
      </c>
      <c r="C7" s="600"/>
      <c r="D7" s="600"/>
      <c r="E7" s="600" t="s">
        <v>55</v>
      </c>
      <c r="F7" s="601">
        <f>SUM(F3:F6)</f>
        <v>5275.3</v>
      </c>
      <c r="G7" s="600" t="s">
        <v>55</v>
      </c>
      <c r="H7" s="601">
        <f>SUM(H3:H6)</f>
        <v>2637.6500000000005</v>
      </c>
      <c r="I7" s="601" t="s">
        <v>55</v>
      </c>
      <c r="J7" s="602">
        <f>'9.Structured Parking'!M8</f>
        <v>1558.2560606060606</v>
      </c>
    </row>
    <row r="8" spans="1:13">
      <c r="J8" s="118">
        <f>SUM(J3:J6)</f>
        <v>1557.8722500000001</v>
      </c>
    </row>
    <row r="9" spans="1:13">
      <c r="A9" s="11" t="s">
        <v>596</v>
      </c>
      <c r="B9" s="1201" t="s">
        <v>597</v>
      </c>
      <c r="C9" s="1201"/>
      <c r="D9" s="1201"/>
      <c r="E9" s="1201"/>
      <c r="F9" s="1201"/>
      <c r="G9" s="1201"/>
      <c r="H9" s="1201"/>
    </row>
    <row r="10" spans="1:13">
      <c r="B10" s="1201"/>
      <c r="C10" s="1201"/>
      <c r="D10" s="1201"/>
      <c r="E10" s="1201"/>
      <c r="F10" s="1201"/>
      <c r="G10" s="1201"/>
      <c r="H10" s="1201"/>
    </row>
    <row r="11" spans="1:13">
      <c r="B11" s="1201"/>
      <c r="C11" s="1201"/>
      <c r="D11" s="1201"/>
      <c r="E11" s="1201"/>
      <c r="F11" s="1201"/>
      <c r="G11" s="1201"/>
      <c r="H11" s="1201"/>
    </row>
    <row r="12" spans="1:13">
      <c r="B12" s="1201"/>
      <c r="C12" s="1201"/>
      <c r="D12" s="1201"/>
      <c r="E12" s="1201"/>
      <c r="F12" s="1201"/>
      <c r="G12" s="1201"/>
      <c r="H12" s="1201"/>
    </row>
    <row r="13" spans="1:13">
      <c r="B13" s="1201"/>
      <c r="C13" s="1201"/>
      <c r="D13" s="1201"/>
      <c r="E13" s="1201"/>
      <c r="F13" s="1201"/>
      <c r="G13" s="1201"/>
      <c r="H13" s="1201"/>
    </row>
    <row r="14" spans="1:13" ht="18.75" customHeight="1">
      <c r="B14" s="1201"/>
      <c r="C14" s="1201"/>
      <c r="D14" s="1201"/>
      <c r="E14" s="1201"/>
      <c r="F14" s="1201"/>
      <c r="G14" s="1201"/>
      <c r="H14" s="1201"/>
    </row>
  </sheetData>
  <mergeCells count="1">
    <mergeCell ref="B9:H1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FCDD9-EC98-47C7-9D69-25F658B96F47}">
  <dimension ref="A1:K40"/>
  <sheetViews>
    <sheetView zoomScale="94" workbookViewId="0">
      <selection activeCell="L34" sqref="L34"/>
    </sheetView>
  </sheetViews>
  <sheetFormatPr baseColWidth="10" defaultColWidth="8.83203125" defaultRowHeight="13"/>
  <cols>
    <col min="1" max="1" width="13.1640625" style="2" customWidth="1"/>
    <col min="2" max="2" width="10" style="2" customWidth="1"/>
    <col min="3" max="8" width="17.6640625" style="2" customWidth="1"/>
    <col min="9" max="9" width="13.5" style="2" bestFit="1" customWidth="1"/>
    <col min="10" max="10" width="25.6640625" style="2" customWidth="1"/>
    <col min="11" max="11" width="15.83203125" style="2" customWidth="1"/>
    <col min="12" max="12" width="8.83203125" style="2"/>
    <col min="13" max="13" width="13.5" style="2" bestFit="1" customWidth="1"/>
    <col min="14" max="16384" width="8.83203125" style="2"/>
  </cols>
  <sheetData>
    <row r="1" spans="1:11" ht="14" thickBot="1">
      <c r="J1" s="301" t="s">
        <v>1</v>
      </c>
      <c r="K1" s="302" t="s">
        <v>2</v>
      </c>
    </row>
    <row r="2" spans="1:11" ht="21" customHeight="1" thickBot="1">
      <c r="A2" s="882" t="s">
        <v>598</v>
      </c>
      <c r="B2" s="883" t="s">
        <v>599</v>
      </c>
      <c r="C2" s="883" t="s">
        <v>600</v>
      </c>
      <c r="D2" s="883" t="s">
        <v>601</v>
      </c>
      <c r="E2" s="883" t="s">
        <v>602</v>
      </c>
      <c r="F2" s="883" t="s">
        <v>603</v>
      </c>
      <c r="G2" s="883" t="s">
        <v>604</v>
      </c>
      <c r="H2" s="884" t="s">
        <v>605</v>
      </c>
    </row>
    <row r="3" spans="1:11">
      <c r="A3" s="974">
        <v>44196</v>
      </c>
      <c r="B3" s="34">
        <v>0</v>
      </c>
      <c r="C3" s="562">
        <v>108038370</v>
      </c>
      <c r="D3" s="562">
        <v>0</v>
      </c>
      <c r="E3" s="562">
        <v>0</v>
      </c>
      <c r="F3" s="562">
        <v>0</v>
      </c>
      <c r="G3" s="562">
        <v>0</v>
      </c>
      <c r="H3" s="754">
        <v>0</v>
      </c>
      <c r="J3" s="972" t="s">
        <v>606</v>
      </c>
      <c r="K3" s="971">
        <v>7.99</v>
      </c>
    </row>
    <row r="4" spans="1:11">
      <c r="A4" s="974">
        <v>44561</v>
      </c>
      <c r="B4" s="34">
        <v>0</v>
      </c>
      <c r="C4" s="562">
        <v>108038370</v>
      </c>
      <c r="D4" s="562">
        <v>0</v>
      </c>
      <c r="E4" s="562">
        <v>0</v>
      </c>
      <c r="F4" s="562">
        <v>0</v>
      </c>
      <c r="G4" s="562">
        <v>0</v>
      </c>
      <c r="H4" s="754">
        <v>0</v>
      </c>
      <c r="J4" s="227" t="s">
        <v>607</v>
      </c>
      <c r="K4" s="231">
        <v>5.4</v>
      </c>
    </row>
    <row r="5" spans="1:11">
      <c r="A5" s="974">
        <v>44926</v>
      </c>
      <c r="B5" s="34">
        <v>0</v>
      </c>
      <c r="C5" s="562">
        <v>108038370</v>
      </c>
      <c r="D5" s="562">
        <v>0</v>
      </c>
      <c r="E5" s="562">
        <v>0</v>
      </c>
      <c r="F5" s="562">
        <v>0</v>
      </c>
      <c r="G5" s="562">
        <v>0</v>
      </c>
      <c r="H5" s="754">
        <v>0</v>
      </c>
      <c r="J5" s="227" t="s">
        <v>608</v>
      </c>
      <c r="K5" s="245">
        <v>0.35</v>
      </c>
    </row>
    <row r="6" spans="1:11">
      <c r="A6" s="974">
        <v>45291</v>
      </c>
      <c r="B6" s="34">
        <v>0</v>
      </c>
      <c r="C6" s="562">
        <v>255343139</v>
      </c>
      <c r="D6" s="562">
        <v>147304769</v>
      </c>
      <c r="E6" s="562">
        <v>1176965</v>
      </c>
      <c r="F6" s="562">
        <v>800012.2</v>
      </c>
      <c r="G6" s="562">
        <v>1878128.44</v>
      </c>
      <c r="H6" s="754">
        <v>1502502.75</v>
      </c>
      <c r="J6" s="227" t="s">
        <v>609</v>
      </c>
      <c r="K6" s="245">
        <v>0.25</v>
      </c>
    </row>
    <row r="7" spans="1:11">
      <c r="A7" s="974">
        <v>45657</v>
      </c>
      <c r="B7" s="34">
        <v>1</v>
      </c>
      <c r="C7" s="562">
        <v>255343139</v>
      </c>
      <c r="D7" s="562">
        <v>147304769</v>
      </c>
      <c r="E7" s="562">
        <v>1176965</v>
      </c>
      <c r="F7" s="562">
        <v>800012.2</v>
      </c>
      <c r="G7" s="562">
        <v>1878128.44</v>
      </c>
      <c r="H7" s="754">
        <v>1502502.75</v>
      </c>
      <c r="J7" s="227" t="s">
        <v>610</v>
      </c>
      <c r="K7" s="230">
        <v>9.5000000000000001E-2</v>
      </c>
    </row>
    <row r="8" spans="1:11">
      <c r="A8" s="974">
        <v>46022</v>
      </c>
      <c r="B8" s="34">
        <v>2</v>
      </c>
      <c r="C8" s="562">
        <v>255343139</v>
      </c>
      <c r="D8" s="562">
        <v>147304769</v>
      </c>
      <c r="E8" s="562">
        <v>1176965</v>
      </c>
      <c r="F8" s="562">
        <v>800012.2</v>
      </c>
      <c r="G8" s="562">
        <v>1878128.44</v>
      </c>
      <c r="H8" s="754">
        <v>1502502.75</v>
      </c>
      <c r="J8" s="227"/>
      <c r="K8" s="229"/>
    </row>
    <row r="9" spans="1:11">
      <c r="A9" s="974">
        <v>46387</v>
      </c>
      <c r="B9" s="34">
        <v>3</v>
      </c>
      <c r="C9" s="562">
        <v>503024619</v>
      </c>
      <c r="D9" s="562">
        <v>394986249</v>
      </c>
      <c r="E9" s="562">
        <v>3155940</v>
      </c>
      <c r="F9" s="562">
        <v>2145170.3199999998</v>
      </c>
      <c r="G9" s="562">
        <v>5036054.93</v>
      </c>
      <c r="H9" s="754">
        <v>4028843.94</v>
      </c>
      <c r="J9" s="227" t="s">
        <v>100</v>
      </c>
      <c r="K9" s="245">
        <v>0.02</v>
      </c>
    </row>
    <row r="10" spans="1:11">
      <c r="A10" s="974">
        <v>46752</v>
      </c>
      <c r="B10" s="34">
        <v>4</v>
      </c>
      <c r="C10" s="562">
        <v>503024619</v>
      </c>
      <c r="D10" s="562">
        <v>394986249</v>
      </c>
      <c r="E10" s="562">
        <v>3155940</v>
      </c>
      <c r="F10" s="562">
        <v>2145170.3199999998</v>
      </c>
      <c r="G10" s="562">
        <v>5036054.93</v>
      </c>
      <c r="H10" s="754">
        <v>4028843.94</v>
      </c>
      <c r="J10" s="227" t="s">
        <v>611</v>
      </c>
      <c r="K10" s="229" t="s">
        <v>612</v>
      </c>
    </row>
    <row r="11" spans="1:11">
      <c r="A11" s="974">
        <v>47118</v>
      </c>
      <c r="B11" s="34">
        <v>5</v>
      </c>
      <c r="C11" s="562">
        <v>800943685</v>
      </c>
      <c r="D11" s="562">
        <v>692905315</v>
      </c>
      <c r="E11" s="562">
        <v>5536313</v>
      </c>
      <c r="F11" s="562">
        <v>3763168.77</v>
      </c>
      <c r="G11" s="562">
        <v>8834508.1199999992</v>
      </c>
      <c r="H11" s="754">
        <v>7067606.5</v>
      </c>
      <c r="J11" s="227" t="s">
        <v>613</v>
      </c>
      <c r="K11" s="229" t="s">
        <v>425</v>
      </c>
    </row>
    <row r="12" spans="1:11">
      <c r="A12" s="974">
        <v>47483</v>
      </c>
      <c r="B12" s="34">
        <v>6</v>
      </c>
      <c r="C12" s="562">
        <v>800943685</v>
      </c>
      <c r="D12" s="562">
        <v>692905315</v>
      </c>
      <c r="E12" s="562">
        <v>5536313</v>
      </c>
      <c r="F12" s="562">
        <v>3763168.77</v>
      </c>
      <c r="G12" s="562">
        <v>8834508.1199999992</v>
      </c>
      <c r="H12" s="754">
        <v>7067606.5</v>
      </c>
      <c r="J12" s="227" t="s">
        <v>427</v>
      </c>
      <c r="K12" s="229" t="s">
        <v>428</v>
      </c>
    </row>
    <row r="13" spans="1:11" ht="14" thickBot="1">
      <c r="A13" s="974">
        <v>47848</v>
      </c>
      <c r="B13" s="34">
        <v>7</v>
      </c>
      <c r="C13" s="562">
        <v>800943685</v>
      </c>
      <c r="D13" s="562">
        <v>692905315</v>
      </c>
      <c r="E13" s="562">
        <v>5536313</v>
      </c>
      <c r="F13" s="562">
        <v>3763168.77</v>
      </c>
      <c r="G13" s="562">
        <v>8834508.1199999992</v>
      </c>
      <c r="H13" s="754">
        <v>7067606.5</v>
      </c>
      <c r="J13" s="238" t="s">
        <v>311</v>
      </c>
      <c r="K13" s="973">
        <v>0.06</v>
      </c>
    </row>
    <row r="14" spans="1:11">
      <c r="A14" s="974">
        <v>48213</v>
      </c>
      <c r="B14" s="34">
        <v>8</v>
      </c>
      <c r="C14" s="562">
        <v>800943685</v>
      </c>
      <c r="D14" s="562">
        <v>692905315</v>
      </c>
      <c r="E14" s="562">
        <v>5536313</v>
      </c>
      <c r="F14" s="562">
        <v>3763168.77</v>
      </c>
      <c r="G14" s="562">
        <v>8834508.1199999992</v>
      </c>
      <c r="H14" s="754">
        <v>7067606.5</v>
      </c>
    </row>
    <row r="15" spans="1:11">
      <c r="A15" s="974">
        <v>48579</v>
      </c>
      <c r="B15" s="34">
        <v>9</v>
      </c>
      <c r="C15" s="562">
        <v>800943685</v>
      </c>
      <c r="D15" s="562">
        <v>692905315</v>
      </c>
      <c r="E15" s="562">
        <v>5536313</v>
      </c>
      <c r="F15" s="562">
        <v>3763168.77</v>
      </c>
      <c r="G15" s="562">
        <v>8834508.1199999992</v>
      </c>
      <c r="H15" s="754">
        <v>7067606.5</v>
      </c>
    </row>
    <row r="16" spans="1:11">
      <c r="A16" s="974">
        <v>48944</v>
      </c>
      <c r="B16" s="34">
        <v>10</v>
      </c>
      <c r="C16" s="562">
        <v>800943685</v>
      </c>
      <c r="D16" s="562">
        <v>692905315</v>
      </c>
      <c r="E16" s="562">
        <v>5536313</v>
      </c>
      <c r="F16" s="562">
        <v>3763168.77</v>
      </c>
      <c r="G16" s="562">
        <v>8834508.1199999992</v>
      </c>
      <c r="H16" s="754">
        <v>7067606.5</v>
      </c>
    </row>
    <row r="17" spans="1:11" ht="14" thickBot="1">
      <c r="A17" s="974">
        <v>49309</v>
      </c>
      <c r="B17" s="34">
        <v>11</v>
      </c>
      <c r="C17" s="562">
        <v>800943685</v>
      </c>
      <c r="D17" s="562">
        <v>692905315</v>
      </c>
      <c r="E17" s="562">
        <v>5536313</v>
      </c>
      <c r="F17" s="562">
        <v>3763168.77</v>
      </c>
      <c r="G17" s="562">
        <v>8834508.1199999992</v>
      </c>
      <c r="H17" s="754">
        <v>7067606.5</v>
      </c>
    </row>
    <row r="18" spans="1:11">
      <c r="A18" s="974">
        <v>49674</v>
      </c>
      <c r="B18" s="34">
        <v>12</v>
      </c>
      <c r="C18" s="562">
        <v>800943685</v>
      </c>
      <c r="D18" s="562">
        <v>692905315</v>
      </c>
      <c r="E18" s="562">
        <v>5536313</v>
      </c>
      <c r="F18" s="562">
        <v>3763168.77</v>
      </c>
      <c r="G18" s="562">
        <v>8834508.1199999992</v>
      </c>
      <c r="H18" s="754">
        <v>7067606.5</v>
      </c>
      <c r="J18" s="970" t="s">
        <v>614</v>
      </c>
      <c r="K18" s="971"/>
    </row>
    <row r="19" spans="1:11">
      <c r="A19" s="974">
        <v>50040</v>
      </c>
      <c r="B19" s="34">
        <v>13</v>
      </c>
      <c r="C19" s="562">
        <v>800943685</v>
      </c>
      <c r="D19" s="562">
        <v>692905315</v>
      </c>
      <c r="E19" s="562">
        <v>5536313</v>
      </c>
      <c r="F19" s="562">
        <v>3763168.77</v>
      </c>
      <c r="G19" s="562">
        <v>8834508.1199999992</v>
      </c>
      <c r="H19" s="754">
        <v>7067606.5</v>
      </c>
      <c r="J19" s="227" t="s">
        <v>615</v>
      </c>
      <c r="K19" s="228">
        <v>52038370</v>
      </c>
    </row>
    <row r="20" spans="1:11">
      <c r="A20" s="974">
        <v>50405</v>
      </c>
      <c r="B20" s="34">
        <v>14</v>
      </c>
      <c r="C20" s="562">
        <v>800943685</v>
      </c>
      <c r="D20" s="562">
        <v>692905315</v>
      </c>
      <c r="E20" s="562">
        <v>5536313</v>
      </c>
      <c r="F20" s="562">
        <v>3763168.77</v>
      </c>
      <c r="G20" s="562">
        <v>8834508.1199999992</v>
      </c>
      <c r="H20" s="754">
        <v>7067606.5</v>
      </c>
      <c r="J20" s="227" t="s">
        <v>616</v>
      </c>
      <c r="K20" s="228">
        <f>Assumptions!D72</f>
        <v>56643589.887000002</v>
      </c>
    </row>
    <row r="21" spans="1:11">
      <c r="A21" s="974">
        <v>50770</v>
      </c>
      <c r="B21" s="34">
        <v>15</v>
      </c>
      <c r="C21" s="562">
        <v>800943685</v>
      </c>
      <c r="D21" s="562">
        <v>692905315</v>
      </c>
      <c r="E21" s="562">
        <v>5536313</v>
      </c>
      <c r="F21" s="562">
        <v>3763168.77</v>
      </c>
      <c r="G21" s="562">
        <v>8834508.1199999992</v>
      </c>
      <c r="H21" s="754">
        <v>7067606.5</v>
      </c>
      <c r="J21" s="227" t="s">
        <v>55</v>
      </c>
      <c r="K21" s="228">
        <f>K19+K20</f>
        <v>108681959.88699999</v>
      </c>
    </row>
    <row r="22" spans="1:11">
      <c r="A22" s="974">
        <v>51135</v>
      </c>
      <c r="B22" s="34">
        <v>16</v>
      </c>
      <c r="C22" s="562">
        <v>800943685</v>
      </c>
      <c r="D22" s="562">
        <v>692905315</v>
      </c>
      <c r="E22" s="562">
        <v>5536313</v>
      </c>
      <c r="F22" s="562">
        <v>3763168.77</v>
      </c>
      <c r="G22" s="562">
        <v>8834508.1199999992</v>
      </c>
      <c r="H22" s="754">
        <v>7067606.5</v>
      </c>
      <c r="J22" s="449" t="s">
        <v>617</v>
      </c>
      <c r="K22" s="229"/>
    </row>
    <row r="23" spans="1:11">
      <c r="A23" s="974">
        <v>51501</v>
      </c>
      <c r="B23" s="34">
        <v>17</v>
      </c>
      <c r="C23" s="562">
        <v>800943685</v>
      </c>
      <c r="D23" s="562">
        <v>692905315</v>
      </c>
      <c r="E23" s="562">
        <v>5536313</v>
      </c>
      <c r="F23" s="562">
        <v>3763168.77</v>
      </c>
      <c r="G23" s="562">
        <v>8834508.1199999992</v>
      </c>
      <c r="H23" s="754">
        <v>7067606.5</v>
      </c>
      <c r="J23" s="227" t="s">
        <v>601</v>
      </c>
      <c r="K23" s="228">
        <v>147304769</v>
      </c>
    </row>
    <row r="24" spans="1:11">
      <c r="A24" s="974">
        <v>51866</v>
      </c>
      <c r="B24" s="34">
        <v>18</v>
      </c>
      <c r="C24" s="562">
        <v>800943685</v>
      </c>
      <c r="D24" s="562">
        <v>692905315</v>
      </c>
      <c r="E24" s="562">
        <v>5536313</v>
      </c>
      <c r="F24" s="562">
        <v>3763168.77</v>
      </c>
      <c r="G24" s="562">
        <v>8834508.1199999992</v>
      </c>
      <c r="H24" s="754">
        <v>7067606.5</v>
      </c>
      <c r="J24" s="227" t="s">
        <v>618</v>
      </c>
      <c r="K24" s="228">
        <v>255343139</v>
      </c>
    </row>
    <row r="25" spans="1:11">
      <c r="A25" s="974">
        <v>52231</v>
      </c>
      <c r="B25" s="34">
        <v>19</v>
      </c>
      <c r="C25" s="562">
        <v>800943685</v>
      </c>
      <c r="D25" s="562">
        <v>692905315</v>
      </c>
      <c r="E25" s="562">
        <v>5536313</v>
      </c>
      <c r="F25" s="562">
        <v>3763168.77</v>
      </c>
      <c r="G25" s="562">
        <v>8834508.1199999992</v>
      </c>
      <c r="H25" s="754">
        <v>7067606.5</v>
      </c>
      <c r="J25" s="449" t="s">
        <v>619</v>
      </c>
      <c r="K25" s="229"/>
    </row>
    <row r="26" spans="1:11">
      <c r="A26" s="974">
        <v>52596</v>
      </c>
      <c r="B26" s="34">
        <v>20</v>
      </c>
      <c r="C26" s="562">
        <v>800943685</v>
      </c>
      <c r="D26" s="562">
        <v>692905315</v>
      </c>
      <c r="E26" s="562">
        <v>5536313</v>
      </c>
      <c r="F26" s="562">
        <v>3763168.77</v>
      </c>
      <c r="G26" s="562">
        <v>8834508.1199999992</v>
      </c>
      <c r="H26" s="754">
        <v>7067606.5</v>
      </c>
      <c r="J26" s="227" t="s">
        <v>601</v>
      </c>
      <c r="K26" s="228">
        <v>247681480</v>
      </c>
    </row>
    <row r="27" spans="1:11">
      <c r="A27" s="974">
        <v>52962</v>
      </c>
      <c r="B27" s="34">
        <v>21</v>
      </c>
      <c r="C27" s="562">
        <v>800943685</v>
      </c>
      <c r="D27" s="562">
        <v>692905315</v>
      </c>
      <c r="E27" s="562">
        <v>5536313</v>
      </c>
      <c r="F27" s="562">
        <v>3763168.77</v>
      </c>
      <c r="G27" s="562">
        <v>8834508.1199999992</v>
      </c>
      <c r="H27" s="754">
        <v>7067606.5</v>
      </c>
      <c r="J27" s="227" t="s">
        <v>618</v>
      </c>
      <c r="K27" s="228">
        <v>503024619</v>
      </c>
    </row>
    <row r="28" spans="1:11">
      <c r="A28" s="974">
        <v>53327</v>
      </c>
      <c r="B28" s="34">
        <v>22</v>
      </c>
      <c r="C28" s="562">
        <v>800943685</v>
      </c>
      <c r="D28" s="562">
        <v>692905315</v>
      </c>
      <c r="E28" s="562">
        <v>5536313</v>
      </c>
      <c r="F28" s="562">
        <v>3763168.77</v>
      </c>
      <c r="G28" s="562">
        <v>8834508.1199999992</v>
      </c>
      <c r="H28" s="754">
        <v>7067606.5</v>
      </c>
      <c r="J28" s="449" t="s">
        <v>620</v>
      </c>
      <c r="K28" s="229"/>
    </row>
    <row r="29" spans="1:11">
      <c r="A29" s="974">
        <v>53692</v>
      </c>
      <c r="B29" s="34">
        <v>23</v>
      </c>
      <c r="C29" s="562">
        <v>800943685</v>
      </c>
      <c r="D29" s="562">
        <v>692905315</v>
      </c>
      <c r="E29" s="562">
        <v>5536313</v>
      </c>
      <c r="F29" s="562">
        <v>3763168.77</v>
      </c>
      <c r="G29" s="562">
        <v>8834508.1199999992</v>
      </c>
      <c r="H29" s="754">
        <v>7067606.5</v>
      </c>
      <c r="J29" s="227" t="s">
        <v>601</v>
      </c>
      <c r="K29" s="228">
        <v>297919066</v>
      </c>
    </row>
    <row r="30" spans="1:11" ht="14" thickBot="1">
      <c r="A30" s="974">
        <v>54057</v>
      </c>
      <c r="B30" s="34">
        <v>24</v>
      </c>
      <c r="C30" s="562">
        <v>800943685</v>
      </c>
      <c r="D30" s="562">
        <v>692905315</v>
      </c>
      <c r="E30" s="562">
        <v>5536313</v>
      </c>
      <c r="F30" s="562">
        <v>3763168.77</v>
      </c>
      <c r="G30" s="562">
        <v>8834508.1199999992</v>
      </c>
      <c r="H30" s="754">
        <v>7067606.5</v>
      </c>
      <c r="J30" s="238" t="s">
        <v>618</v>
      </c>
      <c r="K30" s="236">
        <v>800943685</v>
      </c>
    </row>
    <row r="31" spans="1:11">
      <c r="A31" s="974">
        <v>54423</v>
      </c>
      <c r="B31" s="34">
        <v>25</v>
      </c>
      <c r="C31" s="562">
        <v>800943685</v>
      </c>
      <c r="D31" s="562">
        <v>692905315</v>
      </c>
      <c r="E31" s="562">
        <v>5536313</v>
      </c>
      <c r="F31" s="562">
        <v>3763168.77</v>
      </c>
      <c r="G31" s="562">
        <v>8834508.1199999992</v>
      </c>
      <c r="H31" s="754">
        <v>7067606.5</v>
      </c>
    </row>
    <row r="32" spans="1:11">
      <c r="A32" s="974">
        <v>54788</v>
      </c>
      <c r="B32" s="34">
        <v>26</v>
      </c>
      <c r="C32" s="562">
        <v>800943685</v>
      </c>
      <c r="D32" s="562">
        <v>692905315</v>
      </c>
      <c r="E32" s="562">
        <v>5536313</v>
      </c>
      <c r="F32" s="562">
        <v>3763168.77</v>
      </c>
      <c r="G32" s="562">
        <v>8834508.1199999992</v>
      </c>
      <c r="H32" s="754">
        <v>7067606.5</v>
      </c>
    </row>
    <row r="33" spans="1:10">
      <c r="A33" s="974">
        <v>55153</v>
      </c>
      <c r="B33" s="34">
        <v>27</v>
      </c>
      <c r="C33" s="562">
        <v>800943685</v>
      </c>
      <c r="D33" s="562">
        <v>692905315</v>
      </c>
      <c r="E33" s="562">
        <v>5536313</v>
      </c>
      <c r="F33" s="562">
        <v>3763168.77</v>
      </c>
      <c r="G33" s="562">
        <v>8834508.1199999992</v>
      </c>
      <c r="H33" s="754">
        <v>7067606.5</v>
      </c>
    </row>
    <row r="34" spans="1:10">
      <c r="A34" s="974">
        <v>55518</v>
      </c>
      <c r="B34" s="34">
        <v>28</v>
      </c>
      <c r="C34" s="562">
        <v>800943685</v>
      </c>
      <c r="D34" s="562">
        <v>692905315</v>
      </c>
      <c r="E34" s="562">
        <v>5536313</v>
      </c>
      <c r="F34" s="562">
        <v>3763168.77</v>
      </c>
      <c r="G34" s="562">
        <v>8834508.1199999992</v>
      </c>
      <c r="H34" s="754">
        <v>7067606.5</v>
      </c>
    </row>
    <row r="35" spans="1:10">
      <c r="A35" s="974">
        <v>55884</v>
      </c>
      <c r="B35" s="34">
        <v>29</v>
      </c>
      <c r="C35" s="562">
        <v>800943685</v>
      </c>
      <c r="D35" s="562">
        <v>692905315</v>
      </c>
      <c r="E35" s="562">
        <v>5536313</v>
      </c>
      <c r="F35" s="562">
        <v>3763168.77</v>
      </c>
      <c r="G35" s="562">
        <v>8834508.1199999992</v>
      </c>
      <c r="H35" s="754">
        <v>7067606.5</v>
      </c>
    </row>
    <row r="36" spans="1:10">
      <c r="A36" s="980">
        <v>56249</v>
      </c>
      <c r="B36" s="48">
        <v>30</v>
      </c>
      <c r="C36" s="564">
        <v>800943685</v>
      </c>
      <c r="D36" s="564">
        <v>692905315</v>
      </c>
      <c r="E36" s="564">
        <v>5536313</v>
      </c>
      <c r="F36" s="564">
        <v>3763168.77</v>
      </c>
      <c r="G36" s="564">
        <v>8834508.1199999992</v>
      </c>
      <c r="H36" s="755">
        <v>7067606.5</v>
      </c>
    </row>
    <row r="37" spans="1:10" ht="14" thickBot="1">
      <c r="A37" s="238"/>
      <c r="B37" s="240"/>
      <c r="C37" s="975"/>
      <c r="D37" s="975"/>
      <c r="E37" s="975"/>
      <c r="F37" s="975"/>
      <c r="G37" s="976" t="s">
        <v>621</v>
      </c>
      <c r="H37" s="977">
        <v>69480487.230000004</v>
      </c>
    </row>
    <row r="38" spans="1:10">
      <c r="H38" s="81"/>
    </row>
    <row r="39" spans="1:10">
      <c r="H39" s="81">
        <f>H37-'Summary Board II -  S+U'!D10</f>
        <v>3.0000060796737671E-3</v>
      </c>
    </row>
    <row r="40" spans="1:10">
      <c r="J40" s="81">
        <f>1291138.54</f>
        <v>1291138.54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5405C-602C-443A-B5B3-C83C879F0807}">
  <dimension ref="A1:O31"/>
  <sheetViews>
    <sheetView workbookViewId="0">
      <selection activeCell="E22" sqref="E22"/>
    </sheetView>
  </sheetViews>
  <sheetFormatPr baseColWidth="10" defaultColWidth="8.83203125" defaultRowHeight="13"/>
  <cols>
    <col min="1" max="1" width="39.5" style="2" bestFit="1" customWidth="1"/>
    <col min="2" max="2" width="7.33203125" style="2" bestFit="1" customWidth="1"/>
    <col min="3" max="9" width="11.83203125" style="2" bestFit="1" customWidth="1"/>
    <col min="10" max="16384" width="8.83203125" style="2"/>
  </cols>
  <sheetData>
    <row r="1" spans="1:15" ht="14" thickBot="1">
      <c r="L1" s="301" t="s">
        <v>1</v>
      </c>
      <c r="M1" s="302" t="s">
        <v>2</v>
      </c>
    </row>
    <row r="2" spans="1:15" ht="14" thickBot="1">
      <c r="A2" s="885" t="s">
        <v>522</v>
      </c>
      <c r="B2" s="886"/>
      <c r="C2" s="886" t="s">
        <v>55</v>
      </c>
      <c r="D2" s="886" t="s">
        <v>4</v>
      </c>
      <c r="E2" s="886" t="s">
        <v>5</v>
      </c>
      <c r="F2" s="887" t="s">
        <v>6</v>
      </c>
    </row>
    <row r="3" spans="1:15">
      <c r="A3" s="227" t="s">
        <v>571</v>
      </c>
      <c r="B3" s="85"/>
      <c r="C3" s="83">
        <f ca="1">SUM(D3:F3)</f>
        <v>13591761.144390333</v>
      </c>
      <c r="D3" s="83">
        <f ca="1">M10*'Summary Board II -  S+U'!F31</f>
        <v>3588321.9426140045</v>
      </c>
      <c r="E3" s="83">
        <f ca="1">N9*'Summary Board II -  S+U'!H31</f>
        <v>8989844.3932101633</v>
      </c>
      <c r="F3" s="228">
        <f ca="1">O10*'Summary Board II -  S+U'!J31</f>
        <v>1013594.8085661652</v>
      </c>
      <c r="I3" s="882" t="s">
        <v>622</v>
      </c>
      <c r="J3" s="883"/>
      <c r="K3" s="883"/>
      <c r="L3" s="883" t="s">
        <v>503</v>
      </c>
      <c r="M3" s="883" t="s">
        <v>4</v>
      </c>
      <c r="N3" s="883" t="s">
        <v>5</v>
      </c>
      <c r="O3" s="884" t="s">
        <v>6</v>
      </c>
    </row>
    <row r="4" spans="1:15">
      <c r="A4" s="227" t="s">
        <v>572</v>
      </c>
      <c r="B4" s="85"/>
      <c r="C4" s="83">
        <f t="shared" ref="C4:C10" ca="1" si="0">SUM(D4:F4)</f>
        <v>45487876.248591565</v>
      </c>
      <c r="D4" s="83">
        <f ca="1">M9*M12*2*'Summary Board II -  S+U'!F31</f>
        <v>26356224.668499865</v>
      </c>
      <c r="E4" s="83">
        <f ca="1">N9*N12*2*'Summary Board II -  S+U'!H31</f>
        <v>11686797.711173214</v>
      </c>
      <c r="F4" s="228">
        <f ca="1">O9*O12*2*'Summary Board II -  S+U'!J31</f>
        <v>7444853.8689184831</v>
      </c>
      <c r="I4" s="227" t="s">
        <v>623</v>
      </c>
      <c r="J4" s="34"/>
      <c r="K4" s="34"/>
      <c r="L4" s="34"/>
      <c r="M4" s="71">
        <v>1.9E-2</v>
      </c>
      <c r="N4" s="71">
        <v>1.9E-2</v>
      </c>
      <c r="O4" s="230">
        <v>1.9E-2</v>
      </c>
    </row>
    <row r="5" spans="1:15">
      <c r="A5" s="227" t="s">
        <v>573</v>
      </c>
      <c r="B5" s="85"/>
      <c r="C5" s="83">
        <f t="shared" si="0"/>
        <v>694804.87226999993</v>
      </c>
      <c r="D5" s="83">
        <f>M25*'Summary Board II -  S+U'!F32</f>
        <v>144180.67345</v>
      </c>
      <c r="E5" s="83">
        <f>N25*'Summary Board II -  S+U'!H32</f>
        <v>362820.65239999996</v>
      </c>
      <c r="F5" s="228">
        <f>O25*'Summary Board II -  S+U'!J32</f>
        <v>187803.54641999997</v>
      </c>
      <c r="I5" s="227"/>
      <c r="J5" s="34"/>
      <c r="K5" s="34"/>
      <c r="L5" s="34"/>
      <c r="M5" s="34"/>
      <c r="N5" s="34"/>
      <c r="O5" s="229"/>
    </row>
    <row r="6" spans="1:15">
      <c r="A6" s="227" t="s">
        <v>574</v>
      </c>
      <c r="B6" s="85"/>
      <c r="C6" s="83">
        <f t="shared" si="0"/>
        <v>4168829.2336199991</v>
      </c>
      <c r="D6" s="83">
        <f>M23*M26*2*'Summary Board II -  S+U'!F32</f>
        <v>865084.0406999999</v>
      </c>
      <c r="E6" s="83">
        <f>N23*N26*2*'Summary Board II -  S+U'!H32</f>
        <v>2176923.9143999997</v>
      </c>
      <c r="F6" s="228">
        <f>O23*O26*2*'Summary Board II -  S+U'!J32</f>
        <v>1126821.2785199997</v>
      </c>
      <c r="I6" s="449" t="s">
        <v>70</v>
      </c>
      <c r="J6" s="34"/>
      <c r="K6" s="34"/>
      <c r="L6" s="34"/>
      <c r="M6" s="34"/>
      <c r="N6" s="34"/>
      <c r="O6" s="229"/>
    </row>
    <row r="7" spans="1:15">
      <c r="A7" s="227" t="s">
        <v>575</v>
      </c>
      <c r="B7" s="85"/>
      <c r="C7" s="83">
        <f t="shared" si="0"/>
        <v>82213.40134210822</v>
      </c>
      <c r="D7" s="83">
        <f>M30*'Summary Board II -  S+U'!F11</f>
        <v>82213.400000000009</v>
      </c>
      <c r="E7" s="83">
        <f>N30*'Summary Board II -  S+U'!G11</f>
        <v>1.3421082063038981E-3</v>
      </c>
      <c r="F7" s="228">
        <f>O30*'Summary Board II -  S+U'!H11</f>
        <v>0</v>
      </c>
      <c r="I7" s="227" t="s">
        <v>624</v>
      </c>
      <c r="J7" s="34"/>
      <c r="K7" s="34"/>
      <c r="L7" s="34"/>
      <c r="M7" s="244">
        <v>0.6</v>
      </c>
      <c r="N7" s="244">
        <v>0.6</v>
      </c>
      <c r="O7" s="245">
        <v>0.6</v>
      </c>
    </row>
    <row r="8" spans="1:15">
      <c r="A8" s="227" t="s">
        <v>576</v>
      </c>
      <c r="B8" s="85"/>
      <c r="C8" s="83">
        <f t="shared" si="0"/>
        <v>184980.15301974345</v>
      </c>
      <c r="D8" s="83">
        <f>M29*'Summary Board II -  S+U'!F11</f>
        <v>184980.15</v>
      </c>
      <c r="E8" s="83">
        <f>N29*'Summary Board II -  S+U'!G11</f>
        <v>3.0197434641837705E-3</v>
      </c>
      <c r="F8" s="228">
        <f>O29*'Summary Board II -  S+U'!H11</f>
        <v>0</v>
      </c>
      <c r="I8" s="227" t="s">
        <v>311</v>
      </c>
      <c r="J8" s="34"/>
      <c r="K8" s="34"/>
      <c r="L8" s="34"/>
      <c r="M8" s="34" t="s">
        <v>625</v>
      </c>
      <c r="N8" s="34" t="s">
        <v>625</v>
      </c>
      <c r="O8" s="229" t="s">
        <v>625</v>
      </c>
    </row>
    <row r="9" spans="1:15">
      <c r="A9" s="227" t="s">
        <v>577</v>
      </c>
      <c r="B9" s="85"/>
      <c r="C9" s="83">
        <f t="shared" si="0"/>
        <v>411067.00671054103</v>
      </c>
      <c r="D9" s="83">
        <f>M31*'Summary Board II -  S+U'!F11</f>
        <v>411067</v>
      </c>
      <c r="E9" s="83">
        <f>N31*'Summary Board II -  S+U'!G11</f>
        <v>6.7105410315194906E-3</v>
      </c>
      <c r="F9" s="228">
        <f>O31*'Summary Board II -  S+U'!H11</f>
        <v>0</v>
      </c>
      <c r="I9" s="227" t="s">
        <v>626</v>
      </c>
      <c r="J9" s="34"/>
      <c r="K9" s="34"/>
      <c r="L9" s="34"/>
      <c r="M9" s="71">
        <f>M4+3.75%</f>
        <v>5.6499999999999995E-2</v>
      </c>
      <c r="N9" s="71">
        <f>N4+3.75%</f>
        <v>5.6499999999999995E-2</v>
      </c>
      <c r="O9" s="230">
        <f>O4+3.75%</f>
        <v>5.6499999999999995E-2</v>
      </c>
    </row>
    <row r="10" spans="1:15">
      <c r="A10" s="227" t="s">
        <v>627</v>
      </c>
      <c r="B10" s="85"/>
      <c r="C10" s="83">
        <f t="shared" ca="1" si="0"/>
        <v>115057.1903570228</v>
      </c>
      <c r="D10" s="83">
        <f>0.004*'Loan sizing and public sources'!D18</f>
        <v>87963.646902330787</v>
      </c>
      <c r="E10" s="83">
        <f ca="1">0.004*'Loan sizing and public sources'!E18</f>
        <v>12158.835653015993</v>
      </c>
      <c r="F10" s="228">
        <f ca="1">0.004*'Loan sizing and public sources'!F18</f>
        <v>14934.707801676013</v>
      </c>
      <c r="I10" s="227" t="s">
        <v>628</v>
      </c>
      <c r="J10" s="34"/>
      <c r="K10" s="34"/>
      <c r="L10" s="34"/>
      <c r="M10" s="71">
        <v>0.01</v>
      </c>
      <c r="N10" s="71">
        <v>0.01</v>
      </c>
      <c r="O10" s="230">
        <v>0.01</v>
      </c>
    </row>
    <row r="11" spans="1:15" ht="14" thickBot="1">
      <c r="A11" s="238" t="s">
        <v>629</v>
      </c>
      <c r="B11" s="303"/>
      <c r="C11" s="235">
        <f ca="1">SUM(D11:F11)</f>
        <v>64736589.250301301</v>
      </c>
      <c r="D11" s="235">
        <f ca="1">SUM(D3:D10)</f>
        <v>31720035.522166196</v>
      </c>
      <c r="E11" s="235">
        <f t="shared" ref="E11:F11" ca="1" si="1">SUM(E3:E10)</f>
        <v>23228545.517908782</v>
      </c>
      <c r="F11" s="236">
        <f t="shared" ca="1" si="1"/>
        <v>9788008.2102263235</v>
      </c>
      <c r="I11" s="227"/>
      <c r="J11" s="34"/>
      <c r="K11" s="34"/>
      <c r="L11" s="34"/>
      <c r="M11" s="71"/>
      <c r="N11" s="71"/>
      <c r="O11" s="230"/>
    </row>
    <row r="12" spans="1:15">
      <c r="I12" s="227" t="s">
        <v>630</v>
      </c>
      <c r="J12" s="34"/>
      <c r="K12" s="34"/>
      <c r="L12" s="34"/>
      <c r="M12" s="244">
        <v>0.65</v>
      </c>
      <c r="N12" s="244">
        <v>0.65</v>
      </c>
      <c r="O12" s="245">
        <v>0.65</v>
      </c>
    </row>
    <row r="13" spans="1:15">
      <c r="I13" s="227"/>
      <c r="J13" s="34"/>
      <c r="K13" s="34"/>
      <c r="L13" s="34"/>
      <c r="M13" s="34"/>
      <c r="N13" s="34"/>
      <c r="O13" s="229"/>
    </row>
    <row r="14" spans="1:15">
      <c r="I14" s="449" t="s">
        <v>631</v>
      </c>
      <c r="J14" s="34"/>
      <c r="K14" s="34"/>
      <c r="L14" s="34"/>
      <c r="M14" s="34"/>
      <c r="N14" s="34"/>
      <c r="O14" s="229"/>
    </row>
    <row r="15" spans="1:15">
      <c r="I15" s="227" t="s">
        <v>417</v>
      </c>
      <c r="J15" s="34"/>
      <c r="K15" s="34"/>
      <c r="L15" s="34"/>
      <c r="M15" s="244">
        <v>0.65</v>
      </c>
      <c r="N15" s="244">
        <v>0.65</v>
      </c>
      <c r="O15" s="245">
        <v>0.65</v>
      </c>
    </row>
    <row r="16" spans="1:15">
      <c r="I16" s="227" t="s">
        <v>424</v>
      </c>
      <c r="J16" s="34"/>
      <c r="K16" s="34"/>
      <c r="L16" s="34"/>
      <c r="M16" s="34" t="s">
        <v>425</v>
      </c>
      <c r="N16" s="34" t="s">
        <v>425</v>
      </c>
      <c r="O16" s="229" t="s">
        <v>425</v>
      </c>
    </row>
    <row r="17" spans="9:15">
      <c r="I17" s="227" t="s">
        <v>311</v>
      </c>
      <c r="J17" s="34"/>
      <c r="K17" s="34"/>
      <c r="L17" s="34"/>
      <c r="M17" s="71">
        <v>6.5000000000000002E-2</v>
      </c>
      <c r="N17" s="71">
        <v>6.5000000000000002E-2</v>
      </c>
      <c r="O17" s="230">
        <v>6.5000000000000002E-2</v>
      </c>
    </row>
    <row r="18" spans="9:15">
      <c r="I18" s="227" t="s">
        <v>628</v>
      </c>
      <c r="J18" s="34"/>
      <c r="K18" s="34"/>
      <c r="L18" s="34"/>
      <c r="M18" s="71">
        <v>7.4999999999999997E-3</v>
      </c>
      <c r="N18" s="71">
        <v>7.4999999999999997E-3</v>
      </c>
      <c r="O18" s="230">
        <v>7.4999999999999997E-3</v>
      </c>
    </row>
    <row r="19" spans="9:15">
      <c r="I19" s="227" t="s">
        <v>427</v>
      </c>
      <c r="J19" s="34"/>
      <c r="K19" s="34"/>
      <c r="L19" s="34"/>
      <c r="M19" s="34" t="s">
        <v>428</v>
      </c>
      <c r="N19" s="34" t="s">
        <v>428</v>
      </c>
      <c r="O19" s="229" t="s">
        <v>428</v>
      </c>
    </row>
    <row r="20" spans="9:15">
      <c r="I20" s="227"/>
      <c r="J20" s="34"/>
      <c r="K20" s="34"/>
      <c r="L20" s="34"/>
      <c r="M20" s="34"/>
      <c r="N20" s="34"/>
      <c r="O20" s="229"/>
    </row>
    <row r="21" spans="9:15">
      <c r="I21" s="449" t="s">
        <v>78</v>
      </c>
      <c r="J21" s="34"/>
      <c r="K21" s="34"/>
      <c r="L21" s="34"/>
      <c r="M21" s="34"/>
      <c r="N21" s="34"/>
      <c r="O21" s="229"/>
    </row>
    <row r="22" spans="9:15">
      <c r="I22" s="227" t="s">
        <v>424</v>
      </c>
      <c r="J22" s="34"/>
      <c r="K22" s="34"/>
      <c r="L22" s="34"/>
      <c r="M22" s="34" t="s">
        <v>425</v>
      </c>
      <c r="N22" s="34" t="s">
        <v>425</v>
      </c>
      <c r="O22" s="229" t="s">
        <v>425</v>
      </c>
    </row>
    <row r="23" spans="9:15">
      <c r="I23" s="227" t="s">
        <v>311</v>
      </c>
      <c r="J23" s="34"/>
      <c r="K23" s="34"/>
      <c r="L23" s="34"/>
      <c r="M23" s="71">
        <v>0.06</v>
      </c>
      <c r="N23" s="71">
        <v>0.06</v>
      </c>
      <c r="O23" s="230">
        <v>0.06</v>
      </c>
    </row>
    <row r="24" spans="9:15">
      <c r="I24" s="227" t="s">
        <v>427</v>
      </c>
      <c r="J24" s="34"/>
      <c r="K24" s="34"/>
      <c r="L24" s="34"/>
      <c r="M24" s="34" t="s">
        <v>428</v>
      </c>
      <c r="N24" s="34" t="s">
        <v>428</v>
      </c>
      <c r="O24" s="229" t="s">
        <v>428</v>
      </c>
    </row>
    <row r="25" spans="9:15">
      <c r="I25" s="227" t="s">
        <v>628</v>
      </c>
      <c r="J25" s="34"/>
      <c r="K25" s="34"/>
      <c r="L25" s="34"/>
      <c r="M25" s="71">
        <v>0.01</v>
      </c>
      <c r="N25" s="71">
        <v>0.01</v>
      </c>
      <c r="O25" s="230">
        <v>0.01</v>
      </c>
    </row>
    <row r="26" spans="9:15">
      <c r="I26" s="227" t="s">
        <v>632</v>
      </c>
      <c r="J26" s="34"/>
      <c r="K26" s="34"/>
      <c r="L26" s="34"/>
      <c r="M26" s="244">
        <v>0.5</v>
      </c>
      <c r="N26" s="244">
        <v>0.5</v>
      </c>
      <c r="O26" s="245">
        <v>0.5</v>
      </c>
    </row>
    <row r="27" spans="9:15">
      <c r="I27" s="227"/>
      <c r="J27" s="34"/>
      <c r="K27" s="34"/>
      <c r="L27" s="34"/>
      <c r="M27" s="34"/>
      <c r="N27" s="34"/>
      <c r="O27" s="229"/>
    </row>
    <row r="28" spans="9:15">
      <c r="I28" s="449" t="s">
        <v>80</v>
      </c>
      <c r="J28" s="34"/>
      <c r="K28" s="34"/>
      <c r="L28" s="34"/>
      <c r="M28" s="34" t="s">
        <v>97</v>
      </c>
      <c r="N28" s="34" t="s">
        <v>98</v>
      </c>
      <c r="O28" s="229" t="s">
        <v>99</v>
      </c>
    </row>
    <row r="29" spans="9:15">
      <c r="I29" s="227" t="s">
        <v>311</v>
      </c>
      <c r="J29" s="34"/>
      <c r="K29" s="34"/>
      <c r="L29" s="34"/>
      <c r="M29" s="71">
        <v>2.2499999999999999E-2</v>
      </c>
      <c r="N29" s="71">
        <v>2.2499999999999999E-2</v>
      </c>
      <c r="O29" s="230">
        <v>2.2499999999999999E-2</v>
      </c>
    </row>
    <row r="30" spans="9:15">
      <c r="I30" s="227" t="s">
        <v>628</v>
      </c>
      <c r="J30" s="34"/>
      <c r="K30" s="34"/>
      <c r="L30" s="34"/>
      <c r="M30" s="244">
        <v>0.01</v>
      </c>
      <c r="N30" s="244">
        <v>0.01</v>
      </c>
      <c r="O30" s="245">
        <v>0.01</v>
      </c>
    </row>
    <row r="31" spans="9:15" ht="14" thickBot="1">
      <c r="I31" s="238" t="s">
        <v>633</v>
      </c>
      <c r="J31" s="240"/>
      <c r="K31" s="240"/>
      <c r="L31" s="240"/>
      <c r="M31" s="978">
        <v>0.05</v>
      </c>
      <c r="N31" s="978">
        <v>0.05</v>
      </c>
      <c r="O31" s="979">
        <v>0.05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D17F2-A9F3-4C8F-BE0B-0AEFC3289036}">
  <dimension ref="A1:S81"/>
  <sheetViews>
    <sheetView view="pageBreakPreview" zoomScale="92" zoomScaleNormal="100" workbookViewId="0">
      <selection activeCell="F36" sqref="F36"/>
    </sheetView>
  </sheetViews>
  <sheetFormatPr baseColWidth="10" defaultColWidth="8.83203125" defaultRowHeight="13"/>
  <cols>
    <col min="1" max="2" width="8.83203125" style="2"/>
    <col min="3" max="3" width="7.83203125" style="2" customWidth="1"/>
    <col min="4" max="4" width="15" style="2" customWidth="1"/>
    <col min="5" max="5" width="7.5" style="2" customWidth="1"/>
    <col min="6" max="6" width="14.83203125" style="2" customWidth="1"/>
    <col min="7" max="7" width="7.5" style="2" customWidth="1"/>
    <col min="8" max="8" width="15.33203125" style="2" bestFit="1" customWidth="1"/>
    <col min="9" max="9" width="9" style="2" bestFit="1" customWidth="1"/>
    <col min="10" max="10" width="14.83203125" style="2" customWidth="1"/>
    <col min="11" max="11" width="10.5" style="2" customWidth="1"/>
    <col min="12" max="14" width="8.83203125" style="8"/>
    <col min="15" max="16" width="8.83203125" style="2"/>
    <col min="17" max="18" width="13.5" style="2" bestFit="1" customWidth="1"/>
    <col min="19" max="19" width="12.5" style="2" bestFit="1" customWidth="1"/>
    <col min="20" max="16384" width="8.83203125" style="2"/>
  </cols>
  <sheetData>
    <row r="1" spans="1:14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4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4" ht="14" thickBot="1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1:14" ht="21" customHeight="1" thickBot="1">
      <c r="A5" s="464" t="s">
        <v>512</v>
      </c>
      <c r="B5" s="465"/>
      <c r="C5" s="465"/>
      <c r="D5" s="465"/>
      <c r="E5" s="465"/>
      <c r="F5" s="465"/>
      <c r="G5" s="465"/>
      <c r="H5" s="465"/>
      <c r="I5" s="465"/>
      <c r="J5" s="466" t="s">
        <v>639</v>
      </c>
      <c r="K5" s="467"/>
      <c r="L5" s="73"/>
      <c r="M5" s="73"/>
      <c r="N5" s="73"/>
    </row>
    <row r="6" spans="1:14" ht="17" thickBot="1">
      <c r="A6" s="447"/>
      <c r="B6" s="73"/>
      <c r="C6" s="73"/>
      <c r="D6" s="73"/>
      <c r="E6" s="73"/>
      <c r="F6" s="73"/>
      <c r="G6" s="73"/>
      <c r="H6" s="73"/>
      <c r="I6" s="73"/>
      <c r="J6" s="447"/>
      <c r="K6" s="447"/>
      <c r="L6" s="73"/>
      <c r="M6" s="73"/>
      <c r="N6" s="73"/>
    </row>
    <row r="7" spans="1:14">
      <c r="A7" s="458"/>
      <c r="B7" s="459"/>
      <c r="C7" s="459"/>
      <c r="D7" s="545" t="s">
        <v>55</v>
      </c>
      <c r="E7" s="545"/>
      <c r="F7" s="1168" t="s">
        <v>4</v>
      </c>
      <c r="G7" s="1168"/>
      <c r="H7" s="1168" t="s">
        <v>5</v>
      </c>
      <c r="I7" s="1168"/>
      <c r="J7" s="1168" t="s">
        <v>6</v>
      </c>
      <c r="K7" s="1169"/>
      <c r="L7" s="73"/>
      <c r="M7" s="73"/>
      <c r="N7" s="73"/>
    </row>
    <row r="8" spans="1:14">
      <c r="A8" s="460" t="s">
        <v>513</v>
      </c>
      <c r="B8" s="461"/>
      <c r="C8" s="461"/>
      <c r="D8" s="535" t="s">
        <v>60</v>
      </c>
      <c r="E8" s="535" t="s">
        <v>514</v>
      </c>
      <c r="F8" s="535" t="s">
        <v>60</v>
      </c>
      <c r="G8" s="535" t="s">
        <v>514</v>
      </c>
      <c r="H8" s="535" t="s">
        <v>60</v>
      </c>
      <c r="I8" s="535" t="s">
        <v>514</v>
      </c>
      <c r="J8" s="535" t="s">
        <v>60</v>
      </c>
      <c r="K8" s="536" t="s">
        <v>514</v>
      </c>
      <c r="L8" s="73"/>
      <c r="M8" s="73"/>
      <c r="N8" s="73"/>
    </row>
    <row r="9" spans="1:14">
      <c r="A9" s="449" t="s">
        <v>515</v>
      </c>
      <c r="B9" s="34"/>
      <c r="C9" s="34"/>
      <c r="D9" s="34"/>
      <c r="E9" s="34"/>
      <c r="F9" s="34"/>
      <c r="G9" s="34"/>
      <c r="H9" s="34"/>
      <c r="I9" s="34"/>
      <c r="J9" s="34"/>
      <c r="K9" s="229"/>
      <c r="L9" s="73"/>
      <c r="M9" s="73"/>
      <c r="N9" s="73"/>
    </row>
    <row r="10" spans="1:14">
      <c r="A10" s="227" t="s">
        <v>78</v>
      </c>
      <c r="B10" s="34"/>
      <c r="C10" s="34"/>
      <c r="D10" s="70">
        <f>SUM(F10,H10,J10)</f>
        <v>69480487.226999998</v>
      </c>
      <c r="E10" s="468">
        <f>D10/D15</f>
        <v>0.54762409153785596</v>
      </c>
      <c r="F10" s="70">
        <f>F18+F20+F21-F13+'TIF Financing'!J40</f>
        <v>14418067.344999999</v>
      </c>
      <c r="G10" s="468">
        <f>F10/F15</f>
        <v>0.2353704688380088</v>
      </c>
      <c r="H10" s="70">
        <f>H26-SUM(H11:H14)</f>
        <v>36282065.239999995</v>
      </c>
      <c r="I10" s="468">
        <f>H10/H15</f>
        <v>0.93553721328328099</v>
      </c>
      <c r="J10" s="70">
        <f>J18</f>
        <v>18780354.641999997</v>
      </c>
      <c r="K10" s="471">
        <f>J10/J15</f>
        <v>0.69978635979442494</v>
      </c>
      <c r="L10" s="73"/>
      <c r="M10" s="73"/>
      <c r="N10" s="73"/>
    </row>
    <row r="11" spans="1:14">
      <c r="A11" s="227" t="s">
        <v>80</v>
      </c>
      <c r="B11" s="34"/>
      <c r="C11" s="34"/>
      <c r="D11" s="70">
        <f>SUM(F11,H11,J11)</f>
        <v>8221340</v>
      </c>
      <c r="E11" s="468">
        <f>D11/D15</f>
        <v>6.479810416433418E-2</v>
      </c>
      <c r="F11" s="70">
        <f>'1.Infrastructure Costs'!E15+'1.Infrastructure Costs'!D17</f>
        <v>8221340</v>
      </c>
      <c r="G11" s="468">
        <f>F11/F15</f>
        <v>0.1342108206303898</v>
      </c>
      <c r="H11" s="70">
        <f>'1.Infrastructure Costs'!G15</f>
        <v>0</v>
      </c>
      <c r="I11" s="468">
        <f>H11/H15</f>
        <v>0</v>
      </c>
      <c r="J11" s="70">
        <f>'1.Infrastructure Costs'!I15</f>
        <v>0</v>
      </c>
      <c r="K11" s="471">
        <f>J11/J15</f>
        <v>0</v>
      </c>
      <c r="L11" s="73"/>
      <c r="M11" s="73"/>
      <c r="N11" s="73"/>
    </row>
    <row r="12" spans="1:14">
      <c r="A12" s="227" t="s">
        <v>516</v>
      </c>
      <c r="B12" s="34"/>
      <c r="C12" s="34"/>
      <c r="D12" s="70">
        <f>SUM(F12,H12,J12)</f>
        <v>6000000</v>
      </c>
      <c r="E12" s="468">
        <f>D12/D15</f>
        <v>4.729017714703504E-2</v>
      </c>
      <c r="F12" s="70">
        <v>2000000</v>
      </c>
      <c r="G12" s="468">
        <f>F12/F15</f>
        <v>3.2649378478542379E-2</v>
      </c>
      <c r="H12" s="70">
        <v>2000000</v>
      </c>
      <c r="I12" s="468">
        <f>H12/H15</f>
        <v>5.1570229373375173E-2</v>
      </c>
      <c r="J12" s="70">
        <f>2000000</f>
        <v>2000000</v>
      </c>
      <c r="K12" s="471">
        <f>J12/J15</f>
        <v>7.4523231657131456E-2</v>
      </c>
      <c r="L12" s="73"/>
      <c r="M12" s="73"/>
      <c r="N12" s="73"/>
    </row>
    <row r="13" spans="1:14">
      <c r="A13" s="227" t="s">
        <v>378</v>
      </c>
      <c r="B13" s="34"/>
      <c r="C13" s="34"/>
      <c r="D13" s="70">
        <f>SUM(F13,H13,J13)</f>
        <v>1500000</v>
      </c>
      <c r="E13" s="468">
        <f>D13/D15</f>
        <v>1.182254428675876E-2</v>
      </c>
      <c r="F13" s="70">
        <v>500000</v>
      </c>
      <c r="G13" s="468">
        <f>F13/F15</f>
        <v>8.1623446196355948E-3</v>
      </c>
      <c r="H13" s="70">
        <v>500000</v>
      </c>
      <c r="I13" s="468">
        <f>H13/H15</f>
        <v>1.2892557343343793E-2</v>
      </c>
      <c r="J13" s="70">
        <v>500000</v>
      </c>
      <c r="K13" s="471">
        <f>J13/J15</f>
        <v>1.8630807914282864E-2</v>
      </c>
      <c r="L13" s="73"/>
      <c r="M13" s="73"/>
      <c r="N13" s="73"/>
    </row>
    <row r="14" spans="1:14">
      <c r="A14" s="232" t="s">
        <v>65</v>
      </c>
      <c r="B14" s="48"/>
      <c r="C14" s="48"/>
      <c r="D14" s="72">
        <f>SUM(F14,H14,J14)</f>
        <v>41674415.62032</v>
      </c>
      <c r="E14" s="469">
        <f>D14/D15</f>
        <v>0.32846508286401616</v>
      </c>
      <c r="F14" s="72">
        <f>F26-SUM(F10:F13)</f>
        <v>36117501.460000001</v>
      </c>
      <c r="G14" s="469">
        <f>F14/F15</f>
        <v>0.58960698743342344</v>
      </c>
      <c r="H14" s="72">
        <v>0</v>
      </c>
      <c r="I14" s="469">
        <f>H14/H15</f>
        <v>0</v>
      </c>
      <c r="J14" s="72">
        <f>J26-J10-J11-J13-J12</f>
        <v>5556914.1603199989</v>
      </c>
      <c r="K14" s="472">
        <f>J14/J15</f>
        <v>0.20705960063416071</v>
      </c>
      <c r="L14" s="73"/>
      <c r="M14" s="73"/>
      <c r="N14" s="73"/>
    </row>
    <row r="15" spans="1:14">
      <c r="A15" s="449" t="s">
        <v>517</v>
      </c>
      <c r="B15" s="32"/>
      <c r="C15" s="32"/>
      <c r="D15" s="99">
        <f>SUM(D10:D14)</f>
        <v>126876242.84731999</v>
      </c>
      <c r="E15" s="470"/>
      <c r="F15" s="99">
        <f>SUM(F10:F14)</f>
        <v>61256908.805</v>
      </c>
      <c r="G15" s="470"/>
      <c r="H15" s="99">
        <f>SUM(H10:H14)</f>
        <v>38782065.239999995</v>
      </c>
      <c r="I15" s="470"/>
      <c r="J15" s="99">
        <f>SUM(J10:J14)</f>
        <v>26837268.802319996</v>
      </c>
      <c r="K15" s="473"/>
      <c r="L15" s="73"/>
      <c r="M15" s="73"/>
      <c r="N15" s="73"/>
    </row>
    <row r="16" spans="1:14">
      <c r="A16" s="227"/>
      <c r="B16" s="34"/>
      <c r="C16" s="34"/>
      <c r="D16" s="70"/>
      <c r="E16" s="468"/>
      <c r="F16" s="70"/>
      <c r="G16" s="468"/>
      <c r="H16" s="70"/>
      <c r="I16" s="468"/>
      <c r="J16" s="70"/>
      <c r="K16" s="471"/>
      <c r="L16" s="73"/>
      <c r="M16" s="73"/>
      <c r="N16" s="73"/>
    </row>
    <row r="17" spans="1:14">
      <c r="A17" s="449" t="s">
        <v>518</v>
      </c>
      <c r="B17" s="34"/>
      <c r="C17" s="34"/>
      <c r="D17" s="70"/>
      <c r="E17" s="468"/>
      <c r="F17" s="70"/>
      <c r="G17" s="468"/>
      <c r="H17" s="70"/>
      <c r="I17" s="468"/>
      <c r="J17" s="70"/>
      <c r="K17" s="471"/>
      <c r="L17" s="73"/>
      <c r="M17" s="73"/>
      <c r="N17" s="73"/>
    </row>
    <row r="18" spans="1:14">
      <c r="A18" s="227" t="s">
        <v>519</v>
      </c>
      <c r="B18" s="34"/>
      <c r="C18" s="34"/>
      <c r="D18" s="70">
        <f>SUM(F18,H18,J18)</f>
        <v>56643589.887000002</v>
      </c>
      <c r="E18" s="468">
        <f>D18/$D$26</f>
        <v>0.44644756666670543</v>
      </c>
      <c r="F18" s="70">
        <f>SUMIFS(Assumptions!D60:D65,Assumptions!C60:C65, "I")</f>
        <v>9871736.8049999997</v>
      </c>
      <c r="G18" s="468">
        <f>F18/$F$26</f>
        <v>0.16115303559350083</v>
      </c>
      <c r="H18" s="70">
        <f>SUMIFS(Assumptions!D60:D71,Assumptions!C60:C71, "II")</f>
        <v>27991498.440000001</v>
      </c>
      <c r="I18" s="468">
        <f>H18/H$26</f>
        <v>0.72176399752763665</v>
      </c>
      <c r="J18" s="70">
        <f>SUMIFS(Assumptions!D60:D71,Assumptions!C60:C71, "III")</f>
        <v>18780354.641999997</v>
      </c>
      <c r="K18" s="471">
        <f>J18/J$26</f>
        <v>0.69978635979442494</v>
      </c>
      <c r="L18" s="73"/>
      <c r="M18" s="73"/>
      <c r="N18" s="73"/>
    </row>
    <row r="19" spans="1:14">
      <c r="A19" s="227" t="s">
        <v>29</v>
      </c>
      <c r="B19" s="34"/>
      <c r="C19" s="34"/>
      <c r="D19" s="70">
        <f t="shared" ref="D19:D25" si="0">SUM(F19,H19,J19)</f>
        <v>62484780</v>
      </c>
      <c r="E19" s="468">
        <f t="shared" ref="E19:E25" si="1">D19/$D$26</f>
        <v>0.49248605253225203</v>
      </c>
      <c r="F19" s="70">
        <f>'Detailed Uses'!G17</f>
        <v>47629980</v>
      </c>
      <c r="G19" s="468">
        <f t="shared" ref="G19:G25" si="2">F19/$F$26</f>
        <v>0.77754462197270191</v>
      </c>
      <c r="H19" s="70">
        <f>'Detailed Uses'!H17</f>
        <v>8277470</v>
      </c>
      <c r="I19" s="468">
        <f t="shared" ref="I19:K25" si="3">H19/H$26</f>
        <v>0.21343551326561588</v>
      </c>
      <c r="J19" s="70">
        <f>'Detailed Uses'!I17</f>
        <v>6577330</v>
      </c>
      <c r="K19" s="471">
        <f t="shared" si="3"/>
        <v>0.24508194363770022</v>
      </c>
      <c r="L19" s="73"/>
      <c r="M19" s="73"/>
      <c r="N19" s="73"/>
    </row>
    <row r="20" spans="1:14">
      <c r="A20" s="227" t="s">
        <v>520</v>
      </c>
      <c r="B20" s="34"/>
      <c r="C20" s="34"/>
      <c r="D20" s="70">
        <f t="shared" si="0"/>
        <v>5867928</v>
      </c>
      <c r="E20" s="468">
        <f t="shared" si="1"/>
        <v>4.6249225767674505E-2</v>
      </c>
      <c r="F20" s="70">
        <f>'Detailed Uses'!G21</f>
        <v>3153192</v>
      </c>
      <c r="G20" s="468">
        <f t="shared" si="2"/>
        <v>5.1474879511756E-2</v>
      </c>
      <c r="H20" s="70">
        <f>'Detailed Uses'!H21</f>
        <v>1886776</v>
      </c>
      <c r="I20" s="468">
        <f t="shared" si="3"/>
        <v>4.8650735548089658E-2</v>
      </c>
      <c r="J20" s="70">
        <f>'Detailed Uses'!I21</f>
        <v>827960</v>
      </c>
      <c r="K20" s="471">
        <f t="shared" si="3"/>
        <v>3.0851127441419282E-2</v>
      </c>
      <c r="L20" s="73"/>
      <c r="M20" s="73"/>
      <c r="N20" s="73"/>
    </row>
    <row r="21" spans="1:14">
      <c r="A21" s="227" t="s">
        <v>521</v>
      </c>
      <c r="B21" s="34"/>
      <c r="C21" s="34"/>
      <c r="D21" s="70">
        <f t="shared" si="0"/>
        <v>1879944.9603200001</v>
      </c>
      <c r="E21" s="468">
        <f t="shared" si="1"/>
        <v>1.4817155033368095E-2</v>
      </c>
      <c r="F21" s="70">
        <f>'Detailed Uses'!G22</f>
        <v>602000</v>
      </c>
      <c r="G21" s="468">
        <f t="shared" si="2"/>
        <v>9.8274629220412562E-3</v>
      </c>
      <c r="H21" s="70">
        <f>'Detailed Uses'!H22</f>
        <v>626320.80000000005</v>
      </c>
      <c r="I21" s="468">
        <f t="shared" si="3"/>
        <v>1.6149753658657919E-2</v>
      </c>
      <c r="J21" s="70">
        <f>'Detailed Uses'!I22</f>
        <v>651624.16032000002</v>
      </c>
      <c r="K21" s="471">
        <f t="shared" si="3"/>
        <v>2.4280569126455567E-2</v>
      </c>
      <c r="L21" s="73"/>
      <c r="M21" s="73"/>
      <c r="N21" s="73"/>
    </row>
    <row r="22" spans="1:14">
      <c r="A22" s="227" t="s">
        <v>161</v>
      </c>
      <c r="B22" s="34"/>
      <c r="C22" s="34"/>
      <c r="D22" s="70">
        <f t="shared" si="0"/>
        <v>0</v>
      </c>
      <c r="E22" s="468">
        <f t="shared" si="1"/>
        <v>0</v>
      </c>
      <c r="F22" s="70">
        <v>0</v>
      </c>
      <c r="G22" s="468">
        <f t="shared" si="2"/>
        <v>0</v>
      </c>
      <c r="H22" s="70">
        <v>0</v>
      </c>
      <c r="I22" s="468">
        <f t="shared" si="3"/>
        <v>0</v>
      </c>
      <c r="J22" s="70">
        <v>0</v>
      </c>
      <c r="K22" s="471">
        <f t="shared" si="3"/>
        <v>0</v>
      </c>
      <c r="L22" s="73"/>
      <c r="M22" s="73"/>
      <c r="N22" s="73"/>
    </row>
    <row r="23" spans="1:14">
      <c r="A23" s="227" t="s">
        <v>522</v>
      </c>
      <c r="B23" s="34"/>
      <c r="C23" s="34"/>
      <c r="D23" s="70">
        <f t="shared" si="0"/>
        <v>0</v>
      </c>
      <c r="E23" s="468">
        <f t="shared" si="1"/>
        <v>0</v>
      </c>
      <c r="F23" s="70">
        <v>0</v>
      </c>
      <c r="G23" s="468">
        <f t="shared" si="2"/>
        <v>0</v>
      </c>
      <c r="H23" s="70">
        <v>0</v>
      </c>
      <c r="I23" s="468">
        <f t="shared" si="3"/>
        <v>0</v>
      </c>
      <c r="J23" s="70">
        <v>0</v>
      </c>
      <c r="K23" s="471">
        <f t="shared" si="3"/>
        <v>0</v>
      </c>
      <c r="L23" s="73"/>
      <c r="M23" s="73"/>
      <c r="N23" s="73"/>
    </row>
    <row r="24" spans="1:14">
      <c r="A24" s="227" t="s">
        <v>26</v>
      </c>
      <c r="B24" s="34"/>
      <c r="C24" s="34"/>
      <c r="D24" s="70">
        <f t="shared" si="0"/>
        <v>0</v>
      </c>
      <c r="E24" s="468">
        <f t="shared" si="1"/>
        <v>0</v>
      </c>
      <c r="F24" s="70">
        <v>0</v>
      </c>
      <c r="G24" s="468">
        <f t="shared" si="2"/>
        <v>0</v>
      </c>
      <c r="H24" s="70">
        <v>0</v>
      </c>
      <c r="I24" s="468">
        <f t="shared" si="3"/>
        <v>0</v>
      </c>
      <c r="J24" s="70">
        <v>0</v>
      </c>
      <c r="K24" s="471">
        <f t="shared" si="3"/>
        <v>0</v>
      </c>
      <c r="L24" s="73"/>
      <c r="M24" s="73"/>
      <c r="N24" s="73"/>
    </row>
    <row r="25" spans="1:14">
      <c r="A25" s="232" t="s">
        <v>523</v>
      </c>
      <c r="B25" s="48"/>
      <c r="C25" s="48"/>
      <c r="D25" s="72">
        <f t="shared" si="0"/>
        <v>0</v>
      </c>
      <c r="E25" s="468">
        <f t="shared" si="1"/>
        <v>0</v>
      </c>
      <c r="F25" s="72">
        <v>0</v>
      </c>
      <c r="G25" s="469">
        <f t="shared" si="2"/>
        <v>0</v>
      </c>
      <c r="H25" s="72">
        <v>0</v>
      </c>
      <c r="I25" s="469">
        <f t="shared" si="3"/>
        <v>0</v>
      </c>
      <c r="J25" s="72">
        <v>0</v>
      </c>
      <c r="K25" s="472">
        <f t="shared" si="3"/>
        <v>0</v>
      </c>
      <c r="L25" s="73"/>
      <c r="M25" s="73"/>
      <c r="N25" s="73"/>
    </row>
    <row r="26" spans="1:14" ht="14" thickBot="1">
      <c r="A26" s="451" t="s">
        <v>524</v>
      </c>
      <c r="B26" s="452"/>
      <c r="C26" s="452"/>
      <c r="D26" s="453">
        <f>SUM(D18:D25)</f>
        <v>126876242.84731999</v>
      </c>
      <c r="E26" s="548"/>
      <c r="F26" s="453">
        <f>SUM(F18:F25)</f>
        <v>61256908.805</v>
      </c>
      <c r="G26" s="453"/>
      <c r="H26" s="453">
        <f>SUM(H18:H25)</f>
        <v>38782065.239999995</v>
      </c>
      <c r="I26" s="453"/>
      <c r="J26" s="453">
        <f>SUM(J18:J25)</f>
        <v>26837268.802319996</v>
      </c>
      <c r="K26" s="454"/>
      <c r="L26" s="73"/>
      <c r="M26" s="73"/>
      <c r="N26" s="73"/>
    </row>
    <row r="27" spans="1:14" ht="14" thickBot="1">
      <c r="A27" s="34"/>
      <c r="B27" s="34"/>
      <c r="C27" s="34"/>
      <c r="D27" s="70"/>
      <c r="E27" s="70"/>
      <c r="F27" s="70"/>
      <c r="G27" s="70"/>
      <c r="H27" s="70"/>
      <c r="I27" s="70"/>
      <c r="J27" s="70"/>
      <c r="K27" s="70"/>
      <c r="L27" s="73"/>
      <c r="M27" s="73"/>
      <c r="N27" s="73"/>
    </row>
    <row r="28" spans="1:14">
      <c r="A28" s="458"/>
      <c r="B28" s="459"/>
      <c r="C28" s="459"/>
      <c r="D28" s="545" t="s">
        <v>55</v>
      </c>
      <c r="E28" s="545"/>
      <c r="F28" s="1168" t="s">
        <v>4</v>
      </c>
      <c r="G28" s="1168"/>
      <c r="H28" s="1168" t="s">
        <v>5</v>
      </c>
      <c r="I28" s="1168"/>
      <c r="J28" s="1168" t="s">
        <v>6</v>
      </c>
      <c r="K28" s="1169"/>
      <c r="L28" s="73"/>
      <c r="M28" s="73"/>
      <c r="N28" s="73"/>
    </row>
    <row r="29" spans="1:14">
      <c r="A29" s="460" t="s">
        <v>525</v>
      </c>
      <c r="B29" s="463"/>
      <c r="C29" s="463"/>
      <c r="D29" s="535" t="s">
        <v>60</v>
      </c>
      <c r="E29" s="535" t="s">
        <v>514</v>
      </c>
      <c r="F29" s="535" t="s">
        <v>60</v>
      </c>
      <c r="G29" s="535" t="s">
        <v>514</v>
      </c>
      <c r="H29" s="535" t="s">
        <v>60</v>
      </c>
      <c r="I29" s="535" t="s">
        <v>514</v>
      </c>
      <c r="J29" s="535" t="s">
        <v>60</v>
      </c>
      <c r="K29" s="536" t="s">
        <v>514</v>
      </c>
      <c r="L29" s="73"/>
      <c r="M29" s="73"/>
      <c r="N29" s="73"/>
    </row>
    <row r="30" spans="1:14">
      <c r="A30" s="449" t="s">
        <v>515</v>
      </c>
      <c r="B30" s="34"/>
      <c r="C30" s="34"/>
      <c r="D30" s="70"/>
      <c r="E30" s="70"/>
      <c r="F30" s="70"/>
      <c r="G30" s="70"/>
      <c r="H30" s="70"/>
      <c r="I30" s="70"/>
      <c r="J30" s="70"/>
      <c r="K30" s="450"/>
      <c r="L30" s="73"/>
      <c r="M30" s="73"/>
      <c r="N30" s="73"/>
    </row>
    <row r="31" spans="1:14">
      <c r="A31" s="227" t="s">
        <v>526</v>
      </c>
      <c r="B31" s="34"/>
      <c r="C31" s="34"/>
      <c r="D31" s="70">
        <f ca="1">SUM(F31,H31,J31)</f>
        <v>619303965.26332963</v>
      </c>
      <c r="E31" s="468">
        <f ca="1">D31/D$39</f>
        <v>0.67013210521596678</v>
      </c>
      <c r="F31" s="70">
        <f ca="1">F49*0.65</f>
        <v>358832194.26140046</v>
      </c>
      <c r="G31" s="468">
        <f t="shared" ref="E31:G38" ca="1" si="4">F31/F$39</f>
        <v>0.65</v>
      </c>
      <c r="H31" s="70">
        <f ca="1">H49*0.7</f>
        <v>159112290.14531264</v>
      </c>
      <c r="I31" s="468">
        <f t="shared" ref="I31:I38" ca="1" si="5">H31/H$39</f>
        <v>0.7</v>
      </c>
      <c r="J31" s="70">
        <f ca="1">J49*0.7</f>
        <v>101359480.85661651</v>
      </c>
      <c r="K31" s="471">
        <f t="shared" ref="K31:K38" ca="1" si="6">J31/J$39</f>
        <v>0.7</v>
      </c>
      <c r="L31" s="73"/>
      <c r="M31" s="73"/>
      <c r="N31" s="73"/>
    </row>
    <row r="32" spans="1:14">
      <c r="A32" s="227" t="s">
        <v>78</v>
      </c>
      <c r="B32" s="34"/>
      <c r="C32" s="34"/>
      <c r="D32" s="70">
        <f t="shared" ref="D32:D38" si="7">SUM(F32,H32,J32)</f>
        <v>69480487.226999998</v>
      </c>
      <c r="E32" s="468">
        <f ca="1">D32/D$39</f>
        <v>7.5182959884751738E-2</v>
      </c>
      <c r="F32" s="70">
        <f>F10</f>
        <v>14418067.344999999</v>
      </c>
      <c r="G32" s="468">
        <f t="shared" ca="1" si="4"/>
        <v>2.6117343772735495E-2</v>
      </c>
      <c r="H32" s="70">
        <f>H10</f>
        <v>36282065.239999995</v>
      </c>
      <c r="I32" s="468">
        <f t="shared" ca="1" si="5"/>
        <v>0.15961963494338022</v>
      </c>
      <c r="J32" s="70">
        <f>J10</f>
        <v>18780354.641999997</v>
      </c>
      <c r="K32" s="471">
        <f t="shared" ca="1" si="6"/>
        <v>0.1296992460724688</v>
      </c>
      <c r="L32" s="73"/>
      <c r="M32" s="73"/>
      <c r="N32" s="73"/>
    </row>
    <row r="33" spans="1:14">
      <c r="A33" s="227" t="s">
        <v>80</v>
      </c>
      <c r="B33" s="34"/>
      <c r="C33" s="34"/>
      <c r="D33" s="70">
        <f t="shared" si="7"/>
        <v>8221340</v>
      </c>
      <c r="E33" s="468">
        <f t="shared" ca="1" si="4"/>
        <v>8.8960901123144465E-3</v>
      </c>
      <c r="F33" s="70">
        <f>F11</f>
        <v>8221340</v>
      </c>
      <c r="G33" s="468">
        <f t="shared" ca="1" si="4"/>
        <v>1.4892395625201683E-2</v>
      </c>
      <c r="H33" s="70">
        <f>H11</f>
        <v>0</v>
      </c>
      <c r="I33" s="468">
        <f t="shared" ca="1" si="5"/>
        <v>0</v>
      </c>
      <c r="J33" s="70">
        <f>J11</f>
        <v>0</v>
      </c>
      <c r="K33" s="471">
        <f t="shared" ca="1" si="6"/>
        <v>0</v>
      </c>
      <c r="L33" s="73"/>
      <c r="M33" s="73"/>
      <c r="N33" s="73"/>
    </row>
    <row r="34" spans="1:14">
      <c r="A34" s="227" t="s">
        <v>82</v>
      </c>
      <c r="B34" s="34"/>
      <c r="C34" s="34"/>
      <c r="D34" s="70">
        <f t="shared" ca="1" si="7"/>
        <v>28764297.589255698</v>
      </c>
      <c r="E34" s="468">
        <f t="shared" ca="1" si="4"/>
        <v>3.1125070045935076E-2</v>
      </c>
      <c r="F34" s="70">
        <f>F58</f>
        <v>21990911.725582696</v>
      </c>
      <c r="G34" s="468">
        <f t="shared" ca="1" si="4"/>
        <v>3.9835033896696175E-2</v>
      </c>
      <c r="H34" s="70">
        <f ca="1">H58</f>
        <v>3039708.9132539979</v>
      </c>
      <c r="I34" s="468">
        <f t="shared" ca="1" si="5"/>
        <v>1.3372921961807878E-2</v>
      </c>
      <c r="J34" s="70">
        <f ca="1">J58</f>
        <v>3733676.9504190031</v>
      </c>
      <c r="K34" s="471">
        <f t="shared" ca="1" si="6"/>
        <v>2.5785193878315862E-2</v>
      </c>
      <c r="L34" s="73"/>
      <c r="M34" s="73"/>
      <c r="N34" s="73"/>
    </row>
    <row r="35" spans="1:14">
      <c r="A35" s="227" t="s">
        <v>84</v>
      </c>
      <c r="B35" s="34"/>
      <c r="C35" s="34"/>
      <c r="D35" s="70">
        <f t="shared" si="7"/>
        <v>4258800</v>
      </c>
      <c r="E35" s="468">
        <f t="shared" ca="1" si="4"/>
        <v>4.6083325309894448E-3</v>
      </c>
      <c r="F35" s="70">
        <v>0</v>
      </c>
      <c r="G35" s="468">
        <f t="shared" ca="1" si="4"/>
        <v>0</v>
      </c>
      <c r="H35" s="70">
        <f>H59</f>
        <v>4258800</v>
      </c>
      <c r="I35" s="468">
        <f t="shared" ca="1" si="5"/>
        <v>1.8736201944409153E-2</v>
      </c>
      <c r="J35" s="70">
        <v>0</v>
      </c>
      <c r="K35" s="471">
        <f t="shared" ca="1" si="6"/>
        <v>0</v>
      </c>
      <c r="L35" s="73"/>
      <c r="M35" s="73"/>
      <c r="N35" s="73"/>
    </row>
    <row r="36" spans="1:14">
      <c r="A36" s="227" t="s">
        <v>527</v>
      </c>
      <c r="B36" s="34"/>
      <c r="C36" s="34"/>
      <c r="D36" s="70">
        <f t="shared" si="7"/>
        <v>12130466.051082583</v>
      </c>
      <c r="E36" s="468">
        <f t="shared" ca="1" si="4"/>
        <v>1.3126049901208543E-2</v>
      </c>
      <c r="F36" s="70">
        <v>0</v>
      </c>
      <c r="G36" s="468">
        <f t="shared" ca="1" si="4"/>
        <v>0</v>
      </c>
      <c r="H36" s="70">
        <f>'Loan sizing and public sources'!E96</f>
        <v>12130466.051082583</v>
      </c>
      <c r="I36" s="468">
        <f t="shared" ca="1" si="5"/>
        <v>5.3366878372518717E-2</v>
      </c>
      <c r="J36" s="70">
        <v>0</v>
      </c>
      <c r="K36" s="471">
        <f t="shared" ca="1" si="6"/>
        <v>0</v>
      </c>
      <c r="L36" s="73"/>
      <c r="M36" s="73"/>
      <c r="N36" s="73"/>
    </row>
    <row r="37" spans="1:14">
      <c r="A37" s="227" t="s">
        <v>66</v>
      </c>
      <c r="B37" s="34"/>
      <c r="C37" s="34"/>
      <c r="D37" s="70">
        <f t="shared" ref="D37" ca="1" si="8">SUM(F37,H37,J37)</f>
        <v>12479941.286511719</v>
      </c>
      <c r="E37" s="468">
        <f t="shared" ca="1" si="4"/>
        <v>1.3504207620801687E-2</v>
      </c>
      <c r="F37" s="70">
        <v>0</v>
      </c>
      <c r="G37" s="468">
        <f t="shared" ca="1" si="4"/>
        <v>0</v>
      </c>
      <c r="H37" s="70">
        <f ca="1">H49-SUM(H31:H36)</f>
        <v>12479941.286511719</v>
      </c>
      <c r="I37" s="468">
        <f t="shared" ca="1" si="5"/>
        <v>5.490436277788413E-2</v>
      </c>
      <c r="J37" s="70">
        <v>0</v>
      </c>
      <c r="K37" s="471">
        <f t="shared" ca="1" si="6"/>
        <v>0</v>
      </c>
      <c r="L37" s="73"/>
      <c r="M37" s="73"/>
      <c r="N37" s="73"/>
    </row>
    <row r="38" spans="1:14">
      <c r="A38" s="232" t="s">
        <v>65</v>
      </c>
      <c r="B38" s="48"/>
      <c r="C38" s="48"/>
      <c r="D38" s="72">
        <f t="shared" ca="1" si="7"/>
        <v>169512762.21850002</v>
      </c>
      <c r="E38" s="469">
        <f t="shared" ca="1" si="4"/>
        <v>0.18342518468803234</v>
      </c>
      <c r="F38" s="72">
        <f ca="1">F49-SUM(F31:F36)</f>
        <v>148587016.30094051</v>
      </c>
      <c r="G38" s="469">
        <f t="shared" ca="1" si="4"/>
        <v>0.26915522670536646</v>
      </c>
      <c r="H38" s="72">
        <v>0</v>
      </c>
      <c r="I38" s="469">
        <f t="shared" ca="1" si="5"/>
        <v>0</v>
      </c>
      <c r="J38" s="72">
        <f ca="1">J49-SUM(J31:J35)</f>
        <v>20925745.917559505</v>
      </c>
      <c r="K38" s="472">
        <f t="shared" ca="1" si="6"/>
        <v>0.14451556004921529</v>
      </c>
      <c r="L38" s="73"/>
      <c r="M38" s="73"/>
      <c r="N38" s="73"/>
    </row>
    <row r="39" spans="1:14">
      <c r="A39" s="449" t="s">
        <v>517</v>
      </c>
      <c r="B39" s="32"/>
      <c r="C39" s="32"/>
      <c r="D39" s="99">
        <f ca="1">SUM(D29:D38)</f>
        <v>924152059.6356796</v>
      </c>
      <c r="E39" s="470"/>
      <c r="F39" s="99">
        <f ca="1">SUM(F29:F38)</f>
        <v>552049529.63292372</v>
      </c>
      <c r="G39" s="470"/>
      <c r="H39" s="99">
        <f ca="1">SUM(H29:H38)</f>
        <v>227303271.63616091</v>
      </c>
      <c r="I39" s="470"/>
      <c r="J39" s="99">
        <f ca="1">SUM(J29:J38)</f>
        <v>144799258.36659503</v>
      </c>
      <c r="K39" s="473"/>
      <c r="L39" s="73"/>
      <c r="M39" s="73"/>
      <c r="N39" s="73"/>
    </row>
    <row r="40" spans="1:14">
      <c r="A40" s="227"/>
      <c r="B40" s="34"/>
      <c r="C40" s="34"/>
      <c r="D40" s="70"/>
      <c r="E40" s="468"/>
      <c r="F40" s="70"/>
      <c r="G40" s="468"/>
      <c r="H40" s="70"/>
      <c r="I40" s="468"/>
      <c r="J40" s="70"/>
      <c r="K40" s="471"/>
      <c r="L40" s="73"/>
      <c r="M40" s="73"/>
      <c r="N40" s="73"/>
    </row>
    <row r="41" spans="1:14">
      <c r="A41" s="449" t="s">
        <v>518</v>
      </c>
      <c r="B41" s="34"/>
      <c r="C41" s="34"/>
      <c r="D41" s="70"/>
      <c r="E41" s="468"/>
      <c r="F41" s="70"/>
      <c r="G41" s="468"/>
      <c r="H41" s="70"/>
      <c r="I41" s="468"/>
      <c r="J41" s="70"/>
      <c r="K41" s="471"/>
      <c r="L41" s="73"/>
      <c r="M41" s="73"/>
      <c r="N41" s="73"/>
    </row>
    <row r="42" spans="1:14">
      <c r="A42" s="227" t="s">
        <v>519</v>
      </c>
      <c r="B42" s="34"/>
      <c r="C42" s="34"/>
      <c r="D42" s="70">
        <f>SUM(F42,H42,J42)</f>
        <v>56643589.887000002</v>
      </c>
      <c r="E42" s="468">
        <f ca="1">D42/$D$49</f>
        <v>6.1292499753049408E-2</v>
      </c>
      <c r="F42" s="70">
        <f>F18</f>
        <v>9871736.8049999997</v>
      </c>
      <c r="G42" s="468">
        <f ca="1">F42/$F$49</f>
        <v>1.7881976661702888E-2</v>
      </c>
      <c r="H42" s="70">
        <f>H18</f>
        <v>27991498.440000001</v>
      </c>
      <c r="I42" s="468">
        <f ca="1">H42/H$49</f>
        <v>0.12314604289904522</v>
      </c>
      <c r="J42" s="70">
        <f>J18</f>
        <v>18780354.641999997</v>
      </c>
      <c r="K42" s="471">
        <f ca="1">J42/J$49</f>
        <v>0.1296992460724688</v>
      </c>
      <c r="L42" s="73"/>
      <c r="M42" s="73"/>
      <c r="N42" s="73"/>
    </row>
    <row r="43" spans="1:14">
      <c r="A43" s="227" t="s">
        <v>29</v>
      </c>
      <c r="B43" s="34"/>
      <c r="C43" s="34"/>
      <c r="D43" s="70">
        <f t="shared" ref="D43:D48" si="9">SUM(F43,H43,J43)</f>
        <v>62484780</v>
      </c>
      <c r="E43" s="468">
        <f t="shared" ref="E43:E48" ca="1" si="10">D43/$D$49</f>
        <v>6.7613093915121311E-2</v>
      </c>
      <c r="F43" s="70">
        <f>F19</f>
        <v>47629980</v>
      </c>
      <c r="G43" s="468">
        <f t="shared" ref="G43:G48" ca="1" si="11">F43/$F$49</f>
        <v>8.6278454093912146E-2</v>
      </c>
      <c r="H43" s="70">
        <f>H19</f>
        <v>8277470</v>
      </c>
      <c r="I43" s="468">
        <f t="shared" ref="I43:I48" ca="1" si="12">H43/H$49</f>
        <v>3.6415973867941306E-2</v>
      </c>
      <c r="J43" s="70">
        <f>J19</f>
        <v>6577330</v>
      </c>
      <c r="K43" s="471">
        <f t="shared" ref="K43:K48" ca="1" si="13">J43/J$49</f>
        <v>4.5423782374270638E-2</v>
      </c>
      <c r="L43" s="73"/>
      <c r="M43" s="73"/>
      <c r="N43" s="73"/>
    </row>
    <row r="44" spans="1:14">
      <c r="A44" s="227" t="s">
        <v>160</v>
      </c>
      <c r="B44" s="34"/>
      <c r="C44" s="34"/>
      <c r="D44" s="70">
        <f t="shared" ca="1" si="9"/>
        <v>647721975.1667887</v>
      </c>
      <c r="E44" s="468">
        <f t="shared" ca="1" si="10"/>
        <v>0.700882466703731</v>
      </c>
      <c r="F44" s="70">
        <f ca="1">'Detailed Uses'!G25</f>
        <v>411852856.53874993</v>
      </c>
      <c r="G44" s="468">
        <f t="shared" ca="1" si="11"/>
        <v>0.7460433066804798</v>
      </c>
      <c r="H44" s="70">
        <f>'Detailed Uses'!H25</f>
        <v>144504724.64637506</v>
      </c>
      <c r="I44" s="468">
        <f t="shared" ca="1" si="12"/>
        <v>0.63573534866528636</v>
      </c>
      <c r="J44" s="70">
        <f>'Detailed Uses'!I25</f>
        <v>91364393.981663734</v>
      </c>
      <c r="K44" s="471">
        <f t="shared" ca="1" si="13"/>
        <v>0.63097280339898043</v>
      </c>
      <c r="L44" s="73"/>
      <c r="M44" s="73"/>
      <c r="N44" s="73"/>
    </row>
    <row r="45" spans="1:14">
      <c r="A45" s="227" t="s">
        <v>161</v>
      </c>
      <c r="B45" s="34"/>
      <c r="C45" s="34"/>
      <c r="D45" s="70">
        <f t="shared" ca="1" si="9"/>
        <v>66891742.720003553</v>
      </c>
      <c r="E45" s="468">
        <f t="shared" ca="1" si="10"/>
        <v>7.2381749326375672E-2</v>
      </c>
      <c r="F45" s="70">
        <f ca="1">'Detailed Uses'!G44</f>
        <v>35409648.293266632</v>
      </c>
      <c r="G45" s="468">
        <f t="shared" ca="1" si="11"/>
        <v>6.4142158253104029E-2</v>
      </c>
      <c r="H45" s="70">
        <f ca="1">'Detailed Uses'!H44</f>
        <v>17063004.640698105</v>
      </c>
      <c r="I45" s="468">
        <f t="shared" ca="1" si="12"/>
        <v>7.5067131756952718E-2</v>
      </c>
      <c r="J45" s="70">
        <f ca="1">'Detailed Uses'!I44</f>
        <v>14419089.786038818</v>
      </c>
      <c r="K45" s="471">
        <f t="shared" ca="1" si="13"/>
        <v>9.9579859376995816E-2</v>
      </c>
      <c r="L45" s="73"/>
      <c r="M45" s="73"/>
      <c r="N45" s="73"/>
    </row>
    <row r="46" spans="1:14">
      <c r="A46" s="227" t="s">
        <v>522</v>
      </c>
      <c r="B46" s="34"/>
      <c r="C46" s="34"/>
      <c r="D46" s="70">
        <f t="shared" ca="1" si="9"/>
        <v>64736589.250301301</v>
      </c>
      <c r="E46" s="468">
        <f t="shared" ca="1" si="10"/>
        <v>7.0049715926426476E-2</v>
      </c>
      <c r="F46" s="70">
        <f ca="1">'Financing Costs'!D11</f>
        <v>31720035.522166196</v>
      </c>
      <c r="G46" s="468">
        <f t="shared" ca="1" si="11"/>
        <v>5.7458676838757411E-2</v>
      </c>
      <c r="H46" s="70">
        <f ca="1">'Financing Costs'!E11</f>
        <v>23228545.517908782</v>
      </c>
      <c r="I46" s="468">
        <f t="shared" ca="1" si="12"/>
        <v>0.10219186618259581</v>
      </c>
      <c r="J46" s="70">
        <f ca="1">'Financing Costs'!F11</f>
        <v>9788008.2102263235</v>
      </c>
      <c r="K46" s="471">
        <f t="shared" ca="1" si="13"/>
        <v>6.7597088000586072E-2</v>
      </c>
      <c r="L46" s="73"/>
      <c r="M46" s="73"/>
      <c r="N46" s="73"/>
    </row>
    <row r="47" spans="1:14">
      <c r="A47" s="227" t="s">
        <v>26</v>
      </c>
      <c r="B47" s="34"/>
      <c r="C47" s="34"/>
      <c r="D47" s="70">
        <f t="shared" si="9"/>
        <v>2226090.6771584782</v>
      </c>
      <c r="E47" s="468">
        <f t="shared" ca="1" si="10"/>
        <v>2.4087926374757531E-3</v>
      </c>
      <c r="F47" s="70">
        <f>'Detailed Uses'!G60</f>
        <v>1160967.2457431273</v>
      </c>
      <c r="G47" s="468">
        <f t="shared" ca="1" si="11"/>
        <v>2.1030128338576674E-3</v>
      </c>
      <c r="H47" s="70">
        <f>'Detailed Uses'!H60</f>
        <v>673922.47284419148</v>
      </c>
      <c r="I47" s="468">
        <f t="shared" ca="1" si="12"/>
        <v>2.9648604175083041E-3</v>
      </c>
      <c r="J47" s="70">
        <f>'Detailed Uses'!I60</f>
        <v>391200.95857115922</v>
      </c>
      <c r="K47" s="471">
        <f t="shared" ca="1" si="13"/>
        <v>2.7016779159236958E-3</v>
      </c>
      <c r="L47" s="73"/>
      <c r="M47" s="73"/>
      <c r="N47" s="73"/>
    </row>
    <row r="48" spans="1:14">
      <c r="A48" s="232" t="s">
        <v>523</v>
      </c>
      <c r="B48" s="48"/>
      <c r="C48" s="48"/>
      <c r="D48" s="72">
        <f t="shared" ca="1" si="9"/>
        <v>23447291.934427563</v>
      </c>
      <c r="E48" s="468">
        <f t="shared" ca="1" si="10"/>
        <v>2.537168173782027E-2</v>
      </c>
      <c r="F48" s="72">
        <f ca="1">'Detailed Uses'!G64</f>
        <v>14404305.227997778</v>
      </c>
      <c r="G48" s="469">
        <f t="shared" ca="1" si="11"/>
        <v>2.6092414638185971E-2</v>
      </c>
      <c r="H48" s="72">
        <f ca="1">'Detailed Uses'!H64</f>
        <v>5564105.918334784</v>
      </c>
      <c r="I48" s="469">
        <f t="shared" ca="1" si="12"/>
        <v>2.4478776210670298E-2</v>
      </c>
      <c r="J48" s="72">
        <f ca="1">'Detailed Uses'!I64</f>
        <v>3478880.7880950011</v>
      </c>
      <c r="K48" s="472">
        <f t="shared" ca="1" si="13"/>
        <v>2.4025542860774581E-2</v>
      </c>
      <c r="L48" s="73"/>
      <c r="M48" s="73"/>
      <c r="N48" s="73"/>
    </row>
    <row r="49" spans="1:19" ht="14" thickBot="1">
      <c r="A49" s="234" t="s">
        <v>524</v>
      </c>
      <c r="B49" s="455"/>
      <c r="C49" s="455"/>
      <c r="D49" s="456">
        <f ca="1">SUM(D42:D48)</f>
        <v>924152059.63567972</v>
      </c>
      <c r="E49" s="547"/>
      <c r="F49" s="456">
        <f ca="1">SUM(F42:F48)</f>
        <v>552049529.63292372</v>
      </c>
      <c r="G49" s="456"/>
      <c r="H49" s="456">
        <f ca="1">SUM(H42:H48)</f>
        <v>227303271.63616091</v>
      </c>
      <c r="I49" s="456"/>
      <c r="J49" s="456">
        <f ca="1">SUM(J42:J48)</f>
        <v>144799258.36659503</v>
      </c>
      <c r="K49" s="457"/>
      <c r="L49" s="73"/>
      <c r="M49" s="73"/>
      <c r="N49" s="73"/>
    </row>
    <row r="50" spans="1:19" ht="14" thickBot="1">
      <c r="A50" s="73"/>
      <c r="B50" s="73"/>
      <c r="C50" s="73"/>
      <c r="D50" s="74"/>
      <c r="E50" s="74"/>
      <c r="F50" s="74"/>
      <c r="G50" s="74"/>
      <c r="H50" s="74"/>
      <c r="I50" s="74"/>
      <c r="J50" s="74"/>
      <c r="K50" s="74"/>
      <c r="L50" s="73"/>
      <c r="M50" s="73"/>
      <c r="N50" s="73"/>
    </row>
    <row r="51" spans="1:19">
      <c r="A51" s="458"/>
      <c r="B51" s="459"/>
      <c r="C51" s="459"/>
      <c r="D51" s="545" t="s">
        <v>55</v>
      </c>
      <c r="E51" s="545"/>
      <c r="F51" s="1168" t="s">
        <v>4</v>
      </c>
      <c r="G51" s="1168"/>
      <c r="H51" s="1168" t="s">
        <v>5</v>
      </c>
      <c r="I51" s="1168"/>
      <c r="J51" s="1168" t="s">
        <v>6</v>
      </c>
      <c r="K51" s="1169"/>
      <c r="L51" s="73"/>
      <c r="M51" s="73"/>
      <c r="N51" s="73"/>
      <c r="Q51" s="68"/>
      <c r="R51" s="68"/>
      <c r="S51" s="68"/>
    </row>
    <row r="52" spans="1:19">
      <c r="A52" s="460" t="s">
        <v>528</v>
      </c>
      <c r="B52" s="462"/>
      <c r="C52" s="462"/>
      <c r="D52" s="535" t="s">
        <v>60</v>
      </c>
      <c r="E52" s="535" t="s">
        <v>514</v>
      </c>
      <c r="F52" s="535" t="s">
        <v>60</v>
      </c>
      <c r="G52" s="535" t="s">
        <v>514</v>
      </c>
      <c r="H52" s="535" t="s">
        <v>60</v>
      </c>
      <c r="I52" s="535" t="s">
        <v>514</v>
      </c>
      <c r="J52" s="535" t="s">
        <v>60</v>
      </c>
      <c r="K52" s="536" t="s">
        <v>514</v>
      </c>
      <c r="L52" s="73"/>
      <c r="M52" s="73"/>
      <c r="N52" s="73"/>
      <c r="Q52" s="68"/>
      <c r="R52" s="68"/>
      <c r="S52" s="68"/>
    </row>
    <row r="53" spans="1:19">
      <c r="A53" s="449" t="s">
        <v>515</v>
      </c>
      <c r="B53" s="34"/>
      <c r="C53" s="34"/>
      <c r="D53" s="70"/>
      <c r="E53" s="70"/>
      <c r="F53" s="70"/>
      <c r="G53" s="70"/>
      <c r="H53" s="70"/>
      <c r="I53" s="70"/>
      <c r="J53" s="70"/>
      <c r="K53" s="450"/>
      <c r="L53" s="73"/>
      <c r="M53" s="73"/>
      <c r="N53" s="73"/>
      <c r="Q53" s="68"/>
      <c r="R53" s="68"/>
      <c r="S53" s="68"/>
    </row>
    <row r="54" spans="1:19">
      <c r="A54" s="227" t="s">
        <v>529</v>
      </c>
      <c r="B54" s="34"/>
      <c r="C54" s="34"/>
      <c r="D54" s="70">
        <f ca="1">SUM(F54,H54,J54)</f>
        <v>450738176.27265561</v>
      </c>
      <c r="E54" s="468">
        <f ca="1">D54/D$66</f>
        <v>0.48773161469806831</v>
      </c>
      <c r="F54" s="70">
        <f>'Loan sizing and public sources'!D51</f>
        <v>336957067.23695022</v>
      </c>
      <c r="G54" s="468">
        <f ca="1">F54/F$66</f>
        <v>0.61037470217754608</v>
      </c>
      <c r="H54" s="70">
        <f ca="1">MIN(H76-SUM(H55:H65),'Loan sizing and public sources'!E51)</f>
        <v>65697689.350408792</v>
      </c>
      <c r="I54" s="468">
        <f ca="1">H54/H$66</f>
        <v>0.28903098876451527</v>
      </c>
      <c r="J54" s="70">
        <f ca="1">MIN(J76-SUM(J55:J65),'Loan sizing and public sources'!F51)</f>
        <v>48083419.685296595</v>
      </c>
      <c r="K54" s="471">
        <f ca="1">J54/J$66</f>
        <v>0.3320695162924216</v>
      </c>
      <c r="L54" s="73"/>
      <c r="M54" s="73"/>
      <c r="N54" s="73"/>
      <c r="Q54" s="68"/>
      <c r="R54" s="68"/>
      <c r="S54" s="68"/>
    </row>
    <row r="55" spans="1:19">
      <c r="A55" s="227" t="s">
        <v>431</v>
      </c>
      <c r="B55" s="34"/>
      <c r="C55" s="34"/>
      <c r="D55" s="70">
        <f t="shared" ref="D55:D65" si="14">SUM(F55,H55,J55)</f>
        <v>188689656.88804418</v>
      </c>
      <c r="E55" s="468">
        <f t="shared" ref="E55:E65" ca="1" si="15">D55/D$66</f>
        <v>0.20417598480755389</v>
      </c>
      <c r="F55" s="70">
        <f>'Loan sizing and public sources'!D68</f>
        <v>0</v>
      </c>
      <c r="G55" s="468">
        <f t="shared" ref="G55:I65" ca="1" si="16">F55/F$66</f>
        <v>0</v>
      </c>
      <c r="H55" s="70">
        <f>'Loan sizing and public sources'!E68</f>
        <v>114487849.79916477</v>
      </c>
      <c r="I55" s="468">
        <f t="shared" ca="1" si="16"/>
        <v>0.50367884709738286</v>
      </c>
      <c r="J55" s="70">
        <f>'Loan sizing and public sources'!F68</f>
        <v>74201807.088879421</v>
      </c>
      <c r="K55" s="471">
        <f t="shared" ref="K55" ca="1" si="17">J55/J$66</f>
        <v>0.51244604375679359</v>
      </c>
      <c r="L55" s="73"/>
      <c r="M55" s="73"/>
      <c r="N55" s="73"/>
      <c r="Q55" s="68"/>
      <c r="R55" s="68"/>
      <c r="S55" s="68"/>
    </row>
    <row r="56" spans="1:19">
      <c r="A56" s="227" t="s">
        <v>78</v>
      </c>
      <c r="B56" s="34"/>
      <c r="C56" s="34"/>
      <c r="D56" s="70">
        <f t="shared" si="14"/>
        <v>69480487.226999998</v>
      </c>
      <c r="E56" s="468">
        <f t="shared" ca="1" si="15"/>
        <v>7.5182959884751738E-2</v>
      </c>
      <c r="F56" s="70">
        <f>F32</f>
        <v>14418067.344999999</v>
      </c>
      <c r="G56" s="468">
        <f t="shared" ca="1" si="16"/>
        <v>2.6117343772735495E-2</v>
      </c>
      <c r="H56" s="70">
        <f>H32</f>
        <v>36282065.239999995</v>
      </c>
      <c r="I56" s="468">
        <f t="shared" ca="1" si="16"/>
        <v>0.15961963494338022</v>
      </c>
      <c r="J56" s="70">
        <f>J32</f>
        <v>18780354.641999997</v>
      </c>
      <c r="K56" s="471">
        <f t="shared" ref="K56" ca="1" si="18">J56/J$66</f>
        <v>0.1296992460724688</v>
      </c>
      <c r="L56" s="73"/>
      <c r="M56" s="73"/>
      <c r="N56" s="73"/>
      <c r="Q56" s="68"/>
      <c r="R56" s="68"/>
      <c r="S56" s="68"/>
    </row>
    <row r="57" spans="1:19">
      <c r="A57" s="227" t="s">
        <v>80</v>
      </c>
      <c r="B57" s="34"/>
      <c r="C57" s="34"/>
      <c r="D57" s="70">
        <f t="shared" si="14"/>
        <v>8221340</v>
      </c>
      <c r="E57" s="468">
        <f t="shared" ca="1" si="15"/>
        <v>8.8960901123144448E-3</v>
      </c>
      <c r="F57" s="70">
        <f>F33</f>
        <v>8221340</v>
      </c>
      <c r="G57" s="468">
        <f t="shared" ca="1" si="16"/>
        <v>1.4892395625201683E-2</v>
      </c>
      <c r="H57" s="70">
        <f>H33</f>
        <v>0</v>
      </c>
      <c r="I57" s="468">
        <f t="shared" ca="1" si="16"/>
        <v>0</v>
      </c>
      <c r="J57" s="70">
        <f>J33</f>
        <v>0</v>
      </c>
      <c r="K57" s="471">
        <f t="shared" ref="K57" ca="1" si="19">J57/J$66</f>
        <v>0</v>
      </c>
      <c r="L57" s="73"/>
      <c r="M57" s="73"/>
      <c r="N57" s="73"/>
      <c r="Q57" s="68"/>
      <c r="R57" s="68"/>
      <c r="S57" s="68"/>
    </row>
    <row r="58" spans="1:19">
      <c r="A58" s="227" t="s">
        <v>82</v>
      </c>
      <c r="B58" s="34"/>
      <c r="C58" s="34"/>
      <c r="D58" s="70">
        <f t="shared" ca="1" si="14"/>
        <v>28764297.589255698</v>
      </c>
      <c r="E58" s="468">
        <f t="shared" ca="1" si="15"/>
        <v>3.1125070045935073E-2</v>
      </c>
      <c r="F58" s="70">
        <f>'Loan sizing and public sources'!D18</f>
        <v>21990911.725582696</v>
      </c>
      <c r="G58" s="468">
        <f t="shared" ca="1" si="16"/>
        <v>3.9835033896696175E-2</v>
      </c>
      <c r="H58" s="70">
        <f ca="1">'Loan sizing and public sources'!E18</f>
        <v>3039708.9132539979</v>
      </c>
      <c r="I58" s="468">
        <f t="shared" ca="1" si="16"/>
        <v>1.3372921961807878E-2</v>
      </c>
      <c r="J58" s="70">
        <f ca="1">'Loan sizing and public sources'!F18</f>
        <v>3733676.9504190031</v>
      </c>
      <c r="K58" s="471">
        <f t="shared" ref="K58" ca="1" si="20">J58/J$66</f>
        <v>2.5785193878315862E-2</v>
      </c>
      <c r="L58" s="73"/>
      <c r="M58" s="73"/>
      <c r="N58" s="73"/>
      <c r="Q58" s="68"/>
      <c r="R58" s="68"/>
      <c r="S58" s="68"/>
    </row>
    <row r="59" spans="1:19">
      <c r="A59" s="227" t="s">
        <v>84</v>
      </c>
      <c r="B59" s="34"/>
      <c r="C59" s="34"/>
      <c r="D59" s="70">
        <f t="shared" si="14"/>
        <v>4258800</v>
      </c>
      <c r="E59" s="468">
        <f t="shared" ca="1" si="15"/>
        <v>4.6083325309894448E-3</v>
      </c>
      <c r="F59" s="70">
        <f>F35</f>
        <v>0</v>
      </c>
      <c r="G59" s="468">
        <f t="shared" ca="1" si="16"/>
        <v>0</v>
      </c>
      <c r="H59" s="70">
        <f>'Loan sizing and public sources'!C25</f>
        <v>4258800</v>
      </c>
      <c r="I59" s="468">
        <f t="shared" ca="1" si="16"/>
        <v>1.8736201944409153E-2</v>
      </c>
      <c r="J59" s="70">
        <f>J35</f>
        <v>0</v>
      </c>
      <c r="K59" s="471">
        <f t="shared" ref="K59:K60" ca="1" si="21">J59/J$66</f>
        <v>0</v>
      </c>
      <c r="L59" s="73"/>
      <c r="M59" s="73"/>
      <c r="N59" s="73"/>
      <c r="Q59" s="68"/>
      <c r="R59" s="68"/>
      <c r="S59" s="68"/>
    </row>
    <row r="60" spans="1:19">
      <c r="A60" s="227" t="s">
        <v>530</v>
      </c>
      <c r="B60" s="34"/>
      <c r="C60" s="34"/>
      <c r="D60" s="70">
        <f t="shared" si="14"/>
        <v>7220899.9999999991</v>
      </c>
      <c r="E60" s="468">
        <f t="shared" ca="1" si="15"/>
        <v>7.8135409911293495E-3</v>
      </c>
      <c r="F60" s="70">
        <f>'Loan sizing and public sources'!D81</f>
        <v>5683741.666666666</v>
      </c>
      <c r="G60" s="468">
        <f t="shared" ca="1" si="16"/>
        <v>1.0295709644832007E-2</v>
      </c>
      <c r="H60" s="70">
        <f>'Loan sizing and public sources'!E81</f>
        <v>1537158.3333333333</v>
      </c>
      <c r="I60" s="468">
        <f t="shared" ca="1" si="16"/>
        <v>6.7625878073318147E-3</v>
      </c>
      <c r="J60" s="70">
        <f>0</f>
        <v>0</v>
      </c>
      <c r="K60" s="471">
        <f t="shared" ca="1" si="21"/>
        <v>0</v>
      </c>
      <c r="L60" s="73"/>
      <c r="M60" s="73"/>
      <c r="N60" s="73"/>
      <c r="Q60" s="68"/>
      <c r="R60" s="68"/>
      <c r="S60" s="68"/>
    </row>
    <row r="61" spans="1:19">
      <c r="A61" s="227" t="s">
        <v>531</v>
      </c>
      <c r="B61" s="34"/>
      <c r="C61" s="34"/>
      <c r="D61" s="70">
        <f t="shared" si="14"/>
        <v>2000000</v>
      </c>
      <c r="E61" s="468">
        <f t="shared" ca="1" si="15"/>
        <v>2.1641460181222151E-3</v>
      </c>
      <c r="F61" s="70">
        <v>2000000</v>
      </c>
      <c r="G61" s="468">
        <f t="shared" ca="1" si="16"/>
        <v>3.6228633349798651E-3</v>
      </c>
      <c r="H61" s="70">
        <v>0</v>
      </c>
      <c r="I61" s="468">
        <f t="shared" ca="1" si="16"/>
        <v>0</v>
      </c>
      <c r="J61" s="70">
        <v>0</v>
      </c>
      <c r="K61" s="471">
        <f t="shared" ref="K61" ca="1" si="22">J61/J$66</f>
        <v>0</v>
      </c>
      <c r="L61" s="73"/>
      <c r="M61" s="73"/>
      <c r="N61" s="73"/>
      <c r="Q61" s="68"/>
      <c r="R61" s="68"/>
      <c r="S61" s="68"/>
    </row>
    <row r="62" spans="1:19">
      <c r="A62" s="227" t="s">
        <v>532</v>
      </c>
      <c r="B62" s="34"/>
      <c r="C62" s="34"/>
      <c r="D62" s="70">
        <f t="shared" si="14"/>
        <v>4000000</v>
      </c>
      <c r="E62" s="468">
        <f t="shared" ca="1" si="15"/>
        <v>4.3282920362444303E-3</v>
      </c>
      <c r="F62" s="70">
        <v>2000000</v>
      </c>
      <c r="G62" s="468">
        <f t="shared" ca="1" si="16"/>
        <v>3.6228633349798651E-3</v>
      </c>
      <c r="H62" s="70">
        <v>2000000</v>
      </c>
      <c r="I62" s="468">
        <f t="shared" ca="1" si="16"/>
        <v>8.7988174811727028E-3</v>
      </c>
      <c r="J62" s="70">
        <f>0</f>
        <v>0</v>
      </c>
      <c r="K62" s="471">
        <f t="shared" ref="K62:K64" ca="1" si="23">J62/J$66</f>
        <v>0</v>
      </c>
      <c r="L62" s="73"/>
      <c r="M62" s="73"/>
      <c r="N62" s="73"/>
      <c r="Q62" s="68"/>
      <c r="R62" s="68"/>
      <c r="S62" s="68"/>
    </row>
    <row r="63" spans="1:19">
      <c r="A63" s="227" t="s">
        <v>533</v>
      </c>
      <c r="B63" s="34"/>
      <c r="C63" s="34"/>
      <c r="D63" s="70">
        <f t="shared" si="14"/>
        <v>800000</v>
      </c>
      <c r="E63" s="468">
        <f t="shared" ca="1" si="15"/>
        <v>8.6565840724888603E-4</v>
      </c>
      <c r="F63" s="70">
        <v>800000</v>
      </c>
      <c r="G63" s="468">
        <f t="shared" ca="1" si="16"/>
        <v>1.4491453339919461E-3</v>
      </c>
      <c r="H63" s="70">
        <v>0</v>
      </c>
      <c r="I63" s="468">
        <f t="shared" ca="1" si="16"/>
        <v>0</v>
      </c>
      <c r="J63" s="70">
        <v>0</v>
      </c>
      <c r="K63" s="471">
        <f t="shared" ca="1" si="23"/>
        <v>0</v>
      </c>
      <c r="L63" s="73"/>
      <c r="M63" s="73"/>
      <c r="N63" s="73"/>
      <c r="Q63" s="68"/>
    </row>
    <row r="64" spans="1:19">
      <c r="A64" s="227" t="s">
        <v>65</v>
      </c>
      <c r="B64" s="34"/>
      <c r="C64" s="34"/>
      <c r="D64" s="70">
        <f t="shared" ca="1" si="14"/>
        <v>109978401.65872413</v>
      </c>
      <c r="E64" s="468">
        <f t="shared" ca="1" si="15"/>
        <v>0.11900466001458672</v>
      </c>
      <c r="F64" s="70">
        <f ca="1">MAX(0,F76-SUM(F54:F63,F65))</f>
        <v>109978401.65872413</v>
      </c>
      <c r="G64" s="468">
        <f t="shared" ca="1" si="16"/>
        <v>0.19921835950454023</v>
      </c>
      <c r="H64" s="70">
        <f>0</f>
        <v>0</v>
      </c>
      <c r="I64" s="468">
        <f t="shared" ca="1" si="16"/>
        <v>0</v>
      </c>
      <c r="J64" s="70">
        <v>0</v>
      </c>
      <c r="K64" s="471">
        <f t="shared" ca="1" si="23"/>
        <v>0</v>
      </c>
      <c r="L64" s="73"/>
      <c r="M64" s="73"/>
      <c r="N64" s="73"/>
    </row>
    <row r="65" spans="1:14">
      <c r="A65" s="232" t="s">
        <v>534</v>
      </c>
      <c r="B65" s="48"/>
      <c r="C65" s="48"/>
      <c r="D65" s="72">
        <f t="shared" si="14"/>
        <v>50000000</v>
      </c>
      <c r="E65" s="468">
        <f t="shared" ca="1" si="15"/>
        <v>5.4103650453055374E-2</v>
      </c>
      <c r="F65" s="72">
        <f>50000000-H65</f>
        <v>50000000</v>
      </c>
      <c r="G65" s="469">
        <f t="shared" ca="1" si="16"/>
        <v>9.0571583374496625E-2</v>
      </c>
      <c r="H65" s="72">
        <f>0</f>
        <v>0</v>
      </c>
      <c r="I65" s="469">
        <f t="shared" ca="1" si="16"/>
        <v>0</v>
      </c>
      <c r="J65" s="72">
        <f>0</f>
        <v>0</v>
      </c>
      <c r="K65" s="472">
        <f t="shared" ref="K65" ca="1" si="24">J65/J$66</f>
        <v>0</v>
      </c>
      <c r="L65" s="73"/>
      <c r="M65" s="73"/>
      <c r="N65" s="73"/>
    </row>
    <row r="66" spans="1:14">
      <c r="A66" s="449" t="s">
        <v>517</v>
      </c>
      <c r="B66" s="32"/>
      <c r="C66" s="32"/>
      <c r="D66" s="99">
        <f ca="1">SUM(D54:D65)</f>
        <v>924152059.63567972</v>
      </c>
      <c r="E66" s="546"/>
      <c r="F66" s="99">
        <f ca="1">SUM(F54:F65)</f>
        <v>552049529.63292372</v>
      </c>
      <c r="G66" s="470"/>
      <c r="H66" s="99">
        <f ca="1">SUM(H54:H65)</f>
        <v>227303271.63616091</v>
      </c>
      <c r="I66" s="470"/>
      <c r="J66" s="99">
        <f ca="1">SUM(J54:J65)</f>
        <v>144799258.36659503</v>
      </c>
      <c r="K66" s="471"/>
      <c r="L66" s="73"/>
      <c r="M66" s="73"/>
      <c r="N66" s="73"/>
    </row>
    <row r="67" spans="1:14">
      <c r="A67" s="227"/>
      <c r="B67" s="34"/>
      <c r="C67" s="34"/>
      <c r="D67" s="70"/>
      <c r="E67" s="468"/>
      <c r="F67" s="70"/>
      <c r="G67" s="468"/>
      <c r="H67" s="70"/>
      <c r="I67" s="468"/>
      <c r="J67" s="70"/>
      <c r="K67" s="471"/>
      <c r="L67" s="73"/>
      <c r="M67" s="73"/>
      <c r="N67" s="73"/>
    </row>
    <row r="68" spans="1:14">
      <c r="A68" s="449" t="s">
        <v>518</v>
      </c>
      <c r="B68" s="34"/>
      <c r="C68" s="34"/>
      <c r="D68" s="70"/>
      <c r="E68" s="468"/>
      <c r="F68" s="70"/>
      <c r="G68" s="468"/>
      <c r="H68" s="70"/>
      <c r="I68" s="468"/>
      <c r="J68" s="70"/>
      <c r="K68" s="471"/>
      <c r="L68" s="73"/>
      <c r="M68" s="73"/>
      <c r="N68" s="73"/>
    </row>
    <row r="69" spans="1:14">
      <c r="A69" s="227" t="s">
        <v>519</v>
      </c>
      <c r="B69" s="34"/>
      <c r="C69" s="34"/>
      <c r="D69" s="70">
        <f t="shared" ref="D69:D75" si="25">SUM(F69,H69,J69)</f>
        <v>56643589.887000002</v>
      </c>
      <c r="E69" s="468">
        <f ca="1">D69/D$76</f>
        <v>6.1292499753049408E-2</v>
      </c>
      <c r="F69" s="70">
        <f>F18</f>
        <v>9871736.8049999997</v>
      </c>
      <c r="G69" s="468">
        <f ca="1">F69/F$76</f>
        <v>1.7881976661702888E-2</v>
      </c>
      <c r="H69" s="70">
        <f>H18</f>
        <v>27991498.440000001</v>
      </c>
      <c r="I69" s="468">
        <f ca="1">H69/H$76</f>
        <v>0.12314604289904522</v>
      </c>
      <c r="J69" s="70">
        <f>J18</f>
        <v>18780354.641999997</v>
      </c>
      <c r="K69" s="471">
        <f ca="1">J69/J$76</f>
        <v>0.1296992460724688</v>
      </c>
      <c r="L69" s="73"/>
      <c r="M69" s="73"/>
      <c r="N69" s="73"/>
    </row>
    <row r="70" spans="1:14">
      <c r="A70" s="227" t="s">
        <v>29</v>
      </c>
      <c r="B70" s="34"/>
      <c r="C70" s="34"/>
      <c r="D70" s="70">
        <f t="shared" si="25"/>
        <v>62484780</v>
      </c>
      <c r="E70" s="468">
        <f t="shared" ref="E70:I75" ca="1" si="26">D70/D$76</f>
        <v>6.7613093915121311E-2</v>
      </c>
      <c r="F70" s="70">
        <f t="shared" ref="F70:F75" si="27">F43</f>
        <v>47629980</v>
      </c>
      <c r="G70" s="468">
        <f t="shared" ca="1" si="26"/>
        <v>8.6278454093912146E-2</v>
      </c>
      <c r="H70" s="70">
        <f t="shared" ref="H70:H75" si="28">H43</f>
        <v>8277470</v>
      </c>
      <c r="I70" s="468">
        <f t="shared" ca="1" si="26"/>
        <v>3.6415973867941306E-2</v>
      </c>
      <c r="J70" s="70">
        <f t="shared" ref="J70:J75" si="29">J43</f>
        <v>6577330</v>
      </c>
      <c r="K70" s="471">
        <f t="shared" ref="K70" ca="1" si="30">J70/J$76</f>
        <v>4.5423782374270638E-2</v>
      </c>
      <c r="L70" s="73"/>
      <c r="M70" s="73"/>
      <c r="N70" s="73"/>
    </row>
    <row r="71" spans="1:14">
      <c r="A71" s="227" t="s">
        <v>160</v>
      </c>
      <c r="B71" s="34"/>
      <c r="C71" s="34"/>
      <c r="D71" s="70">
        <f t="shared" ca="1" si="25"/>
        <v>647721975.1667887</v>
      </c>
      <c r="E71" s="468">
        <f t="shared" ca="1" si="26"/>
        <v>0.700882466703731</v>
      </c>
      <c r="F71" s="70">
        <f t="shared" ca="1" si="27"/>
        <v>411852856.53874993</v>
      </c>
      <c r="G71" s="468">
        <f t="shared" ca="1" si="26"/>
        <v>0.7460433066804798</v>
      </c>
      <c r="H71" s="70">
        <f t="shared" si="28"/>
        <v>144504724.64637506</v>
      </c>
      <c r="I71" s="468">
        <f t="shared" ca="1" si="26"/>
        <v>0.63573534866528636</v>
      </c>
      <c r="J71" s="70">
        <f t="shared" si="29"/>
        <v>91364393.981663734</v>
      </c>
      <c r="K71" s="471">
        <f t="shared" ref="K71" ca="1" si="31">J71/J$76</f>
        <v>0.63097280339898043</v>
      </c>
      <c r="L71" s="73"/>
      <c r="M71" s="73"/>
      <c r="N71" s="73"/>
    </row>
    <row r="72" spans="1:14">
      <c r="A72" s="227" t="s">
        <v>161</v>
      </c>
      <c r="B72" s="34"/>
      <c r="C72" s="34"/>
      <c r="D72" s="70">
        <f t="shared" ca="1" si="25"/>
        <v>66891742.720003553</v>
      </c>
      <c r="E72" s="468">
        <f t="shared" ca="1" si="26"/>
        <v>7.2381749326375672E-2</v>
      </c>
      <c r="F72" s="70">
        <f t="shared" ca="1" si="27"/>
        <v>35409648.293266632</v>
      </c>
      <c r="G72" s="468">
        <f t="shared" ca="1" si="26"/>
        <v>6.4142158253104029E-2</v>
      </c>
      <c r="H72" s="70">
        <f t="shared" ca="1" si="28"/>
        <v>17063004.640698105</v>
      </c>
      <c r="I72" s="468">
        <f t="shared" ca="1" si="26"/>
        <v>7.5067131756952718E-2</v>
      </c>
      <c r="J72" s="70">
        <f t="shared" ca="1" si="29"/>
        <v>14419089.786038818</v>
      </c>
      <c r="K72" s="471">
        <f t="shared" ref="K72" ca="1" si="32">J72/J$76</f>
        <v>9.9579859376995816E-2</v>
      </c>
      <c r="L72" s="73"/>
      <c r="M72" s="73"/>
      <c r="N72" s="73"/>
    </row>
    <row r="73" spans="1:14">
      <c r="A73" s="227" t="s">
        <v>522</v>
      </c>
      <c r="B73" s="34"/>
      <c r="C73" s="34"/>
      <c r="D73" s="70">
        <f t="shared" ca="1" si="25"/>
        <v>64736589.250301301</v>
      </c>
      <c r="E73" s="468">
        <f t="shared" ca="1" si="26"/>
        <v>7.0049715926426476E-2</v>
      </c>
      <c r="F73" s="70">
        <f t="shared" ca="1" si="27"/>
        <v>31720035.522166196</v>
      </c>
      <c r="G73" s="468">
        <f t="shared" ca="1" si="26"/>
        <v>5.7458676838757411E-2</v>
      </c>
      <c r="H73" s="70">
        <f t="shared" ca="1" si="28"/>
        <v>23228545.517908782</v>
      </c>
      <c r="I73" s="468">
        <f t="shared" ca="1" si="26"/>
        <v>0.10219186618259581</v>
      </c>
      <c r="J73" s="70">
        <f t="shared" ca="1" si="29"/>
        <v>9788008.2102263235</v>
      </c>
      <c r="K73" s="471">
        <f t="shared" ref="K73" ca="1" si="33">J73/J$76</f>
        <v>6.7597088000586072E-2</v>
      </c>
      <c r="L73" s="73"/>
      <c r="M73" s="73"/>
      <c r="N73" s="73"/>
    </row>
    <row r="74" spans="1:14">
      <c r="A74" s="227" t="s">
        <v>26</v>
      </c>
      <c r="B74" s="34"/>
      <c r="C74" s="34"/>
      <c r="D74" s="70">
        <f t="shared" si="25"/>
        <v>2226090.6771584782</v>
      </c>
      <c r="E74" s="468">
        <f t="shared" ca="1" si="26"/>
        <v>2.4087926374757531E-3</v>
      </c>
      <c r="F74" s="70">
        <f t="shared" si="27"/>
        <v>1160967.2457431273</v>
      </c>
      <c r="G74" s="468">
        <f t="shared" ca="1" si="26"/>
        <v>2.1030128338576674E-3</v>
      </c>
      <c r="H74" s="70">
        <f t="shared" si="28"/>
        <v>673922.47284419148</v>
      </c>
      <c r="I74" s="468">
        <f t="shared" ca="1" si="26"/>
        <v>2.9648604175083041E-3</v>
      </c>
      <c r="J74" s="70">
        <f t="shared" si="29"/>
        <v>391200.95857115922</v>
      </c>
      <c r="K74" s="471">
        <f t="shared" ref="K74" ca="1" si="34">J74/J$76</f>
        <v>2.7016779159236958E-3</v>
      </c>
      <c r="L74" s="73"/>
      <c r="M74" s="73"/>
      <c r="N74" s="73"/>
    </row>
    <row r="75" spans="1:14">
      <c r="A75" s="232" t="s">
        <v>523</v>
      </c>
      <c r="B75" s="48"/>
      <c r="C75" s="48"/>
      <c r="D75" s="72">
        <f t="shared" ca="1" si="25"/>
        <v>23447291.934427563</v>
      </c>
      <c r="E75" s="469">
        <f t="shared" ca="1" si="26"/>
        <v>2.537168173782027E-2</v>
      </c>
      <c r="F75" s="72">
        <f t="shared" ca="1" si="27"/>
        <v>14404305.227997778</v>
      </c>
      <c r="G75" s="469">
        <f t="shared" ca="1" si="26"/>
        <v>2.6092414638185971E-2</v>
      </c>
      <c r="H75" s="72">
        <f t="shared" ca="1" si="28"/>
        <v>5564105.918334784</v>
      </c>
      <c r="I75" s="469">
        <f t="shared" ca="1" si="26"/>
        <v>2.4478776210670298E-2</v>
      </c>
      <c r="J75" s="72">
        <f t="shared" ca="1" si="29"/>
        <v>3478880.7880950011</v>
      </c>
      <c r="K75" s="472">
        <f t="shared" ref="K75" ca="1" si="35">J75/J$76</f>
        <v>2.4025542860774581E-2</v>
      </c>
      <c r="L75" s="73"/>
      <c r="M75" s="73"/>
      <c r="N75" s="73"/>
    </row>
    <row r="76" spans="1:14" ht="14" thickBot="1">
      <c r="A76" s="234" t="s">
        <v>524</v>
      </c>
      <c r="B76" s="455"/>
      <c r="C76" s="455"/>
      <c r="D76" s="456">
        <f ca="1">SUM(D69:D75)</f>
        <v>924152059.63567972</v>
      </c>
      <c r="E76" s="456"/>
      <c r="F76" s="456">
        <f ca="1">SUM(F69:F75)</f>
        <v>552049529.63292372</v>
      </c>
      <c r="G76" s="456"/>
      <c r="H76" s="456">
        <f ca="1">SUM(H69:H75)</f>
        <v>227303271.63616091</v>
      </c>
      <c r="I76" s="456"/>
      <c r="J76" s="456">
        <f ca="1">SUM(J69:J75)</f>
        <v>144799258.36659503</v>
      </c>
      <c r="K76" s="457"/>
      <c r="L76" s="73"/>
      <c r="M76" s="73"/>
      <c r="N76" s="73"/>
    </row>
    <row r="77" spans="1:14">
      <c r="A77" s="73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</row>
    <row r="78" spans="1:14">
      <c r="A78" s="73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</row>
    <row r="79" spans="1:14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</row>
    <row r="80" spans="1:14">
      <c r="A80" s="73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</row>
    <row r="81" spans="1:11">
      <c r="A81" s="73"/>
      <c r="B81" s="73"/>
      <c r="C81" s="73"/>
      <c r="D81" s="73"/>
      <c r="E81" s="73"/>
      <c r="F81" s="73"/>
      <c r="G81" s="73"/>
      <c r="H81" s="73"/>
      <c r="I81" s="73"/>
      <c r="J81" s="73"/>
      <c r="K81" s="73"/>
    </row>
  </sheetData>
  <mergeCells count="9">
    <mergeCell ref="F51:G51"/>
    <mergeCell ref="H51:I51"/>
    <mergeCell ref="J51:K51"/>
    <mergeCell ref="F7:G7"/>
    <mergeCell ref="H7:I7"/>
    <mergeCell ref="J7:K7"/>
    <mergeCell ref="F28:G28"/>
    <mergeCell ref="H28:I28"/>
    <mergeCell ref="J28:K28"/>
  </mergeCells>
  <pageMargins left="0.7" right="0.7" top="0.75" bottom="0.75" header="0.3" footer="0.3"/>
  <pageSetup paperSize="3" scale="82" orientation="portrait" horizontalDpi="0" verticalDpi="0"/>
  <headerFooter>
    <oddHeader>&amp;L&amp;"Century Gothic Bold,Bold"&amp;K000000 2019 ULI Hines Student Competition&amp;R&amp;"Century Gothic,Regular"&amp;K000000Sources and Uses Summary</oddHead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3"/>
  <sheetViews>
    <sheetView tabSelected="1" zoomScaleNormal="100" workbookViewId="0">
      <selection activeCell="E30" sqref="E30"/>
    </sheetView>
  </sheetViews>
  <sheetFormatPr baseColWidth="10" defaultColWidth="9.1640625" defaultRowHeight="13"/>
  <cols>
    <col min="1" max="1" width="9.1640625" style="2"/>
    <col min="2" max="2" width="13.83203125" style="2" customWidth="1"/>
    <col min="3" max="3" width="14.5" style="3" bestFit="1" customWidth="1"/>
    <col min="4" max="4" width="12.6640625" style="3" bestFit="1" customWidth="1"/>
    <col min="5" max="5" width="13.5" style="2" bestFit="1" customWidth="1"/>
    <col min="6" max="9" width="11.5" style="2" bestFit="1" customWidth="1"/>
    <col min="10" max="14" width="8.1640625" style="2" customWidth="1"/>
    <col min="15" max="16" width="9.1640625" style="2"/>
    <col min="17" max="17" width="29.5" style="2" bestFit="1" customWidth="1"/>
    <col min="18" max="18" width="9.1640625" style="2"/>
    <col min="19" max="19" width="15.1640625" style="2" bestFit="1" customWidth="1"/>
    <col min="20" max="21" width="13.1640625" style="2" bestFit="1" customWidth="1"/>
    <col min="22" max="22" width="14.33203125" style="2" bestFit="1" customWidth="1"/>
    <col min="23" max="16384" width="9.1640625" style="2"/>
  </cols>
  <sheetData>
    <row r="1" spans="1:22" ht="14" customHeight="1" thickBot="1">
      <c r="L1" s="1063" t="s">
        <v>1</v>
      </c>
      <c r="M1" s="1064" t="s">
        <v>2</v>
      </c>
    </row>
    <row r="2" spans="1:22" ht="14" customHeight="1" thickBot="1">
      <c r="O2" s="11"/>
    </row>
    <row r="3" spans="1:22" ht="14" customHeight="1" thickBot="1">
      <c r="A3" s="825"/>
      <c r="B3" s="826"/>
      <c r="C3" s="827"/>
      <c r="D3" s="827" t="s">
        <v>3</v>
      </c>
      <c r="E3" s="828"/>
      <c r="F3" s="829" t="s">
        <v>4</v>
      </c>
      <c r="G3" s="829"/>
      <c r="H3" s="829" t="s">
        <v>5</v>
      </c>
      <c r="I3" s="829"/>
      <c r="J3" s="829" t="s">
        <v>6</v>
      </c>
      <c r="K3" s="829"/>
      <c r="L3" s="829"/>
      <c r="M3" s="829"/>
      <c r="N3" s="830"/>
      <c r="S3" s="628"/>
      <c r="T3" s="628"/>
      <c r="U3" s="628"/>
    </row>
    <row r="4" spans="1:22" ht="14" customHeight="1">
      <c r="A4" s="831"/>
      <c r="B4" s="622"/>
      <c r="C4" s="278" t="s">
        <v>94</v>
      </c>
      <c r="D4" s="516" t="s">
        <v>8</v>
      </c>
      <c r="E4" s="517">
        <v>2022</v>
      </c>
      <c r="F4" s="623">
        <f>E4+1</f>
        <v>2023</v>
      </c>
      <c r="G4" s="623">
        <f t="shared" ref="G4:N4" si="0">F4+1</f>
        <v>2024</v>
      </c>
      <c r="H4" s="623">
        <f t="shared" si="0"/>
        <v>2025</v>
      </c>
      <c r="I4" s="623">
        <f t="shared" si="0"/>
        <v>2026</v>
      </c>
      <c r="J4" s="623">
        <f t="shared" si="0"/>
        <v>2027</v>
      </c>
      <c r="K4" s="623">
        <f t="shared" si="0"/>
        <v>2028</v>
      </c>
      <c r="L4" s="623">
        <f t="shared" si="0"/>
        <v>2029</v>
      </c>
      <c r="M4" s="623">
        <f t="shared" si="0"/>
        <v>2030</v>
      </c>
      <c r="N4" s="832">
        <f t="shared" si="0"/>
        <v>2031</v>
      </c>
      <c r="Q4" s="570" t="s">
        <v>95</v>
      </c>
      <c r="R4" s="571" t="s">
        <v>96</v>
      </c>
      <c r="S4" s="703" t="s">
        <v>4</v>
      </c>
      <c r="T4" s="703" t="s">
        <v>5</v>
      </c>
      <c r="U4" s="703" t="s">
        <v>6</v>
      </c>
      <c r="V4" s="704" t="s">
        <v>55</v>
      </c>
    </row>
    <row r="5" spans="1:22" ht="14" customHeight="1">
      <c r="A5" s="1030" t="s">
        <v>100</v>
      </c>
      <c r="B5" s="1031"/>
      <c r="C5" s="1032">
        <v>0.02</v>
      </c>
      <c r="D5" s="1033"/>
      <c r="E5" s="1033"/>
      <c r="F5" s="1033"/>
      <c r="G5" s="1033"/>
      <c r="H5" s="1033"/>
      <c r="I5" s="1033"/>
      <c r="J5" s="1033"/>
      <c r="K5" s="1033"/>
      <c r="L5" s="1033"/>
      <c r="M5" s="1033"/>
      <c r="N5" s="1034"/>
      <c r="Q5" s="1172" t="s">
        <v>101</v>
      </c>
      <c r="R5" s="1173"/>
      <c r="S5" s="1173"/>
      <c r="T5" s="1173"/>
      <c r="U5" s="1173"/>
      <c r="V5" s="1174"/>
    </row>
    <row r="6" spans="1:22" ht="18" customHeight="1">
      <c r="A6" s="449" t="s">
        <v>102</v>
      </c>
      <c r="B6" s="32"/>
      <c r="C6" s="33"/>
      <c r="D6" s="1035"/>
      <c r="E6" s="70"/>
      <c r="F6" s="70"/>
      <c r="G6" s="70"/>
      <c r="H6" s="70"/>
      <c r="I6" s="70"/>
      <c r="J6" s="70"/>
      <c r="K6" s="70"/>
      <c r="L6" s="70"/>
      <c r="M6" s="70"/>
      <c r="N6" s="450"/>
      <c r="Q6" s="699" t="s">
        <v>103</v>
      </c>
      <c r="R6" s="34" t="s">
        <v>75</v>
      </c>
      <c r="S6" s="70">
        <v>1841640</v>
      </c>
      <c r="T6" s="70">
        <v>0</v>
      </c>
      <c r="U6" s="70">
        <v>0</v>
      </c>
      <c r="V6" s="450">
        <v>1841640</v>
      </c>
    </row>
    <row r="7" spans="1:22" ht="14" customHeight="1">
      <c r="A7" s="1037"/>
      <c r="B7" s="35" t="s">
        <v>634</v>
      </c>
      <c r="C7" s="94"/>
      <c r="D7" s="1035">
        <f>'Detailed Uses'!M16/2</f>
        <v>323396.88702473388</v>
      </c>
      <c r="E7" s="70">
        <f t="shared" ref="E7:E12" si="1">D7</f>
        <v>323396.88702473388</v>
      </c>
      <c r="F7" s="70">
        <f>'Detailed Uses'!W16/2</f>
        <v>167019.45491550228</v>
      </c>
      <c r="G7" s="70">
        <f>F7</f>
        <v>167019.45491550228</v>
      </c>
      <c r="H7" s="70">
        <f>'Detailed Uses'!AG16/2</f>
        <v>399677.35005661531</v>
      </c>
      <c r="I7" s="70">
        <f>H7</f>
        <v>399677.35005661531</v>
      </c>
      <c r="J7" s="70">
        <v>0</v>
      </c>
      <c r="K7" s="70">
        <v>0</v>
      </c>
      <c r="L7" s="70">
        <v>0</v>
      </c>
      <c r="M7" s="70">
        <v>0</v>
      </c>
      <c r="N7" s="450">
        <v>0</v>
      </c>
      <c r="Q7" s="699" t="s">
        <v>104</v>
      </c>
      <c r="R7" s="34" t="s">
        <v>75</v>
      </c>
      <c r="S7" s="70">
        <v>551250</v>
      </c>
      <c r="T7" s="70">
        <v>0</v>
      </c>
      <c r="U7" s="70">
        <v>0</v>
      </c>
      <c r="V7" s="450">
        <v>551250</v>
      </c>
    </row>
    <row r="8" spans="1:22" ht="14" customHeight="1">
      <c r="A8" s="1037"/>
      <c r="B8" s="35" t="s">
        <v>636</v>
      </c>
      <c r="C8" s="94"/>
      <c r="D8" s="1035">
        <f>'Detailed Uses'!L16/2</f>
        <v>80849.22175618347</v>
      </c>
      <c r="E8" s="70">
        <f t="shared" si="1"/>
        <v>80849.22175618347</v>
      </c>
      <c r="F8" s="70">
        <f>'Detailed Uses'!V16/2</f>
        <v>41754.863728875571</v>
      </c>
      <c r="G8" s="70">
        <f>F8</f>
        <v>41754.863728875571</v>
      </c>
      <c r="H8" s="70">
        <f>'Detailed Uses'!AF16/2</f>
        <v>99919.337514153827</v>
      </c>
      <c r="I8" s="70">
        <f>H8</f>
        <v>99919.337514153827</v>
      </c>
      <c r="J8" s="70">
        <v>0</v>
      </c>
      <c r="K8" s="70">
        <v>0</v>
      </c>
      <c r="L8" s="70">
        <v>0</v>
      </c>
      <c r="M8" s="70">
        <v>0</v>
      </c>
      <c r="N8" s="450">
        <v>0</v>
      </c>
      <c r="Q8" s="699" t="s">
        <v>105</v>
      </c>
      <c r="R8" s="34" t="s">
        <v>75</v>
      </c>
      <c r="S8" s="70">
        <v>0</v>
      </c>
      <c r="T8" s="70">
        <v>777000</v>
      </c>
      <c r="U8" s="70">
        <v>0</v>
      </c>
      <c r="V8" s="450">
        <v>777000</v>
      </c>
    </row>
    <row r="9" spans="1:22" ht="14" customHeight="1">
      <c r="A9" s="1170" t="s">
        <v>11</v>
      </c>
      <c r="B9" s="1171"/>
      <c r="C9" s="94"/>
      <c r="D9" s="1035">
        <f>'Detailed Uses'!Q16/2</f>
        <v>513191.36697691405</v>
      </c>
      <c r="E9" s="70">
        <f t="shared" si="1"/>
        <v>513191.36697691405</v>
      </c>
      <c r="F9" s="70">
        <f>'Detailed Uses'!AA16/2</f>
        <v>226830.07046239337</v>
      </c>
      <c r="G9" s="70">
        <f t="shared" ref="G9:G12" si="2">F9</f>
        <v>226830.07046239337</v>
      </c>
      <c r="H9" s="70">
        <f>'Detailed Uses'!AK16/2</f>
        <v>0</v>
      </c>
      <c r="I9" s="70">
        <f t="shared" ref="I9:I12" si="3">H9</f>
        <v>0</v>
      </c>
      <c r="J9" s="70">
        <v>0</v>
      </c>
      <c r="K9" s="70">
        <v>0</v>
      </c>
      <c r="L9" s="70">
        <v>0</v>
      </c>
      <c r="M9" s="70">
        <v>0</v>
      </c>
      <c r="N9" s="450">
        <v>0</v>
      </c>
      <c r="Q9" s="699" t="s">
        <v>106</v>
      </c>
      <c r="R9" s="34" t="s">
        <v>75</v>
      </c>
      <c r="S9" s="70">
        <v>0</v>
      </c>
      <c r="T9" s="70">
        <v>887550</v>
      </c>
      <c r="U9" s="70">
        <v>0</v>
      </c>
      <c r="V9" s="450">
        <v>887550</v>
      </c>
    </row>
    <row r="10" spans="1:22" ht="14" customHeight="1">
      <c r="A10" s="1170" t="s">
        <v>109</v>
      </c>
      <c r="B10" s="1171"/>
      <c r="C10" s="94"/>
      <c r="D10" s="1035">
        <f>'Detailed Uses'!N16/2</f>
        <v>16921.30719632141</v>
      </c>
      <c r="E10" s="70">
        <f t="shared" si="1"/>
        <v>16921.30719632141</v>
      </c>
      <c r="F10" s="70">
        <f>'Detailed Uses'!X16/2</f>
        <v>88185.801956367621</v>
      </c>
      <c r="G10" s="70">
        <f t="shared" si="2"/>
        <v>88185.801956367621</v>
      </c>
      <c r="H10" s="70">
        <f>'Detailed Uses'!AH16/2</f>
        <v>35679.060540240396</v>
      </c>
      <c r="I10" s="70">
        <f t="shared" si="3"/>
        <v>35679.060540240396</v>
      </c>
      <c r="J10" s="70">
        <v>0</v>
      </c>
      <c r="K10" s="70">
        <v>0</v>
      </c>
      <c r="L10" s="70">
        <v>0</v>
      </c>
      <c r="M10" s="70">
        <v>0</v>
      </c>
      <c r="N10" s="450">
        <v>0</v>
      </c>
      <c r="Q10" s="699" t="s">
        <v>107</v>
      </c>
      <c r="R10" s="34" t="s">
        <v>75</v>
      </c>
      <c r="S10" s="70">
        <v>0</v>
      </c>
      <c r="T10" s="70">
        <v>0</v>
      </c>
      <c r="U10" s="70">
        <v>833000</v>
      </c>
      <c r="V10" s="450">
        <v>833000</v>
      </c>
    </row>
    <row r="11" spans="1:22" ht="14" customHeight="1">
      <c r="A11" s="1170" t="s">
        <v>15</v>
      </c>
      <c r="B11" s="1171"/>
      <c r="C11" s="94"/>
      <c r="D11" s="1035">
        <f>'Detailed Uses'!O16</f>
        <v>0</v>
      </c>
      <c r="E11" s="70">
        <f t="shared" si="1"/>
        <v>0</v>
      </c>
      <c r="F11" s="70">
        <f>'Detailed Uses'!Y16/2</f>
        <v>298862.47353015159</v>
      </c>
      <c r="G11" s="70">
        <f t="shared" si="2"/>
        <v>298862.47353015159</v>
      </c>
      <c r="H11" s="70">
        <f>'Detailed Uses'!AI16/2</f>
        <v>249798.34378538452</v>
      </c>
      <c r="I11" s="70">
        <f t="shared" si="3"/>
        <v>249798.34378538452</v>
      </c>
      <c r="J11" s="70"/>
      <c r="K11" s="70">
        <v>0</v>
      </c>
      <c r="L11" s="70">
        <v>0</v>
      </c>
      <c r="M11" s="70">
        <v>0</v>
      </c>
      <c r="N11" s="450">
        <v>0</v>
      </c>
      <c r="Q11" s="1175" t="s">
        <v>108</v>
      </c>
      <c r="R11" s="1176"/>
      <c r="S11" s="1176"/>
      <c r="T11" s="1176"/>
      <c r="U11" s="1176"/>
      <c r="V11" s="1177"/>
    </row>
    <row r="12" spans="1:22" ht="14" customHeight="1">
      <c r="A12" s="1178" t="s">
        <v>16</v>
      </c>
      <c r="B12" s="1179"/>
      <c r="C12" s="95"/>
      <c r="D12" s="1036">
        <f>'Detailed Uses'!S16/2</f>
        <v>241241.86765310037</v>
      </c>
      <c r="E12" s="72">
        <f t="shared" si="1"/>
        <v>241241.86765310037</v>
      </c>
      <c r="F12" s="72">
        <f>'Detailed Uses'!AC16</f>
        <v>0</v>
      </c>
      <c r="G12" s="72">
        <f t="shared" si="2"/>
        <v>0</v>
      </c>
      <c r="H12" s="72">
        <f>'Detailed Uses'!AM16/2</f>
        <v>463827.78702312516</v>
      </c>
      <c r="I12" s="72">
        <f t="shared" si="3"/>
        <v>463827.78702312516</v>
      </c>
      <c r="J12" s="72">
        <v>0</v>
      </c>
      <c r="K12" s="72">
        <v>0</v>
      </c>
      <c r="L12" s="72">
        <v>0</v>
      </c>
      <c r="M12" s="72">
        <v>0</v>
      </c>
      <c r="N12" s="1028">
        <v>0</v>
      </c>
      <c r="Q12" s="699" t="s">
        <v>110</v>
      </c>
      <c r="R12" s="697" t="s">
        <v>74</v>
      </c>
      <c r="S12" s="706">
        <v>8557300</v>
      </c>
      <c r="T12" s="70">
        <v>0</v>
      </c>
      <c r="U12" s="70">
        <v>0</v>
      </c>
      <c r="V12" s="450">
        <v>8557300</v>
      </c>
    </row>
    <row r="13" spans="1:22" ht="14" customHeight="1">
      <c r="A13" s="1182" t="s">
        <v>115</v>
      </c>
      <c r="B13" s="1183"/>
      <c r="C13" s="1042"/>
      <c r="D13" s="1043">
        <f t="shared" ref="D13:N13" si="4">SUM(D7:D12)</f>
        <v>1175600.6506072532</v>
      </c>
      <c r="E13" s="1043">
        <f t="shared" si="4"/>
        <v>1175600.6506072532</v>
      </c>
      <c r="F13" s="1043">
        <f t="shared" si="4"/>
        <v>822652.66459329042</v>
      </c>
      <c r="G13" s="1043">
        <f t="shared" si="4"/>
        <v>822652.66459329042</v>
      </c>
      <c r="H13" s="1043">
        <f t="shared" si="4"/>
        <v>1248901.8789195193</v>
      </c>
      <c r="I13" s="1043">
        <f t="shared" si="4"/>
        <v>1248901.8789195193</v>
      </c>
      <c r="J13" s="1043">
        <f t="shared" si="4"/>
        <v>0</v>
      </c>
      <c r="K13" s="1043">
        <f t="shared" si="4"/>
        <v>0</v>
      </c>
      <c r="L13" s="1043">
        <f t="shared" si="4"/>
        <v>0</v>
      </c>
      <c r="M13" s="1043">
        <f t="shared" si="4"/>
        <v>0</v>
      </c>
      <c r="N13" s="1044">
        <f t="shared" si="4"/>
        <v>0</v>
      </c>
      <c r="Q13" s="699" t="s">
        <v>111</v>
      </c>
      <c r="R13" s="697" t="s">
        <v>75</v>
      </c>
      <c r="S13" s="706">
        <v>5671080</v>
      </c>
      <c r="T13" s="70">
        <v>0</v>
      </c>
      <c r="U13" s="70">
        <v>0</v>
      </c>
      <c r="V13" s="450">
        <v>5671080</v>
      </c>
    </row>
    <row r="14" spans="1:22" ht="14" customHeight="1">
      <c r="A14" s="449" t="s">
        <v>117</v>
      </c>
      <c r="B14" s="32"/>
      <c r="C14" s="94"/>
      <c r="D14" s="1035"/>
      <c r="E14" s="70"/>
      <c r="F14" s="70"/>
      <c r="G14" s="70"/>
      <c r="H14" s="70"/>
      <c r="I14" s="70"/>
      <c r="J14" s="70"/>
      <c r="K14" s="70"/>
      <c r="L14" s="70"/>
      <c r="M14" s="70"/>
      <c r="N14" s="450"/>
      <c r="Q14" s="699" t="s">
        <v>112</v>
      </c>
      <c r="R14" s="697" t="s">
        <v>75</v>
      </c>
      <c r="S14" s="706">
        <v>0</v>
      </c>
      <c r="T14" s="70">
        <v>2076080</v>
      </c>
      <c r="U14" s="70">
        <v>1141905</v>
      </c>
      <c r="V14" s="450">
        <v>3217985</v>
      </c>
    </row>
    <row r="15" spans="1:22" ht="14" customHeight="1">
      <c r="A15" s="1170" t="s">
        <v>119</v>
      </c>
      <c r="B15" s="1171"/>
      <c r="C15" s="94"/>
      <c r="D15" s="1035">
        <v>0</v>
      </c>
      <c r="E15" s="70">
        <f>S16</f>
        <v>3942690</v>
      </c>
      <c r="F15" s="70">
        <v>0</v>
      </c>
      <c r="G15" s="70">
        <v>0</v>
      </c>
      <c r="H15" s="70">
        <v>0</v>
      </c>
      <c r="I15" s="70">
        <v>0</v>
      </c>
      <c r="J15" s="70">
        <v>0</v>
      </c>
      <c r="K15" s="70">
        <v>0</v>
      </c>
      <c r="L15" s="70">
        <v>0</v>
      </c>
      <c r="M15" s="70">
        <v>0</v>
      </c>
      <c r="N15" s="450">
        <v>0</v>
      </c>
      <c r="Q15" s="699" t="s">
        <v>113</v>
      </c>
      <c r="R15" s="697" t="s">
        <v>75</v>
      </c>
      <c r="S15" s="706">
        <v>2945280</v>
      </c>
      <c r="T15" s="70">
        <v>0</v>
      </c>
      <c r="U15" s="70">
        <v>0</v>
      </c>
      <c r="V15" s="450">
        <v>2945280</v>
      </c>
    </row>
    <row r="16" spans="1:22" ht="14" customHeight="1">
      <c r="A16" s="1184" t="s">
        <v>121</v>
      </c>
      <c r="B16" s="1185"/>
      <c r="C16" s="94"/>
      <c r="D16" s="1035">
        <f>S13/2</f>
        <v>2835540</v>
      </c>
      <c r="E16" s="70">
        <f>D16</f>
        <v>2835540</v>
      </c>
      <c r="F16" s="70">
        <v>0</v>
      </c>
      <c r="G16" s="70">
        <v>0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M16" s="70">
        <v>0</v>
      </c>
      <c r="N16" s="450">
        <v>0</v>
      </c>
      <c r="Q16" s="699" t="s">
        <v>114</v>
      </c>
      <c r="R16" s="697" t="s">
        <v>74</v>
      </c>
      <c r="S16" s="706">
        <v>3942690</v>
      </c>
      <c r="T16" s="70">
        <v>0</v>
      </c>
      <c r="U16" s="70">
        <v>0</v>
      </c>
      <c r="V16" s="450">
        <v>3942690</v>
      </c>
    </row>
    <row r="17" spans="1:22" ht="14" customHeight="1">
      <c r="A17" s="1184" t="s">
        <v>123</v>
      </c>
      <c r="B17" s="1185"/>
      <c r="C17" s="94"/>
      <c r="D17" s="1035">
        <f>S12/2</f>
        <v>4278650</v>
      </c>
      <c r="E17" s="70">
        <f>D17</f>
        <v>4278650</v>
      </c>
      <c r="F17" s="70">
        <v>0</v>
      </c>
      <c r="G17" s="70">
        <v>0</v>
      </c>
      <c r="H17" s="70">
        <v>0</v>
      </c>
      <c r="I17" s="70"/>
      <c r="J17" s="70">
        <v>0</v>
      </c>
      <c r="K17" s="70">
        <v>0</v>
      </c>
      <c r="L17" s="70">
        <v>0</v>
      </c>
      <c r="M17" s="70">
        <v>0</v>
      </c>
      <c r="N17" s="450">
        <v>0</v>
      </c>
      <c r="Q17" s="699" t="s">
        <v>116</v>
      </c>
      <c r="R17" s="697" t="s">
        <v>75</v>
      </c>
      <c r="S17" s="706">
        <v>0</v>
      </c>
      <c r="T17" s="70">
        <v>250000</v>
      </c>
      <c r="U17" s="70">
        <v>250000</v>
      </c>
      <c r="V17" s="450">
        <v>0</v>
      </c>
    </row>
    <row r="18" spans="1:22" ht="18" customHeight="1">
      <c r="A18" s="1184" t="s">
        <v>125</v>
      </c>
      <c r="B18" s="1185"/>
      <c r="C18" s="94"/>
      <c r="D18" s="1035">
        <v>0</v>
      </c>
      <c r="E18" s="70">
        <v>0</v>
      </c>
      <c r="F18" s="70">
        <f>T14/2</f>
        <v>1038040</v>
      </c>
      <c r="G18" s="70">
        <f>F18</f>
        <v>1038040</v>
      </c>
      <c r="H18" s="70">
        <f>U14/2</f>
        <v>570952.5</v>
      </c>
      <c r="I18" s="70">
        <f>H18</f>
        <v>570952.5</v>
      </c>
      <c r="J18" s="70">
        <v>0</v>
      </c>
      <c r="K18" s="70">
        <v>0</v>
      </c>
      <c r="L18" s="70">
        <v>0</v>
      </c>
      <c r="M18" s="70">
        <v>0</v>
      </c>
      <c r="N18" s="450">
        <v>0</v>
      </c>
      <c r="Q18" s="699" t="s">
        <v>118</v>
      </c>
      <c r="R18" s="697" t="s">
        <v>75</v>
      </c>
      <c r="S18" s="706">
        <v>200000</v>
      </c>
      <c r="T18" s="70">
        <v>120000</v>
      </c>
      <c r="U18" s="70">
        <v>160000</v>
      </c>
      <c r="V18" s="450">
        <v>480000</v>
      </c>
    </row>
    <row r="19" spans="1:22" ht="18" customHeight="1">
      <c r="A19" s="1184" t="s">
        <v>127</v>
      </c>
      <c r="B19" s="1185"/>
      <c r="C19" s="94"/>
      <c r="D19" s="1035">
        <v>0</v>
      </c>
      <c r="E19" s="70">
        <v>0</v>
      </c>
      <c r="F19" s="70"/>
      <c r="G19" s="70">
        <f>T17</f>
        <v>250000</v>
      </c>
      <c r="H19" s="70">
        <v>0</v>
      </c>
      <c r="I19" s="70">
        <f>U17</f>
        <v>250000</v>
      </c>
      <c r="J19" s="70">
        <v>0</v>
      </c>
      <c r="K19" s="70">
        <v>0</v>
      </c>
      <c r="L19" s="70">
        <v>0</v>
      </c>
      <c r="M19" s="70">
        <v>0</v>
      </c>
      <c r="N19" s="450">
        <v>0</v>
      </c>
      <c r="Q19" s="1175" t="s">
        <v>120</v>
      </c>
      <c r="R19" s="1176"/>
      <c r="S19" s="1176"/>
      <c r="T19" s="1176"/>
      <c r="U19" s="1176"/>
      <c r="V19" s="1177"/>
    </row>
    <row r="20" spans="1:22" ht="18" customHeight="1">
      <c r="A20" s="1178" t="s">
        <v>130</v>
      </c>
      <c r="B20" s="1179"/>
      <c r="C20" s="55"/>
      <c r="D20" s="1038">
        <f>SUM(S6:S10)/2</f>
        <v>1196445</v>
      </c>
      <c r="E20" s="72">
        <f>D20</f>
        <v>1196445</v>
      </c>
      <c r="F20" s="72">
        <f>SUM(T6:T10)/2</f>
        <v>832275</v>
      </c>
      <c r="G20" s="72">
        <f>F20</f>
        <v>832275</v>
      </c>
      <c r="H20" s="72">
        <f>U10/2</f>
        <v>416500</v>
      </c>
      <c r="I20" s="72">
        <f>H20</f>
        <v>416500</v>
      </c>
      <c r="J20" s="70">
        <v>0</v>
      </c>
      <c r="K20" s="70">
        <v>0</v>
      </c>
      <c r="L20" s="70">
        <v>0</v>
      </c>
      <c r="M20" s="70">
        <v>0</v>
      </c>
      <c r="N20" s="450">
        <v>0</v>
      </c>
      <c r="Q20" s="699" t="s">
        <v>122</v>
      </c>
      <c r="R20" s="34" t="s">
        <v>75</v>
      </c>
      <c r="S20" s="70">
        <v>360000</v>
      </c>
      <c r="T20" s="70">
        <v>540000</v>
      </c>
      <c r="U20" s="70">
        <v>450000</v>
      </c>
      <c r="V20" s="450">
        <v>1350000</v>
      </c>
    </row>
    <row r="21" spans="1:22" ht="18" customHeight="1">
      <c r="A21" s="1182" t="s">
        <v>115</v>
      </c>
      <c r="B21" s="1183"/>
      <c r="C21" s="284"/>
      <c r="D21" s="1043">
        <f t="shared" ref="D21:N21" si="5">SUM(D15:D20)</f>
        <v>8310635</v>
      </c>
      <c r="E21" s="1043">
        <f t="shared" si="5"/>
        <v>12253325</v>
      </c>
      <c r="F21" s="1043">
        <f t="shared" si="5"/>
        <v>1870315</v>
      </c>
      <c r="G21" s="1043">
        <f t="shared" si="5"/>
        <v>2120315</v>
      </c>
      <c r="H21" s="1043">
        <f t="shared" si="5"/>
        <v>987452.5</v>
      </c>
      <c r="I21" s="1043">
        <f t="shared" si="5"/>
        <v>1237452.5</v>
      </c>
      <c r="J21" s="1043">
        <f t="shared" si="5"/>
        <v>0</v>
      </c>
      <c r="K21" s="1043">
        <f t="shared" si="5"/>
        <v>0</v>
      </c>
      <c r="L21" s="1043">
        <f t="shared" si="5"/>
        <v>0</v>
      </c>
      <c r="M21" s="1043">
        <f t="shared" si="5"/>
        <v>0</v>
      </c>
      <c r="N21" s="1044">
        <f t="shared" si="5"/>
        <v>0</v>
      </c>
      <c r="Q21" s="699" t="s">
        <v>124</v>
      </c>
      <c r="R21" s="34" t="s">
        <v>75</v>
      </c>
      <c r="S21" s="70">
        <v>22650</v>
      </c>
      <c r="T21" s="70">
        <v>36240</v>
      </c>
      <c r="U21" s="70">
        <v>18120</v>
      </c>
      <c r="V21" s="450">
        <v>77010</v>
      </c>
    </row>
    <row r="22" spans="1:22" ht="18" customHeight="1">
      <c r="A22" s="449" t="s">
        <v>134</v>
      </c>
      <c r="B22" s="32"/>
      <c r="C22" s="33"/>
      <c r="D22" s="1035"/>
      <c r="E22" s="70"/>
      <c r="F22" s="70"/>
      <c r="G22" s="70"/>
      <c r="H22" s="70"/>
      <c r="I22" s="70"/>
      <c r="J22" s="70"/>
      <c r="K22" s="70"/>
      <c r="L22" s="70"/>
      <c r="M22" s="70"/>
      <c r="N22" s="450"/>
      <c r="Q22" s="699" t="s">
        <v>126</v>
      </c>
      <c r="R22" s="34" t="s">
        <v>75</v>
      </c>
      <c r="S22" s="70">
        <v>2000000</v>
      </c>
      <c r="T22" s="70">
        <v>1000000</v>
      </c>
      <c r="U22" s="70">
        <v>2000000</v>
      </c>
      <c r="V22" s="450">
        <v>5000000</v>
      </c>
    </row>
    <row r="23" spans="1:22" ht="18" customHeight="1">
      <c r="A23" s="1180" t="s">
        <v>59</v>
      </c>
      <c r="B23" s="1181"/>
      <c r="C23" s="55"/>
      <c r="D23" s="1045">
        <f t="shared" ref="D23:N23" si="6">D13+D21</f>
        <v>9486235.6506072525</v>
      </c>
      <c r="E23" s="1045">
        <f t="shared" si="6"/>
        <v>13428925.650607252</v>
      </c>
      <c r="F23" s="1045">
        <f t="shared" si="6"/>
        <v>2692967.6645932905</v>
      </c>
      <c r="G23" s="1045">
        <f t="shared" si="6"/>
        <v>2942967.6645932905</v>
      </c>
      <c r="H23" s="1045">
        <f t="shared" si="6"/>
        <v>2236354.3789195195</v>
      </c>
      <c r="I23" s="1045">
        <f t="shared" si="6"/>
        <v>2486354.3789195195</v>
      </c>
      <c r="J23" s="1045">
        <f t="shared" si="6"/>
        <v>0</v>
      </c>
      <c r="K23" s="1045">
        <f t="shared" si="6"/>
        <v>0</v>
      </c>
      <c r="L23" s="1045">
        <f t="shared" si="6"/>
        <v>0</v>
      </c>
      <c r="M23" s="1045">
        <f t="shared" si="6"/>
        <v>0</v>
      </c>
      <c r="N23" s="1046">
        <f t="shared" si="6"/>
        <v>0</v>
      </c>
      <c r="Q23" s="699" t="s">
        <v>128</v>
      </c>
      <c r="R23" s="34" t="s">
        <v>75</v>
      </c>
      <c r="S23" s="70">
        <v>10240</v>
      </c>
      <c r="T23" s="70">
        <v>15360</v>
      </c>
      <c r="U23" s="70">
        <v>10240</v>
      </c>
      <c r="V23" s="450">
        <v>35840</v>
      </c>
    </row>
    <row r="24" spans="1:22" ht="18" customHeight="1" thickBot="1">
      <c r="A24" s="234" t="s">
        <v>135</v>
      </c>
      <c r="B24" s="455"/>
      <c r="C24" s="1039">
        <f>NPV(C25,D23:I23)</f>
        <v>28289676.935616639</v>
      </c>
      <c r="D24" s="1040"/>
      <c r="E24" s="945"/>
      <c r="F24" s="945"/>
      <c r="G24" s="945"/>
      <c r="H24" s="945"/>
      <c r="I24" s="945"/>
      <c r="J24" s="945"/>
      <c r="K24" s="945"/>
      <c r="L24" s="945"/>
      <c r="M24" s="945"/>
      <c r="N24" s="1041"/>
      <c r="Q24" s="699" t="s">
        <v>129</v>
      </c>
      <c r="R24" s="34" t="s">
        <v>75</v>
      </c>
      <c r="S24" s="707">
        <f>25*15*12</f>
        <v>4500</v>
      </c>
      <c r="T24" s="707">
        <f>24*15*6</f>
        <v>2160</v>
      </c>
      <c r="U24" s="707">
        <f>24*15*6</f>
        <v>2160</v>
      </c>
      <c r="V24" s="450">
        <f>SUM(S24:U24)</f>
        <v>8820</v>
      </c>
    </row>
    <row r="25" spans="1:22" ht="14" customHeight="1">
      <c r="A25" s="73"/>
      <c r="B25" s="73"/>
      <c r="C25" s="138">
        <v>7.0000000000000007E-2</v>
      </c>
      <c r="D25" s="139"/>
      <c r="E25" s="73"/>
      <c r="F25" s="73"/>
      <c r="G25" s="73"/>
      <c r="H25" s="73"/>
      <c r="I25" s="73"/>
      <c r="J25" s="73"/>
      <c r="K25" s="73"/>
      <c r="L25" s="73"/>
      <c r="M25" s="73"/>
      <c r="N25" s="73"/>
      <c r="Q25" s="699" t="s">
        <v>131</v>
      </c>
      <c r="R25" s="34" t="s">
        <v>75</v>
      </c>
      <c r="S25" s="70">
        <f>7000</f>
        <v>7000</v>
      </c>
      <c r="T25" s="70">
        <f>S25</f>
        <v>7000</v>
      </c>
      <c r="U25" s="70"/>
      <c r="V25" s="450">
        <f>SUM(S25:U25)</f>
        <v>14000</v>
      </c>
    </row>
    <row r="26" spans="1:22" ht="14" customHeight="1">
      <c r="Q26" s="699" t="s">
        <v>132</v>
      </c>
      <c r="R26" s="34" t="s">
        <v>75</v>
      </c>
      <c r="S26" s="70">
        <f>SUMIFS(S6:S25,$R$6:$R$25,"Private")</f>
        <v>13613640</v>
      </c>
      <c r="T26" s="70">
        <f>SUMIFS(T6:T25,$R$6:$R$25,"Private")</f>
        <v>5711390</v>
      </c>
      <c r="U26" s="70">
        <f>SUMIFS(U6:U25,$R$6:$R$25,"Private")</f>
        <v>4865425</v>
      </c>
      <c r="V26" s="450">
        <v>23667635</v>
      </c>
    </row>
    <row r="27" spans="1:22" ht="14" customHeight="1">
      <c r="Q27" s="1027" t="s">
        <v>133</v>
      </c>
      <c r="R27" s="48" t="s">
        <v>74</v>
      </c>
      <c r="S27" s="72">
        <f>S12+S16</f>
        <v>12499990</v>
      </c>
      <c r="T27" s="72">
        <v>0</v>
      </c>
      <c r="U27" s="72">
        <v>0</v>
      </c>
      <c r="V27" s="1028">
        <v>12499990</v>
      </c>
    </row>
    <row r="28" spans="1:22" ht="18" customHeight="1" thickBot="1">
      <c r="Q28" s="762" t="s">
        <v>55</v>
      </c>
      <c r="R28" s="763"/>
      <c r="S28" s="764">
        <f>SUM(S6:S25)</f>
        <v>26113630</v>
      </c>
      <c r="T28" s="764">
        <f>SUM(T6:T25)</f>
        <v>5711390</v>
      </c>
      <c r="U28" s="764">
        <f>SUM(U6:U25)</f>
        <v>4865425</v>
      </c>
      <c r="V28" s="765">
        <f>SUM(V6:V25)</f>
        <v>36190445</v>
      </c>
    </row>
    <row r="29" spans="1:22" ht="14" customHeight="1" thickBot="1"/>
    <row r="30" spans="1:22" ht="18" customHeight="1">
      <c r="Q30" s="145" t="s">
        <v>136</v>
      </c>
      <c r="R30" s="654"/>
      <c r="S30" s="834">
        <f>SUM(S6:S18)</f>
        <v>23709240</v>
      </c>
      <c r="T30" s="834">
        <f>SUM(T6:T18)</f>
        <v>4110630</v>
      </c>
      <c r="U30" s="834">
        <f>SUM(U6:U18)</f>
        <v>2384905</v>
      </c>
      <c r="V30" s="835">
        <f>SUM(V6:V18)</f>
        <v>29704775</v>
      </c>
    </row>
    <row r="31" spans="1:22">
      <c r="Q31" s="147" t="s">
        <v>137</v>
      </c>
      <c r="R31" s="9"/>
      <c r="S31" s="29">
        <f>SUM(S12:S18)</f>
        <v>21316350</v>
      </c>
      <c r="T31" s="29">
        <f>SUM(T12:T18)</f>
        <v>2446080</v>
      </c>
      <c r="U31" s="29">
        <f>SUM(U12:U18)</f>
        <v>1551905</v>
      </c>
      <c r="V31" s="807">
        <f>SUM(V12:V18)</f>
        <v>24814335</v>
      </c>
    </row>
    <row r="32" spans="1:22">
      <c r="Q32" s="147" t="s">
        <v>138</v>
      </c>
      <c r="R32" s="9"/>
      <c r="S32" s="29">
        <f>SUM(S18:S25)</f>
        <v>2604390</v>
      </c>
      <c r="T32" s="29">
        <f>SUM(T18:T25)</f>
        <v>1720760</v>
      </c>
      <c r="U32" s="29">
        <f>SUM(U18:U25)</f>
        <v>2640520</v>
      </c>
      <c r="V32" s="807">
        <f>SUM(V18:V25)</f>
        <v>6965670</v>
      </c>
    </row>
    <row r="33" spans="17:22" ht="14" thickBot="1">
      <c r="Q33" s="598" t="s">
        <v>139</v>
      </c>
      <c r="R33" s="600"/>
      <c r="S33" s="787">
        <f>SUM(S30:S32)</f>
        <v>47629980</v>
      </c>
      <c r="T33" s="787">
        <f t="shared" ref="T33:V33" si="7">SUM(T30:T32)</f>
        <v>8277470</v>
      </c>
      <c r="U33" s="787">
        <f t="shared" si="7"/>
        <v>6577330</v>
      </c>
      <c r="V33" s="836">
        <f t="shared" si="7"/>
        <v>61484780</v>
      </c>
    </row>
  </sheetData>
  <mergeCells count="16">
    <mergeCell ref="A12:B12"/>
    <mergeCell ref="Q19:V19"/>
    <mergeCell ref="A23:B23"/>
    <mergeCell ref="A13:B13"/>
    <mergeCell ref="A20:B20"/>
    <mergeCell ref="A21:B21"/>
    <mergeCell ref="A15:B15"/>
    <mergeCell ref="A16:B16"/>
    <mergeCell ref="A17:B17"/>
    <mergeCell ref="A18:B18"/>
    <mergeCell ref="A19:B19"/>
    <mergeCell ref="A9:B9"/>
    <mergeCell ref="A10:B10"/>
    <mergeCell ref="A11:B11"/>
    <mergeCell ref="Q5:V5"/>
    <mergeCell ref="Q11:V11"/>
  </mergeCells>
  <phoneticPr fontId="2" type="noConversion"/>
  <pageMargins left="0.5" right="0.5" top="1" bottom="0.5" header="0.5" footer="0.5"/>
  <pageSetup orientation="landscape" r:id="rId1"/>
  <headerFooter alignWithMargins="0">
    <oddHeader>&amp;L&amp;"Arial,Bold"1. Infrastructure Costs by Year, Allocated by Use Types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6"/>
  <sheetViews>
    <sheetView showWhiteSpace="0" zoomScale="86" zoomScaleNormal="100" workbookViewId="0">
      <selection activeCell="M1" sqref="L1:M1"/>
    </sheetView>
  </sheetViews>
  <sheetFormatPr baseColWidth="10" defaultColWidth="9.1640625" defaultRowHeight="13"/>
  <cols>
    <col min="1" max="1" width="37.83203125" style="2" customWidth="1"/>
    <col min="2" max="2" width="15.6640625" style="3" customWidth="1"/>
    <col min="3" max="3" width="20.33203125" style="3" customWidth="1"/>
    <col min="4" max="8" width="20.33203125" style="2" customWidth="1"/>
    <col min="9" max="13" width="15.6640625" style="2" customWidth="1"/>
    <col min="14" max="16384" width="9.1640625" style="2"/>
  </cols>
  <sheetData>
    <row r="1" spans="1:13" ht="14" customHeight="1" thickBot="1">
      <c r="E1" s="4"/>
      <c r="L1" s="1065" t="s">
        <v>1</v>
      </c>
      <c r="M1" s="1064" t="s">
        <v>2</v>
      </c>
    </row>
    <row r="2" spans="1:13" ht="14" customHeight="1" thickBot="1">
      <c r="B2" s="7"/>
      <c r="C2" s="7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ht="14" customHeight="1">
      <c r="A3" s="837"/>
      <c r="B3" s="838"/>
      <c r="C3" s="827" t="s">
        <v>3</v>
      </c>
      <c r="D3" s="828"/>
      <c r="E3" s="571" t="s">
        <v>4</v>
      </c>
      <c r="F3" s="828"/>
      <c r="G3" s="571" t="s">
        <v>5</v>
      </c>
      <c r="H3" s="828"/>
      <c r="I3" s="571" t="s">
        <v>6</v>
      </c>
      <c r="J3" s="828"/>
      <c r="K3" s="828"/>
      <c r="L3" s="828"/>
      <c r="M3" s="839"/>
    </row>
    <row r="4" spans="1:13" ht="14" customHeight="1">
      <c r="A4" s="573" t="s">
        <v>140</v>
      </c>
      <c r="B4" s="341" t="s">
        <v>141</v>
      </c>
      <c r="C4" s="341" t="s">
        <v>8</v>
      </c>
      <c r="D4" s="341">
        <v>2022</v>
      </c>
      <c r="E4" s="341">
        <f>D4+1</f>
        <v>2023</v>
      </c>
      <c r="F4" s="341">
        <f t="shared" ref="F4:M4" si="0">E4+1</f>
        <v>2024</v>
      </c>
      <c r="G4" s="341">
        <f t="shared" si="0"/>
        <v>2025</v>
      </c>
      <c r="H4" s="341">
        <f t="shared" si="0"/>
        <v>2026</v>
      </c>
      <c r="I4" s="341">
        <f t="shared" si="0"/>
        <v>2027</v>
      </c>
      <c r="J4" s="341">
        <f t="shared" si="0"/>
        <v>2028</v>
      </c>
      <c r="K4" s="341">
        <f t="shared" si="0"/>
        <v>2029</v>
      </c>
      <c r="L4" s="341">
        <f t="shared" si="0"/>
        <v>2030</v>
      </c>
      <c r="M4" s="708">
        <f t="shared" si="0"/>
        <v>2031</v>
      </c>
    </row>
    <row r="5" spans="1:13" ht="14" customHeight="1">
      <c r="A5" s="227" t="s">
        <v>142</v>
      </c>
      <c r="B5" s="89"/>
      <c r="C5" s="33">
        <v>0</v>
      </c>
      <c r="D5" s="33">
        <v>0</v>
      </c>
      <c r="E5" s="90">
        <f>'Parcel breakdown'!$E$28</f>
        <v>232.48575636363637</v>
      </c>
      <c r="F5" s="90">
        <f>'Parcel breakdown'!$E$28</f>
        <v>232.48575636363637</v>
      </c>
      <c r="G5" s="90">
        <f>('Parcel breakdown'!$E$28)+('Parcel breakdown'!$E$29)</f>
        <v>305.9524618181818</v>
      </c>
      <c r="H5" s="90">
        <f>('Parcel breakdown'!$E$28)+('Parcel breakdown'!$E$29)</f>
        <v>305.9524618181818</v>
      </c>
      <c r="I5" s="90">
        <f>('Parcel breakdown'!$E$28)+('Parcel breakdown'!$E$29)+'Parcel breakdown'!$E$30</f>
        <v>396.19167636363636</v>
      </c>
      <c r="J5" s="90">
        <f>('Parcel breakdown'!$E$28)+('Parcel breakdown'!$E$29)+'Parcel breakdown'!$E$30</f>
        <v>396.19167636363636</v>
      </c>
      <c r="K5" s="90">
        <f>('Parcel breakdown'!$E$28)+('Parcel breakdown'!$E$29)+'Parcel breakdown'!$E$30</f>
        <v>396.19167636363636</v>
      </c>
      <c r="L5" s="90">
        <f>('Parcel breakdown'!$E$28)+('Parcel breakdown'!$E$29)+'Parcel breakdown'!$E$30</f>
        <v>396.19167636363636</v>
      </c>
      <c r="M5" s="840">
        <f>('Parcel breakdown'!$E$28)+('Parcel breakdown'!$E$29)+'Parcel breakdown'!$E$30</f>
        <v>396.19167636363636</v>
      </c>
    </row>
    <row r="6" spans="1:13" ht="14" customHeight="1">
      <c r="A6" s="227" t="s">
        <v>143</v>
      </c>
      <c r="B6" s="89"/>
      <c r="C6" s="33">
        <v>0</v>
      </c>
      <c r="D6" s="33">
        <v>0</v>
      </c>
      <c r="E6" s="90">
        <f>'Parcel breakdown'!$G$28</f>
        <v>219.20085600000002</v>
      </c>
      <c r="F6" s="90">
        <f>'Parcel breakdown'!$G$28</f>
        <v>219.20085600000002</v>
      </c>
      <c r="G6" s="90">
        <f>'Parcel breakdown'!$G$28+'Parcel breakdown'!$G$29</f>
        <v>288.46946400000002</v>
      </c>
      <c r="H6" s="90">
        <f>'Parcel breakdown'!$G$28+'Parcel breakdown'!$G$29</f>
        <v>288.46946400000002</v>
      </c>
      <c r="I6" s="90">
        <f>'Parcel breakdown'!$G$28+'Parcel breakdown'!$G$29+'Parcel breakdown'!$G$30</f>
        <v>373.55215200000004</v>
      </c>
      <c r="J6" s="90">
        <f>'Parcel breakdown'!$G$28+'Parcel breakdown'!$G$29+'Parcel breakdown'!$G$30</f>
        <v>373.55215200000004</v>
      </c>
      <c r="K6" s="90">
        <f>'Parcel breakdown'!$G$28+'Parcel breakdown'!$G$29+'Parcel breakdown'!$G$30</f>
        <v>373.55215200000004</v>
      </c>
      <c r="L6" s="90">
        <f>'Parcel breakdown'!$G$28+'Parcel breakdown'!$G$29+'Parcel breakdown'!$G$30</f>
        <v>373.55215200000004</v>
      </c>
      <c r="M6" s="840">
        <f>'Parcel breakdown'!$G$28+'Parcel breakdown'!$G$29+'Parcel breakdown'!$G$30</f>
        <v>373.55215200000004</v>
      </c>
    </row>
    <row r="7" spans="1:13" ht="14" customHeight="1">
      <c r="A7" s="227" t="s">
        <v>144</v>
      </c>
      <c r="B7" s="89"/>
      <c r="C7" s="33">
        <v>0</v>
      </c>
      <c r="D7" s="33">
        <v>0</v>
      </c>
      <c r="E7" s="90">
        <f>'Parcel breakdown'!$I$28</f>
        <v>33.212250909090912</v>
      </c>
      <c r="F7" s="90">
        <f>'Parcel breakdown'!$I$28</f>
        <v>33.212250909090912</v>
      </c>
      <c r="G7" s="90">
        <f>'Parcel breakdown'!$I$28+'Parcel breakdown'!$I$29</f>
        <v>43.707494545454551</v>
      </c>
      <c r="H7" s="90">
        <f>'Parcel breakdown'!$I$28+'Parcel breakdown'!$I$29</f>
        <v>43.707494545454551</v>
      </c>
      <c r="I7" s="90">
        <f>'Parcel breakdown'!$I$28+'Parcel breakdown'!$I$29+'Parcel breakdown'!$I$30</f>
        <v>56.598810909090915</v>
      </c>
      <c r="J7" s="90">
        <f>'Parcel breakdown'!$I$28+'Parcel breakdown'!$I$29+'Parcel breakdown'!$I$30</f>
        <v>56.598810909090915</v>
      </c>
      <c r="K7" s="90">
        <f>'Parcel breakdown'!$I$28+'Parcel breakdown'!$I$29+'Parcel breakdown'!$I$30</f>
        <v>56.598810909090915</v>
      </c>
      <c r="L7" s="90">
        <f>'Parcel breakdown'!$I$28+'Parcel breakdown'!$I$29+'Parcel breakdown'!$I$30</f>
        <v>56.598810909090915</v>
      </c>
      <c r="M7" s="840">
        <f>'Parcel breakdown'!$I$28+'Parcel breakdown'!$I$29+'Parcel breakdown'!$I$30</f>
        <v>56.598810909090915</v>
      </c>
    </row>
    <row r="8" spans="1:13" ht="14" customHeight="1">
      <c r="A8" s="227" t="s">
        <v>145</v>
      </c>
      <c r="B8" s="89"/>
      <c r="C8" s="33">
        <v>0</v>
      </c>
      <c r="D8" s="33">
        <v>0</v>
      </c>
      <c r="E8" s="90">
        <f>'Parcel breakdown'!$K$28</f>
        <v>24.355650666666669</v>
      </c>
      <c r="F8" s="90">
        <f>'Parcel breakdown'!$K$28</f>
        <v>24.355650666666669</v>
      </c>
      <c r="G8" s="90">
        <f>'Parcel breakdown'!$K$28+'Parcel breakdown'!$K$29</f>
        <v>32.052162666666668</v>
      </c>
      <c r="H8" s="90">
        <f>'Parcel breakdown'!$K$28+'Parcel breakdown'!$K$29</f>
        <v>32.052162666666668</v>
      </c>
      <c r="I8" s="90">
        <f>'Parcel breakdown'!$K$28+'Parcel breakdown'!$K$29+'Parcel breakdown'!$K$30</f>
        <v>41.505794666666667</v>
      </c>
      <c r="J8" s="90">
        <f>'Parcel breakdown'!$K$28+'Parcel breakdown'!$K$29+'Parcel breakdown'!$K$30</f>
        <v>41.505794666666667</v>
      </c>
      <c r="K8" s="90">
        <f>'Parcel breakdown'!$K$28+'Parcel breakdown'!$K$29+'Parcel breakdown'!$K$30</f>
        <v>41.505794666666667</v>
      </c>
      <c r="L8" s="90">
        <f>'Parcel breakdown'!$K$28+'Parcel breakdown'!$K$29+'Parcel breakdown'!$K$30</f>
        <v>41.505794666666667</v>
      </c>
      <c r="M8" s="840">
        <f>'Parcel breakdown'!$K$28+'Parcel breakdown'!$K$29+'Parcel breakdown'!$K$30</f>
        <v>41.505794666666667</v>
      </c>
    </row>
    <row r="9" spans="1:13" ht="14" customHeight="1">
      <c r="A9" s="232" t="s">
        <v>146</v>
      </c>
      <c r="B9" s="288"/>
      <c r="C9" s="42">
        <v>0</v>
      </c>
      <c r="D9" s="42">
        <v>0</v>
      </c>
      <c r="E9" s="289">
        <f>'Parcel breakdown'!$M$28</f>
        <v>0</v>
      </c>
      <c r="F9" s="289">
        <f>'Parcel breakdown'!$M$28</f>
        <v>0</v>
      </c>
      <c r="G9" s="289">
        <f>'Parcel breakdown'!$M$28+'Parcel breakdown'!$M$29</f>
        <v>0</v>
      </c>
      <c r="H9" s="289">
        <f>'Parcel breakdown'!$M$28+'Parcel breakdown'!$M$29</f>
        <v>0</v>
      </c>
      <c r="I9" s="289">
        <f>'Parcel breakdown'!$M$28+'Parcel breakdown'!$M$29+'Parcel breakdown'!$M$30</f>
        <v>0</v>
      </c>
      <c r="J9" s="289">
        <f>'Parcel breakdown'!$M$28+'Parcel breakdown'!$M$29+'Parcel breakdown'!$M$30</f>
        <v>0</v>
      </c>
      <c r="K9" s="289">
        <f>'Parcel breakdown'!$M$28+'Parcel breakdown'!$M$29+'Parcel breakdown'!$M$30</f>
        <v>0</v>
      </c>
      <c r="L9" s="289">
        <f>'Parcel breakdown'!$M$28+'Parcel breakdown'!$M$29+'Parcel breakdown'!$M$30</f>
        <v>0</v>
      </c>
      <c r="M9" s="841">
        <f>'Parcel breakdown'!$M$28+'Parcel breakdown'!$M$29+'Parcel breakdown'!$M$30</f>
        <v>0</v>
      </c>
    </row>
    <row r="10" spans="1:13" ht="14" customHeight="1">
      <c r="A10" s="842" t="s">
        <v>147</v>
      </c>
      <c r="B10" s="290"/>
      <c r="C10" s="291">
        <f t="shared" ref="C10:D10" si="1">SUM(C5:C9)</f>
        <v>0</v>
      </c>
      <c r="D10" s="291">
        <f t="shared" si="1"/>
        <v>0</v>
      </c>
      <c r="E10" s="291">
        <f>SUM(E5:E9)</f>
        <v>509.25451393939403</v>
      </c>
      <c r="F10" s="291">
        <f>SUM(F5:F9)</f>
        <v>509.25451393939403</v>
      </c>
      <c r="G10" s="291">
        <f t="shared" ref="G10:M10" si="2">SUM(G5:G9)</f>
        <v>670.18158303030293</v>
      </c>
      <c r="H10" s="291">
        <f t="shared" si="2"/>
        <v>670.18158303030293</v>
      </c>
      <c r="I10" s="291">
        <f t="shared" si="2"/>
        <v>867.848433939394</v>
      </c>
      <c r="J10" s="291">
        <f t="shared" si="2"/>
        <v>867.848433939394</v>
      </c>
      <c r="K10" s="291">
        <f t="shared" si="2"/>
        <v>867.848433939394</v>
      </c>
      <c r="L10" s="291">
        <f t="shared" si="2"/>
        <v>867.848433939394</v>
      </c>
      <c r="M10" s="843">
        <f t="shared" si="2"/>
        <v>867.848433939394</v>
      </c>
    </row>
    <row r="11" spans="1:13" ht="14" customHeight="1">
      <c r="A11" s="449" t="s">
        <v>148</v>
      </c>
      <c r="B11" s="89"/>
      <c r="C11" s="89">
        <v>0</v>
      </c>
      <c r="D11" s="89">
        <v>0</v>
      </c>
      <c r="E11" s="91">
        <f>'Parcel breakdown'!$N$28</f>
        <v>365334.76</v>
      </c>
      <c r="F11" s="91">
        <f>'Parcel breakdown'!$N$28</f>
        <v>365334.76</v>
      </c>
      <c r="G11" s="91">
        <f>'Parcel breakdown'!$N$28+'Parcel breakdown'!$N$29</f>
        <v>480782.44</v>
      </c>
      <c r="H11" s="91">
        <f>'Parcel breakdown'!$N$28+'Parcel breakdown'!$N$29</f>
        <v>480782.44</v>
      </c>
      <c r="I11" s="91">
        <f>'Parcel breakdown'!$N$28+'Parcel breakdown'!$N$29+'Parcel breakdown'!$N$30</f>
        <v>622586.92000000004</v>
      </c>
      <c r="J11" s="91">
        <f>'Parcel breakdown'!$N$28+'Parcel breakdown'!$N$29+'Parcel breakdown'!$N$30</f>
        <v>622586.92000000004</v>
      </c>
      <c r="K11" s="91">
        <f>'Parcel breakdown'!$N$28+'Parcel breakdown'!$N$29+'Parcel breakdown'!$N$30</f>
        <v>622586.92000000004</v>
      </c>
      <c r="L11" s="91">
        <f>'Parcel breakdown'!$N$28+'Parcel breakdown'!$N$29+'Parcel breakdown'!$N$30</f>
        <v>622586.92000000004</v>
      </c>
      <c r="M11" s="844">
        <f>'Parcel breakdown'!$N$28+'Parcel breakdown'!$N$29+'Parcel breakdown'!$N$30</f>
        <v>622586.92000000004</v>
      </c>
    </row>
    <row r="12" spans="1:13" ht="14" customHeight="1">
      <c r="A12" s="449"/>
      <c r="B12" s="89"/>
      <c r="C12" s="89"/>
      <c r="D12" s="89"/>
      <c r="E12" s="91"/>
      <c r="F12" s="91"/>
      <c r="G12" s="91"/>
      <c r="H12" s="91"/>
      <c r="I12" s="91"/>
      <c r="J12" s="91"/>
      <c r="K12" s="91"/>
      <c r="L12" s="91"/>
      <c r="M12" s="844"/>
    </row>
    <row r="13" spans="1:13" ht="18" customHeight="1">
      <c r="A13" s="845" t="s">
        <v>149</v>
      </c>
      <c r="B13" s="17"/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846"/>
    </row>
    <row r="14" spans="1:13">
      <c r="A14" s="709" t="s">
        <v>150</v>
      </c>
      <c r="B14" s="36">
        <v>0.02</v>
      </c>
      <c r="C14" s="92">
        <v>0</v>
      </c>
      <c r="D14" s="92">
        <v>0</v>
      </c>
      <c r="E14" s="92">
        <f>'Parcel breakdown'!C60</f>
        <v>14023454.472002182</v>
      </c>
      <c r="F14" s="92">
        <f>E14*(1+$B$14)</f>
        <v>14303923.561442226</v>
      </c>
      <c r="G14" s="92">
        <f t="shared" ref="G14:M14" si="3">F14*(1+$B$14)</f>
        <v>14590002.032671072</v>
      </c>
      <c r="H14" s="92">
        <f t="shared" si="3"/>
        <v>14881802.073324494</v>
      </c>
      <c r="I14" s="92">
        <f t="shared" si="3"/>
        <v>15179438.114790983</v>
      </c>
      <c r="J14" s="92">
        <f t="shared" si="3"/>
        <v>15483026.877086803</v>
      </c>
      <c r="K14" s="92">
        <f t="shared" si="3"/>
        <v>15792687.414628539</v>
      </c>
      <c r="L14" s="92">
        <f t="shared" si="3"/>
        <v>16108541.16292111</v>
      </c>
      <c r="M14" s="847">
        <f t="shared" si="3"/>
        <v>16430711.986179532</v>
      </c>
    </row>
    <row r="15" spans="1:13" ht="14" customHeight="1">
      <c r="A15" s="709" t="s">
        <v>151</v>
      </c>
      <c r="B15" s="36">
        <v>0.02</v>
      </c>
      <c r="C15" s="92">
        <v>0</v>
      </c>
      <c r="D15" s="93">
        <v>0</v>
      </c>
      <c r="E15" s="93">
        <v>0</v>
      </c>
      <c r="F15" s="93">
        <v>0</v>
      </c>
      <c r="G15" s="93">
        <f>'Parcel breakdown'!D60</f>
        <v>4610516.3545542695</v>
      </c>
      <c r="H15" s="93">
        <f>G15*(1+$B$15)</f>
        <v>4702726.6816453552</v>
      </c>
      <c r="I15" s="39">
        <f t="shared" ref="I15:M15" si="4">H15*(1+$B$15)</f>
        <v>4796781.2152782623</v>
      </c>
      <c r="J15" s="39">
        <f t="shared" si="4"/>
        <v>4892716.8395838272</v>
      </c>
      <c r="K15" s="39">
        <f t="shared" si="4"/>
        <v>4990571.1763755037</v>
      </c>
      <c r="L15" s="39">
        <f t="shared" si="4"/>
        <v>5090382.5999030136</v>
      </c>
      <c r="M15" s="848">
        <f t="shared" si="4"/>
        <v>5192190.2519010743</v>
      </c>
    </row>
    <row r="16" spans="1:13" ht="14" customHeight="1">
      <c r="A16" s="709" t="s">
        <v>152</v>
      </c>
      <c r="B16" s="36">
        <v>0.02</v>
      </c>
      <c r="C16" s="92">
        <v>0</v>
      </c>
      <c r="D16" s="93">
        <v>0</v>
      </c>
      <c r="E16" s="93">
        <v>0</v>
      </c>
      <c r="F16" s="93">
        <v>0</v>
      </c>
      <c r="G16" s="93">
        <v>0</v>
      </c>
      <c r="H16" s="93">
        <v>0</v>
      </c>
      <c r="I16" s="39">
        <f>'Parcel breakdown'!E60*(1+$B$16)</f>
        <v>6009728.1056183046</v>
      </c>
      <c r="J16" s="39">
        <f>I16*(1+$B$16)</f>
        <v>6129922.6677306704</v>
      </c>
      <c r="K16" s="39">
        <f t="shared" ref="K16:M16" si="5">J16*(1+$B$16)</f>
        <v>6252521.1210852843</v>
      </c>
      <c r="L16" s="39">
        <f t="shared" si="5"/>
        <v>6377571.5435069902</v>
      </c>
      <c r="M16" s="848">
        <f t="shared" si="5"/>
        <v>6505122.9743771302</v>
      </c>
    </row>
    <row r="17" spans="1:13" ht="14" customHeight="1">
      <c r="A17" s="709" t="s">
        <v>153</v>
      </c>
      <c r="B17" s="33"/>
      <c r="C17" s="92">
        <f>SUM(C14:C16)</f>
        <v>0</v>
      </c>
      <c r="D17" s="92">
        <f t="shared" ref="D17:M17" si="6">SUM(D14:D16)</f>
        <v>0</v>
      </c>
      <c r="E17" s="92">
        <f>SUM(E14:E16)</f>
        <v>14023454.472002182</v>
      </c>
      <c r="F17" s="92">
        <f t="shared" si="6"/>
        <v>14303923.561442226</v>
      </c>
      <c r="G17" s="92">
        <f t="shared" si="6"/>
        <v>19200518.387225341</v>
      </c>
      <c r="H17" s="92">
        <f t="shared" si="6"/>
        <v>19584528.75496985</v>
      </c>
      <c r="I17" s="92">
        <f t="shared" si="6"/>
        <v>25985947.435687549</v>
      </c>
      <c r="J17" s="92">
        <f t="shared" si="6"/>
        <v>26505666.384401303</v>
      </c>
      <c r="K17" s="92">
        <f t="shared" si="6"/>
        <v>27035779.71208933</v>
      </c>
      <c r="L17" s="92">
        <f t="shared" si="6"/>
        <v>27576495.306331117</v>
      </c>
      <c r="M17" s="847">
        <f t="shared" si="6"/>
        <v>28128025.212457735</v>
      </c>
    </row>
    <row r="18" spans="1:13" ht="14" customHeight="1">
      <c r="A18" s="709" t="s">
        <v>154</v>
      </c>
      <c r="B18" s="33"/>
      <c r="C18" s="92"/>
      <c r="D18" s="92"/>
      <c r="E18" s="309">
        <f>E17/E11</f>
        <v>38.385218181818182</v>
      </c>
      <c r="F18" s="309">
        <f t="shared" ref="F18:M18" si="7">F17/F11</f>
        <v>39.152922545454544</v>
      </c>
      <c r="G18" s="309">
        <f t="shared" si="7"/>
        <v>39.935980996363639</v>
      </c>
      <c r="H18" s="309">
        <f t="shared" si="7"/>
        <v>40.734700616290915</v>
      </c>
      <c r="I18" s="309">
        <f t="shared" si="7"/>
        <v>41.738665880882216</v>
      </c>
      <c r="J18" s="309">
        <f t="shared" si="7"/>
        <v>42.573439198499869</v>
      </c>
      <c r="K18" s="309">
        <f t="shared" si="7"/>
        <v>43.424907982469868</v>
      </c>
      <c r="L18" s="309">
        <f t="shared" si="7"/>
        <v>44.293406142119267</v>
      </c>
      <c r="M18" s="849">
        <f t="shared" si="7"/>
        <v>45.179274264961641</v>
      </c>
    </row>
    <row r="19" spans="1:13" ht="14" customHeight="1">
      <c r="A19" s="709" t="s">
        <v>155</v>
      </c>
      <c r="B19" s="94">
        <v>-0.05</v>
      </c>
      <c r="C19" s="57">
        <f>C17*$B$19</f>
        <v>0</v>
      </c>
      <c r="D19" s="57">
        <f t="shared" ref="D19:M19" si="8">D17*$B$19</f>
        <v>0</v>
      </c>
      <c r="E19" s="92">
        <f t="shared" si="8"/>
        <v>-701172.72360010911</v>
      </c>
      <c r="F19" s="92">
        <f t="shared" si="8"/>
        <v>-715196.17807211133</v>
      </c>
      <c r="G19" s="92">
        <f t="shared" si="8"/>
        <v>-960025.91936126712</v>
      </c>
      <c r="H19" s="92">
        <f t="shared" si="8"/>
        <v>-979226.43774849258</v>
      </c>
      <c r="I19" s="92">
        <f t="shared" si="8"/>
        <v>-1299297.3717843776</v>
      </c>
      <c r="J19" s="92">
        <f t="shared" si="8"/>
        <v>-1325283.3192200651</v>
      </c>
      <c r="K19" s="92">
        <f t="shared" si="8"/>
        <v>-1351788.9856044666</v>
      </c>
      <c r="L19" s="92">
        <f t="shared" si="8"/>
        <v>-1378824.765316556</v>
      </c>
      <c r="M19" s="847">
        <f t="shared" si="8"/>
        <v>-1406401.2606228869</v>
      </c>
    </row>
    <row r="20" spans="1:13" ht="14" customHeight="1">
      <c r="A20" s="851" t="s">
        <v>156</v>
      </c>
      <c r="B20" s="307"/>
      <c r="C20" s="308"/>
      <c r="D20" s="308"/>
      <c r="E20" s="876">
        <f>Assumptions!$P$42*'Detailed Uses'!$M$6</f>
        <v>39983.036774986831</v>
      </c>
      <c r="F20" s="876">
        <f>Assumptions!$P$42*'Detailed Uses'!$M$6</f>
        <v>39983.036774986831</v>
      </c>
      <c r="G20" s="876">
        <f>(Assumptions!$P$42*'Detailed Uses'!$M$6)+(Assumptions!$R$42*'Detailed Uses'!$W$6)</f>
        <v>58788.103759877224</v>
      </c>
      <c r="H20" s="876">
        <f>(Assumptions!$P$42*'Detailed Uses'!$M$6)+(Assumptions!$R$42*'Detailed Uses'!$W$6)</f>
        <v>58788.103759877224</v>
      </c>
      <c r="I20" s="876">
        <f>(Assumptions!$P$42*'Detailed Uses'!$M$6)+(Assumptions!$R$42*'Detailed Uses'!$W$6)+(Assumptions!$T$42*'Detailed Uses'!$AG$6)</f>
        <v>75849.431427067189</v>
      </c>
      <c r="J20" s="876">
        <f>(Assumptions!$P$42*'Detailed Uses'!$M$6)+(Assumptions!$R$42*'Detailed Uses'!$W$6)+(Assumptions!$T$42*'Detailed Uses'!$AG$6)</f>
        <v>75849.431427067189</v>
      </c>
      <c r="K20" s="876">
        <f>(Assumptions!$P$42*'Detailed Uses'!$M$6)+(Assumptions!$R$42*'Detailed Uses'!$W$6)+(Assumptions!$T$42*'Detailed Uses'!$AG$6)</f>
        <v>75849.431427067189</v>
      </c>
      <c r="L20" s="876">
        <f>(Assumptions!$P$42*'Detailed Uses'!$M$6)+(Assumptions!$R$42*'Detailed Uses'!$W$6)+(Assumptions!$T$42*'Detailed Uses'!$AG$6)</f>
        <v>75849.431427067189</v>
      </c>
      <c r="M20" s="877">
        <f>(Assumptions!$P$42*'Detailed Uses'!$M$6)+(Assumptions!$R$42*'Detailed Uses'!$W$6)+(Assumptions!$T$42*'Detailed Uses'!$AG$6)</f>
        <v>75849.431427067189</v>
      </c>
    </row>
    <row r="21" spans="1:13" ht="14" customHeight="1">
      <c r="A21" s="723" t="s">
        <v>157</v>
      </c>
      <c r="B21" s="12"/>
      <c r="C21" s="13">
        <f>SUM(C17:C19)</f>
        <v>0</v>
      </c>
      <c r="D21" s="13">
        <f t="shared" ref="D21" si="9">SUM(D17:D19)</f>
        <v>0</v>
      </c>
      <c r="E21" s="556">
        <f>E17+E19+E20</f>
        <v>13362264.785177061</v>
      </c>
      <c r="F21" s="556">
        <f t="shared" ref="F21:M21" si="10">F17+F19+F20</f>
        <v>13628710.420145102</v>
      </c>
      <c r="G21" s="556">
        <f t="shared" si="10"/>
        <v>18299280.571623951</v>
      </c>
      <c r="H21" s="556">
        <f t="shared" si="10"/>
        <v>18664090.420981236</v>
      </c>
      <c r="I21" s="556">
        <f t="shared" si="10"/>
        <v>24762499.495330241</v>
      </c>
      <c r="J21" s="556">
        <f t="shared" si="10"/>
        <v>25256232.496608306</v>
      </c>
      <c r="K21" s="556">
        <f t="shared" si="10"/>
        <v>25759840.157911934</v>
      </c>
      <c r="L21" s="556">
        <f t="shared" si="10"/>
        <v>26273519.972441629</v>
      </c>
      <c r="M21" s="878">
        <f t="shared" si="10"/>
        <v>26797473.383261919</v>
      </c>
    </row>
    <row r="22" spans="1:13" ht="14" customHeight="1">
      <c r="A22" s="852"/>
      <c r="B22" s="94"/>
      <c r="C22" s="57"/>
      <c r="D22" s="57"/>
      <c r="E22" s="92"/>
      <c r="F22" s="92"/>
      <c r="G22" s="92"/>
      <c r="H22" s="92"/>
      <c r="I22" s="92"/>
      <c r="J22" s="92"/>
      <c r="K22" s="92"/>
      <c r="L22" s="92"/>
      <c r="M22" s="847"/>
    </row>
    <row r="23" spans="1:13" ht="14" customHeight="1">
      <c r="A23" s="727" t="s">
        <v>158</v>
      </c>
      <c r="B23" s="95">
        <v>0.03</v>
      </c>
      <c r="C23" s="96"/>
      <c r="D23" s="96"/>
      <c r="E23" s="879">
        <f>E11*-8.2</f>
        <v>-2995745.0319999997</v>
      </c>
      <c r="F23" s="879">
        <f>E23*(1+$B$23)</f>
        <v>-3085617.3829599996</v>
      </c>
      <c r="G23" s="879">
        <f t="shared" ref="G23:M23" si="11">F23*(1+$B$23)</f>
        <v>-3178185.9044487998</v>
      </c>
      <c r="H23" s="879">
        <f t="shared" si="11"/>
        <v>-3273531.481582264</v>
      </c>
      <c r="I23" s="879">
        <f t="shared" si="11"/>
        <v>-3371737.426029732</v>
      </c>
      <c r="J23" s="879">
        <f t="shared" si="11"/>
        <v>-3472889.5488106241</v>
      </c>
      <c r="K23" s="879">
        <f t="shared" si="11"/>
        <v>-3577076.2352749431</v>
      </c>
      <c r="L23" s="879">
        <f t="shared" si="11"/>
        <v>-3684388.5223331912</v>
      </c>
      <c r="M23" s="880">
        <f t="shared" si="11"/>
        <v>-3794920.1780031873</v>
      </c>
    </row>
    <row r="24" spans="1:13" ht="21" customHeight="1">
      <c r="A24" s="151" t="s">
        <v>9</v>
      </c>
      <c r="B24" s="10"/>
      <c r="C24" s="13">
        <f>C23+C21</f>
        <v>0</v>
      </c>
      <c r="D24" s="13">
        <f t="shared" ref="D24:M24" si="12">D23+D21</f>
        <v>0</v>
      </c>
      <c r="E24" s="556">
        <f>E23+E21</f>
        <v>10366519.753177062</v>
      </c>
      <c r="F24" s="556">
        <f>F23+F21</f>
        <v>10543093.037185103</v>
      </c>
      <c r="G24" s="556">
        <f t="shared" si="12"/>
        <v>15121094.667175151</v>
      </c>
      <c r="H24" s="556">
        <f t="shared" si="12"/>
        <v>15390558.939398972</v>
      </c>
      <c r="I24" s="556">
        <f t="shared" si="12"/>
        <v>21390762.06930051</v>
      </c>
      <c r="J24" s="556">
        <f t="shared" si="12"/>
        <v>21783342.947797682</v>
      </c>
      <c r="K24" s="556">
        <f t="shared" si="12"/>
        <v>22182763.92263699</v>
      </c>
      <c r="L24" s="556">
        <f t="shared" si="12"/>
        <v>22589131.450108439</v>
      </c>
      <c r="M24" s="878">
        <f t="shared" si="12"/>
        <v>23002553.205258731</v>
      </c>
    </row>
    <row r="25" spans="1:13" ht="14" hidden="1" customHeight="1">
      <c r="A25" s="151" t="s">
        <v>9</v>
      </c>
      <c r="B25" s="28"/>
      <c r="C25" s="881">
        <f t="shared" ref="C25:M25" si="13">C21+C23</f>
        <v>0</v>
      </c>
      <c r="D25" s="881">
        <f t="shared" si="13"/>
        <v>0</v>
      </c>
      <c r="E25" s="881">
        <f t="shared" si="13"/>
        <v>10366519.753177062</v>
      </c>
      <c r="F25" s="881">
        <f t="shared" si="13"/>
        <v>10543093.037185103</v>
      </c>
      <c r="G25" s="881">
        <f t="shared" si="13"/>
        <v>15121094.667175151</v>
      </c>
      <c r="H25" s="881">
        <f t="shared" si="13"/>
        <v>15390558.939398972</v>
      </c>
      <c r="I25" s="881">
        <f t="shared" si="13"/>
        <v>21390762.06930051</v>
      </c>
      <c r="J25" s="881">
        <f t="shared" si="13"/>
        <v>21783342.947797682</v>
      </c>
      <c r="K25" s="881">
        <f t="shared" si="13"/>
        <v>22182763.92263699</v>
      </c>
      <c r="L25" s="881">
        <f t="shared" si="13"/>
        <v>22589131.450108439</v>
      </c>
      <c r="M25" s="881">
        <f t="shared" si="13"/>
        <v>23002553.205258731</v>
      </c>
    </row>
    <row r="26" spans="1:13" ht="14" customHeight="1">
      <c r="A26" s="723"/>
      <c r="B26" s="10"/>
      <c r="C26" s="10"/>
      <c r="D26" s="27"/>
      <c r="E26" s="27"/>
      <c r="F26" s="27"/>
      <c r="G26" s="27"/>
      <c r="H26" s="27"/>
      <c r="I26" s="27"/>
      <c r="J26" s="27"/>
      <c r="K26" s="27"/>
      <c r="L26" s="27"/>
      <c r="M26" s="853"/>
    </row>
    <row r="27" spans="1:13" ht="18" customHeight="1">
      <c r="A27" s="573" t="s">
        <v>20</v>
      </c>
      <c r="B27" s="17"/>
      <c r="C27" s="17"/>
      <c r="D27" s="61"/>
      <c r="E27" s="61"/>
      <c r="F27" s="61"/>
      <c r="G27" s="61"/>
      <c r="H27" s="61"/>
      <c r="I27" s="61"/>
      <c r="J27" s="61"/>
      <c r="K27" s="61"/>
      <c r="L27" s="61"/>
      <c r="M27" s="854"/>
    </row>
    <row r="28" spans="1:13" ht="14" customHeight="1">
      <c r="A28" s="709" t="s">
        <v>159</v>
      </c>
      <c r="B28" s="33"/>
      <c r="C28" s="33"/>
      <c r="D28" s="35"/>
      <c r="E28" s="45">
        <f t="shared" ref="E28:M28" si="14">E11/$M$11</f>
        <v>0.58680121323461143</v>
      </c>
      <c r="F28" s="45">
        <f t="shared" si="14"/>
        <v>0.58680121323461143</v>
      </c>
      <c r="G28" s="45">
        <f t="shared" si="14"/>
        <v>0.77223344171766406</v>
      </c>
      <c r="H28" s="45">
        <f t="shared" si="14"/>
        <v>0.77223344171766406</v>
      </c>
      <c r="I28" s="45">
        <f t="shared" si="14"/>
        <v>1</v>
      </c>
      <c r="J28" s="45">
        <f t="shared" si="14"/>
        <v>1</v>
      </c>
      <c r="K28" s="45">
        <f t="shared" si="14"/>
        <v>1</v>
      </c>
      <c r="L28" s="45">
        <f t="shared" si="14"/>
        <v>1</v>
      </c>
      <c r="M28" s="855">
        <f t="shared" si="14"/>
        <v>1</v>
      </c>
    </row>
    <row r="29" spans="1:13" ht="14" customHeight="1">
      <c r="A29" s="709" t="s">
        <v>160</v>
      </c>
      <c r="B29" s="33"/>
      <c r="C29" s="866">
        <f>'Detailed Uses'!$M$25/2</f>
        <v>47371693.261041895</v>
      </c>
      <c r="D29" s="866">
        <f>'Detailed Uses'!$M$25/2</f>
        <v>47371693.261041895</v>
      </c>
      <c r="E29" s="866">
        <f>'Detailed Uses'!$W$25/2</f>
        <v>14025837.620093629</v>
      </c>
      <c r="F29" s="866">
        <f>'Detailed Uses'!$W$25/2</f>
        <v>14025837.620093629</v>
      </c>
      <c r="G29" s="867">
        <f ca="1">'Detailed Uses'!$AG$25/2</f>
        <v>18674967.245765537</v>
      </c>
      <c r="H29" s="867">
        <f ca="1">'Detailed Uses'!$AG$25/2</f>
        <v>18674967.245765537</v>
      </c>
      <c r="I29" s="46"/>
      <c r="J29" s="46"/>
      <c r="K29" s="46"/>
      <c r="L29" s="46"/>
      <c r="M29" s="856"/>
    </row>
    <row r="30" spans="1:13" ht="14" customHeight="1">
      <c r="A30" s="709" t="s">
        <v>161</v>
      </c>
      <c r="B30" s="33"/>
      <c r="C30" s="866">
        <f ca="1">'Detailed Uses'!$M$44/2</f>
        <v>4396949.0086673312</v>
      </c>
      <c r="D30" s="866">
        <f ca="1">'Detailed Uses'!$M$44/2</f>
        <v>4396949.0086673312</v>
      </c>
      <c r="E30" s="866">
        <f ca="1">'Detailed Uses'!$W$44/2</f>
        <v>1656159.9144041492</v>
      </c>
      <c r="F30" s="866">
        <f ca="1">'Detailed Uses'!$W$44/2</f>
        <v>1656159.9144041492</v>
      </c>
      <c r="G30" s="867">
        <f ca="1">'Detailed Uses'!$AG$44/2</f>
        <v>2182518.4417888913</v>
      </c>
      <c r="H30" s="867">
        <f ca="1">'Detailed Uses'!$AG$44/2</f>
        <v>2182518.4417888913</v>
      </c>
      <c r="I30" s="46"/>
      <c r="J30" s="46"/>
      <c r="K30" s="46"/>
      <c r="L30" s="46"/>
      <c r="M30" s="856"/>
    </row>
    <row r="31" spans="1:13" ht="14" customHeight="1">
      <c r="A31" s="709" t="s">
        <v>26</v>
      </c>
      <c r="B31" s="33"/>
      <c r="C31" s="866">
        <f>'Detailed Uses'!$M$60/2</f>
        <v>144161.6628888172</v>
      </c>
      <c r="D31" s="866">
        <f>'Detailed Uses'!$M$60/2</f>
        <v>144161.6628888172</v>
      </c>
      <c r="E31" s="866">
        <f>'Detailed Uses'!$W$60/2</f>
        <v>83683.48435288966</v>
      </c>
      <c r="F31" s="866">
        <f>'Detailed Uses'!$W$60/2</f>
        <v>83683.48435288966</v>
      </c>
      <c r="G31" s="867">
        <f>'Detailed Uses'!$AG$60/2</f>
        <v>48576.892171681196</v>
      </c>
      <c r="H31" s="867">
        <f>'Detailed Uses'!$AG$60/2</f>
        <v>48576.892171681196</v>
      </c>
      <c r="I31" s="46"/>
      <c r="J31" s="46"/>
      <c r="K31" s="46"/>
      <c r="L31" s="46"/>
      <c r="M31" s="856"/>
    </row>
    <row r="32" spans="1:13" ht="14" customHeight="1">
      <c r="A32" s="709" t="s">
        <v>27</v>
      </c>
      <c r="B32" s="33"/>
      <c r="C32" s="866">
        <f ca="1">'Detailed Uses'!$M$64/2</f>
        <v>1788636.6751863512</v>
      </c>
      <c r="D32" s="866">
        <f ca="1">'Detailed Uses'!$M$64/2</f>
        <v>1788636.6751863512</v>
      </c>
      <c r="E32" s="866">
        <f ca="1">'Detailed Uses'!$W$64/2</f>
        <v>690915.9277471375</v>
      </c>
      <c r="F32" s="866">
        <f ca="1">'Detailed Uses'!$W$64/2</f>
        <v>690915.9277471375</v>
      </c>
      <c r="G32" s="867">
        <f ca="1">'Detailed Uses'!$AG$64/2</f>
        <v>431985.69231185666</v>
      </c>
      <c r="H32" s="867">
        <f ca="1">'Detailed Uses'!$AG$64/2</f>
        <v>431985.69231185666</v>
      </c>
      <c r="I32" s="46"/>
      <c r="J32" s="46"/>
      <c r="K32" s="46"/>
      <c r="L32" s="46"/>
      <c r="M32" s="856"/>
    </row>
    <row r="33" spans="1:13" ht="14" customHeight="1">
      <c r="A33" s="709" t="s">
        <v>28</v>
      </c>
      <c r="B33" s="33"/>
      <c r="C33" s="866">
        <f>'Detailed Uses'!$M$11/2</f>
        <v>1225810.632149752</v>
      </c>
      <c r="D33" s="866">
        <f>'Detailed Uses'!$M$11/2</f>
        <v>1225810.632149752</v>
      </c>
      <c r="E33" s="866">
        <f>'Detailed Uses'!$W$11/2</f>
        <v>1822848.389912982</v>
      </c>
      <c r="F33" s="866">
        <f>'Detailed Uses'!$W$11/2</f>
        <v>1822848.389912982</v>
      </c>
      <c r="G33" s="867">
        <f>'Detailed Uses'!$AG$11/2</f>
        <v>2842653.1048573819</v>
      </c>
      <c r="H33" s="867">
        <f>'Detailed Uses'!$AG$11/2</f>
        <v>2842653.1048573819</v>
      </c>
      <c r="I33" s="46"/>
      <c r="J33" s="46"/>
      <c r="K33" s="46"/>
      <c r="L33" s="46"/>
      <c r="M33" s="856"/>
    </row>
    <row r="34" spans="1:13" ht="14" customHeight="1">
      <c r="A34" s="727" t="s">
        <v>29</v>
      </c>
      <c r="B34" s="42"/>
      <c r="C34" s="868">
        <f>'Detailed Uses'!$M$17/2</f>
        <v>5914393.4898576383</v>
      </c>
      <c r="D34" s="868">
        <f>'Detailed Uses'!$M$17/2</f>
        <v>5914393.4898576383</v>
      </c>
      <c r="E34" s="868">
        <f>'Detailed Uses'!$W$17/2</f>
        <v>803423.21269637998</v>
      </c>
      <c r="F34" s="868">
        <f>'Detailed Uses'!$W$17/2</f>
        <v>803423.21269637998</v>
      </c>
      <c r="G34" s="869">
        <f>'Detailed Uses'!$AG$17/2</f>
        <v>995565.20111488563</v>
      </c>
      <c r="H34" s="869">
        <f>'Detailed Uses'!$AG$17/2</f>
        <v>995565.20111488563</v>
      </c>
      <c r="I34" s="55"/>
      <c r="J34" s="55"/>
      <c r="K34" s="55"/>
      <c r="L34" s="55"/>
      <c r="M34" s="857"/>
    </row>
    <row r="35" spans="1:13" ht="14" customHeight="1">
      <c r="A35" s="852" t="s">
        <v>32</v>
      </c>
      <c r="B35" s="33"/>
      <c r="C35" s="866">
        <f ca="1">SUM(C29:C34)</f>
        <v>60841644.729791783</v>
      </c>
      <c r="D35" s="866">
        <f t="shared" ref="D35:M35" ca="1" si="15">SUM(D29:D34)</f>
        <v>60841644.729791783</v>
      </c>
      <c r="E35" s="866">
        <f t="shared" ca="1" si="15"/>
        <v>19082868.54920717</v>
      </c>
      <c r="F35" s="866">
        <f t="shared" ca="1" si="15"/>
        <v>19082868.54920717</v>
      </c>
      <c r="G35" s="866">
        <f t="shared" ca="1" si="15"/>
        <v>25176266.578010231</v>
      </c>
      <c r="H35" s="866">
        <f t="shared" ca="1" si="15"/>
        <v>25176266.578010231</v>
      </c>
      <c r="I35" s="57">
        <f t="shared" si="15"/>
        <v>0</v>
      </c>
      <c r="J35" s="57">
        <f t="shared" si="15"/>
        <v>0</v>
      </c>
      <c r="K35" s="57">
        <f t="shared" si="15"/>
        <v>0</v>
      </c>
      <c r="L35" s="57">
        <f t="shared" si="15"/>
        <v>0</v>
      </c>
      <c r="M35" s="850">
        <f t="shared" si="15"/>
        <v>0</v>
      </c>
    </row>
    <row r="36" spans="1:13" ht="18" customHeight="1">
      <c r="A36" s="858" t="s">
        <v>33</v>
      </c>
      <c r="B36" s="97"/>
      <c r="C36" s="97"/>
      <c r="D36" s="98"/>
      <c r="E36" s="98"/>
      <c r="F36" s="98"/>
      <c r="G36" s="98"/>
      <c r="H36" s="98"/>
      <c r="I36" s="98"/>
      <c r="J36" s="98"/>
      <c r="K36" s="98"/>
      <c r="L36" s="98"/>
      <c r="M36" s="859"/>
    </row>
    <row r="37" spans="1:13" ht="14" customHeight="1">
      <c r="A37" s="860" t="s">
        <v>34</v>
      </c>
      <c r="B37" s="624"/>
      <c r="C37" s="624"/>
      <c r="D37" s="626"/>
      <c r="E37" s="626">
        <f t="shared" ref="E37:M37" si="16">E25</f>
        <v>10366519.753177062</v>
      </c>
      <c r="F37" s="626">
        <f t="shared" si="16"/>
        <v>10543093.037185103</v>
      </c>
      <c r="G37" s="626">
        <f t="shared" si="16"/>
        <v>15121094.667175151</v>
      </c>
      <c r="H37" s="626">
        <f t="shared" si="16"/>
        <v>15390558.939398972</v>
      </c>
      <c r="I37" s="626">
        <f t="shared" si="16"/>
        <v>21390762.06930051</v>
      </c>
      <c r="J37" s="626">
        <f t="shared" si="16"/>
        <v>21783342.947797682</v>
      </c>
      <c r="K37" s="626">
        <f t="shared" si="16"/>
        <v>22182763.92263699</v>
      </c>
      <c r="L37" s="626">
        <f t="shared" si="16"/>
        <v>22589131.450108439</v>
      </c>
      <c r="M37" s="833">
        <f t="shared" si="16"/>
        <v>23002553.205258731</v>
      </c>
    </row>
    <row r="38" spans="1:13" ht="14" customHeight="1">
      <c r="A38" s="861" t="s">
        <v>162</v>
      </c>
      <c r="B38" s="625"/>
      <c r="C38" s="625"/>
      <c r="D38" s="870"/>
      <c r="E38" s="870"/>
      <c r="F38" s="626">
        <f>F37/6.5%</f>
        <v>162201431.34130928</v>
      </c>
      <c r="G38" s="870"/>
      <c r="H38" s="626">
        <f>H37/6.5%</f>
        <v>236777829.83690727</v>
      </c>
      <c r="I38" s="870"/>
      <c r="J38" s="626">
        <f>J37/6.5%</f>
        <v>335128353.04304123</v>
      </c>
      <c r="K38" s="870"/>
      <c r="L38" s="870"/>
      <c r="M38" s="833">
        <f>M37/6.5%</f>
        <v>353885433.92705739</v>
      </c>
    </row>
    <row r="39" spans="1:13" ht="14" customHeight="1">
      <c r="A39" s="861" t="s">
        <v>163</v>
      </c>
      <c r="B39" s="625"/>
      <c r="C39" s="625"/>
      <c r="D39" s="870"/>
      <c r="E39" s="870"/>
      <c r="F39" s="870"/>
      <c r="G39" s="870"/>
      <c r="H39" s="870"/>
      <c r="I39" s="870"/>
      <c r="J39" s="870"/>
      <c r="K39" s="870"/>
      <c r="L39" s="870"/>
      <c r="M39" s="833">
        <f>M38*-0.02</f>
        <v>-7077708.6785411481</v>
      </c>
    </row>
    <row r="40" spans="1:13" ht="14" customHeight="1">
      <c r="A40" s="862" t="s">
        <v>32</v>
      </c>
      <c r="B40" s="627"/>
      <c r="C40" s="627">
        <f ca="1">-C35</f>
        <v>-60841644.729791783</v>
      </c>
      <c r="D40" s="627">
        <f t="shared" ref="D40:G40" ca="1" si="17">-D35</f>
        <v>-60841644.729791783</v>
      </c>
      <c r="E40" s="627">
        <f t="shared" ca="1" si="17"/>
        <v>-19082868.54920717</v>
      </c>
      <c r="F40" s="627">
        <f t="shared" ca="1" si="17"/>
        <v>-19082868.54920717</v>
      </c>
      <c r="G40" s="627">
        <f t="shared" ca="1" si="17"/>
        <v>-25176266.578010231</v>
      </c>
      <c r="H40" s="627">
        <f ca="1">-H35</f>
        <v>-25176266.578010231</v>
      </c>
      <c r="I40" s="627">
        <f t="shared" ref="I40:M40" si="18">I35</f>
        <v>0</v>
      </c>
      <c r="J40" s="627">
        <f t="shared" si="18"/>
        <v>0</v>
      </c>
      <c r="K40" s="627">
        <f t="shared" si="18"/>
        <v>0</v>
      </c>
      <c r="L40" s="627">
        <f t="shared" si="18"/>
        <v>0</v>
      </c>
      <c r="M40" s="871">
        <f t="shared" si="18"/>
        <v>0</v>
      </c>
    </row>
    <row r="41" spans="1:13" ht="18" customHeight="1">
      <c r="A41" s="863" t="s">
        <v>37</v>
      </c>
      <c r="B41" s="872"/>
      <c r="C41" s="873">
        <f ca="1">C37+C40</f>
        <v>-60841644.729791783</v>
      </c>
      <c r="D41" s="873">
        <f t="shared" ref="D41:J41" ca="1" si="19">D37+D40</f>
        <v>-60841644.729791783</v>
      </c>
      <c r="E41" s="873">
        <f t="shared" ca="1" si="19"/>
        <v>-8716348.7960301079</v>
      </c>
      <c r="F41" s="873">
        <f t="shared" ca="1" si="19"/>
        <v>-8539775.5120220669</v>
      </c>
      <c r="G41" s="873">
        <f t="shared" ca="1" si="19"/>
        <v>-10055171.91083508</v>
      </c>
      <c r="H41" s="873">
        <f ca="1">H37+H40</f>
        <v>-9785707.6386112589</v>
      </c>
      <c r="I41" s="873">
        <f t="shared" si="19"/>
        <v>21390762.06930051</v>
      </c>
      <c r="J41" s="873">
        <f t="shared" si="19"/>
        <v>21783342.947797682</v>
      </c>
      <c r="K41" s="873">
        <f>K37+K40</f>
        <v>22182763.92263699</v>
      </c>
      <c r="L41" s="873">
        <f t="shared" ref="L41" si="20">L37+L40</f>
        <v>22589131.450108439</v>
      </c>
      <c r="M41" s="874">
        <f>SUM(M37:M40)</f>
        <v>369810278.45377499</v>
      </c>
    </row>
    <row r="42" spans="1:13" ht="18" customHeight="1">
      <c r="A42" s="864" t="s">
        <v>40</v>
      </c>
      <c r="B42" s="263">
        <f ca="1">C41+NPV(B46,D41:M41)</f>
        <v>94074184.837788522</v>
      </c>
      <c r="C42" s="624"/>
      <c r="D42" s="626"/>
      <c r="E42" s="626"/>
      <c r="F42" s="626"/>
      <c r="G42" s="626"/>
      <c r="H42" s="626"/>
      <c r="I42" s="626"/>
      <c r="J42" s="626"/>
      <c r="K42" s="626"/>
      <c r="L42" s="626"/>
      <c r="M42" s="833"/>
    </row>
    <row r="43" spans="1:13" ht="18" customHeight="1">
      <c r="A43" s="865" t="s">
        <v>164</v>
      </c>
      <c r="B43" s="266"/>
      <c r="C43" s="625">
        <f ca="1">C40-(SUM('Summary Board II -  S+U'!F31:F33)*C40/'Summary Board II -  S+U'!F39)</f>
        <v>-18799475.660516478</v>
      </c>
      <c r="D43" s="625">
        <f ca="1">C43</f>
        <v>-18799475.660516478</v>
      </c>
      <c r="E43" s="625">
        <f ca="1">E40-(SUM('Summary Board II -  S+U'!H31:H33)*E40/'Summary Board II -  S+U'!H39)</f>
        <v>-2678860.0532651935</v>
      </c>
      <c r="F43" s="870">
        <f ca="1">E43</f>
        <v>-2678860.0532651935</v>
      </c>
      <c r="G43" s="625">
        <f ca="1">G40-(SUM('Summary Board II -  S+U'!J31:J33)*G40/'Summary Board II -  S+U'!J39)</f>
        <v>-4287537.179315649</v>
      </c>
      <c r="H43" s="870">
        <f ca="1">G43</f>
        <v>-4287537.179315649</v>
      </c>
      <c r="I43" s="870">
        <f t="shared" ref="I43:L43" si="21">I41</f>
        <v>21390762.06930051</v>
      </c>
      <c r="J43" s="870">
        <f t="shared" si="21"/>
        <v>21783342.947797682</v>
      </c>
      <c r="K43" s="870">
        <f t="shared" si="21"/>
        <v>22182763.92263699</v>
      </c>
      <c r="L43" s="870">
        <f t="shared" si="21"/>
        <v>22589131.450108439</v>
      </c>
      <c r="M43" s="875">
        <f>M41</f>
        <v>369810278.45377499</v>
      </c>
    </row>
    <row r="44" spans="1:13" ht="18" customHeight="1">
      <c r="A44" s="735" t="s">
        <v>42</v>
      </c>
      <c r="B44" s="50">
        <f ca="1">IRR(C41:M41)</f>
        <v>0.13518943854629972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736"/>
    </row>
    <row r="45" spans="1:13" ht="18" customHeight="1" thickBot="1">
      <c r="A45" s="738" t="s">
        <v>44</v>
      </c>
      <c r="B45" s="739">
        <f ca="1">IRR(C43:M43)</f>
        <v>0.30345733412705544</v>
      </c>
      <c r="C45" s="740"/>
      <c r="D45" s="740"/>
      <c r="E45" s="740"/>
      <c r="F45" s="740"/>
      <c r="G45" s="740"/>
      <c r="H45" s="740"/>
      <c r="I45" s="740"/>
      <c r="J45" s="740"/>
      <c r="K45" s="740"/>
      <c r="L45" s="740"/>
      <c r="M45" s="741"/>
    </row>
    <row r="46" spans="1:13" hidden="1">
      <c r="B46" s="24">
        <v>7.0000000000000007E-2</v>
      </c>
      <c r="F46" s="16">
        <f>F38</f>
        <v>162201431.34130928</v>
      </c>
      <c r="H46" s="16">
        <f>H38-F38</f>
        <v>74576398.495597988</v>
      </c>
      <c r="J46" s="16">
        <f>J38-(H38*1.02^2)</f>
        <v>88784698.88072291</v>
      </c>
    </row>
  </sheetData>
  <phoneticPr fontId="2" type="noConversion"/>
  <pageMargins left="0.5" right="0.5" top="1" bottom="0.5" header="0.5" footer="0.5"/>
  <pageSetup orientation="landscape" r:id="rId1"/>
  <headerFooter alignWithMargins="0">
    <oddHeader>&amp;L&amp;"Arial,Bold"2. Income Statement: Market-rate Rental Housing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3"/>
  <sheetViews>
    <sheetView zoomScaleNormal="100" workbookViewId="0">
      <selection activeCell="M1" sqref="L1:M1"/>
    </sheetView>
  </sheetViews>
  <sheetFormatPr baseColWidth="10" defaultColWidth="9.1640625" defaultRowHeight="13"/>
  <cols>
    <col min="1" max="1" width="23.1640625" style="2" customWidth="1"/>
    <col min="2" max="2" width="17.33203125" style="3" customWidth="1"/>
    <col min="3" max="3" width="17.5" style="3" customWidth="1"/>
    <col min="4" max="4" width="15.5" style="2" customWidth="1"/>
    <col min="5" max="5" width="14.6640625" style="2" customWidth="1"/>
    <col min="6" max="6" width="15.83203125" style="2" customWidth="1"/>
    <col min="7" max="12" width="14.6640625" style="2" customWidth="1"/>
    <col min="13" max="13" width="17" style="2" customWidth="1"/>
    <col min="14" max="16384" width="9.1640625" style="2"/>
  </cols>
  <sheetData>
    <row r="1" spans="1:13" ht="14" customHeight="1" thickBot="1">
      <c r="L1" s="1063" t="s">
        <v>1</v>
      </c>
      <c r="M1" s="1064" t="s">
        <v>2</v>
      </c>
    </row>
    <row r="2" spans="1:13" ht="14" customHeight="1" thickBot="1">
      <c r="B2" s="7"/>
      <c r="C2" s="7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ht="14" customHeight="1">
      <c r="A3" s="837"/>
      <c r="B3" s="838"/>
      <c r="C3" s="838" t="s">
        <v>3</v>
      </c>
      <c r="D3" s="828"/>
      <c r="E3" s="571" t="s">
        <v>4</v>
      </c>
      <c r="F3" s="828"/>
      <c r="G3" s="571" t="s">
        <v>5</v>
      </c>
      <c r="H3" s="828"/>
      <c r="I3" s="571" t="s">
        <v>6</v>
      </c>
      <c r="J3" s="828"/>
      <c r="K3" s="828"/>
      <c r="L3" s="828"/>
      <c r="M3" s="839"/>
    </row>
    <row r="4" spans="1:13" ht="14" customHeight="1">
      <c r="A4" s="891"/>
      <c r="B4" s="278" t="s">
        <v>94</v>
      </c>
      <c r="C4" s="278" t="s">
        <v>8</v>
      </c>
      <c r="D4" s="278">
        <v>2022</v>
      </c>
      <c r="E4" s="278">
        <f t="shared" ref="E4:M4" si="0">D4+1</f>
        <v>2023</v>
      </c>
      <c r="F4" s="278">
        <f t="shared" si="0"/>
        <v>2024</v>
      </c>
      <c r="G4" s="278">
        <f t="shared" si="0"/>
        <v>2025</v>
      </c>
      <c r="H4" s="278">
        <f t="shared" si="0"/>
        <v>2026</v>
      </c>
      <c r="I4" s="278">
        <f t="shared" si="0"/>
        <v>2027</v>
      </c>
      <c r="J4" s="278">
        <f t="shared" si="0"/>
        <v>2028</v>
      </c>
      <c r="K4" s="278">
        <f t="shared" si="0"/>
        <v>2029</v>
      </c>
      <c r="L4" s="278">
        <f t="shared" si="0"/>
        <v>2030</v>
      </c>
      <c r="M4" s="892">
        <f t="shared" si="0"/>
        <v>2031</v>
      </c>
    </row>
    <row r="5" spans="1:13" ht="14" customHeight="1">
      <c r="A5" s="227" t="s">
        <v>142</v>
      </c>
      <c r="B5" s="89"/>
      <c r="C5" s="89"/>
      <c r="D5" s="89"/>
      <c r="E5" s="90">
        <f>'Parcel breakdown'!$E$33</f>
        <v>58.121439090909092</v>
      </c>
      <c r="F5" s="90">
        <f>'Parcel breakdown'!$E$33</f>
        <v>58.121439090909092</v>
      </c>
      <c r="G5" s="90">
        <f>('Parcel breakdown'!$E$33)+('Parcel breakdown'!$E$34)</f>
        <v>76.488115454545451</v>
      </c>
      <c r="H5" s="90">
        <f>('Parcel breakdown'!$E$33)+('Parcel breakdown'!$E$34)</f>
        <v>76.488115454545451</v>
      </c>
      <c r="I5" s="90">
        <f>('Parcel breakdown'!$E$33)+('Parcel breakdown'!$E$34)+'Parcel breakdown'!$E$35</f>
        <v>99.04791909090909</v>
      </c>
      <c r="J5" s="90">
        <f>('Parcel breakdown'!$E$33)+('Parcel breakdown'!$E$34)+'Parcel breakdown'!$E$35</f>
        <v>99.04791909090909</v>
      </c>
      <c r="K5" s="90">
        <f>('Parcel breakdown'!$E$33)+('Parcel breakdown'!$E$34)+'Parcel breakdown'!$E$35</f>
        <v>99.04791909090909</v>
      </c>
      <c r="L5" s="90">
        <f>('Parcel breakdown'!$E$33)+('Parcel breakdown'!$E$34)+'Parcel breakdown'!$E$35</f>
        <v>99.04791909090909</v>
      </c>
      <c r="M5" s="840">
        <f>('Parcel breakdown'!$E$33)+('Parcel breakdown'!$E$34)+'Parcel breakdown'!$E$35</f>
        <v>99.04791909090909</v>
      </c>
    </row>
    <row r="6" spans="1:13" ht="14" customHeight="1">
      <c r="A6" s="227" t="s">
        <v>165</v>
      </c>
      <c r="B6" s="89"/>
      <c r="C6" s="89"/>
      <c r="D6" s="89"/>
      <c r="E6" s="90">
        <f>'Parcel breakdown'!$G$33*0.75</f>
        <v>41.100160500000001</v>
      </c>
      <c r="F6" s="90">
        <f>'Parcel breakdown'!$G$33*0.75</f>
        <v>41.100160500000001</v>
      </c>
      <c r="G6" s="90">
        <f>('Parcel breakdown'!$G$33+'Parcel breakdown'!$G$34)*0.75</f>
        <v>54.088024500000003</v>
      </c>
      <c r="H6" s="90">
        <f>('Parcel breakdown'!$G$33+'Parcel breakdown'!$G$34)*0.75</f>
        <v>54.088024500000003</v>
      </c>
      <c r="I6" s="90">
        <f>('Parcel breakdown'!$G$33+'Parcel breakdown'!$G$34+'Parcel breakdown'!$G$35)*0.75</f>
        <v>70.04102850000001</v>
      </c>
      <c r="J6" s="90">
        <f>('Parcel breakdown'!$G$33+'Parcel breakdown'!$G$34+'Parcel breakdown'!$G$35)*0.75</f>
        <v>70.04102850000001</v>
      </c>
      <c r="K6" s="90">
        <f>('Parcel breakdown'!$G$33+'Parcel breakdown'!$G$34+'Parcel breakdown'!$G$35)*0.75</f>
        <v>70.04102850000001</v>
      </c>
      <c r="L6" s="90">
        <f>('Parcel breakdown'!$G$33+'Parcel breakdown'!$G$34+'Parcel breakdown'!$G$35)*0.75</f>
        <v>70.04102850000001</v>
      </c>
      <c r="M6" s="840">
        <f>('Parcel breakdown'!$G$33+'Parcel breakdown'!$G$34+'Parcel breakdown'!$G$35)*0.75</f>
        <v>70.04102850000001</v>
      </c>
    </row>
    <row r="7" spans="1:13" ht="14" customHeight="1">
      <c r="A7" s="227" t="s">
        <v>166</v>
      </c>
      <c r="B7" s="89"/>
      <c r="C7" s="89"/>
      <c r="D7" s="89"/>
      <c r="E7" s="90">
        <f>'Parcel breakdown'!$I$33</f>
        <v>8.303062727272728</v>
      </c>
      <c r="F7" s="90">
        <f>'Parcel breakdown'!$I$33</f>
        <v>8.303062727272728</v>
      </c>
      <c r="G7" s="90">
        <f>'Parcel breakdown'!$I$33+'Parcel breakdown'!$I$34</f>
        <v>10.926873636363638</v>
      </c>
      <c r="H7" s="90">
        <f>'Parcel breakdown'!$I$33+'Parcel breakdown'!$I$34</f>
        <v>10.926873636363638</v>
      </c>
      <c r="I7" s="90">
        <f>'Parcel breakdown'!$I$33+'Parcel breakdown'!$I$34+'Parcel breakdown'!$I$35</f>
        <v>14.149702727272729</v>
      </c>
      <c r="J7" s="90">
        <f>'Parcel breakdown'!$I$33+'Parcel breakdown'!$I$34+'Parcel breakdown'!$I$35</f>
        <v>14.149702727272729</v>
      </c>
      <c r="K7" s="90">
        <f>'Parcel breakdown'!$I$33+'Parcel breakdown'!$I$34+'Parcel breakdown'!$I$35</f>
        <v>14.149702727272729</v>
      </c>
      <c r="L7" s="90">
        <f>'Parcel breakdown'!$I$33+'Parcel breakdown'!$I$34+'Parcel breakdown'!$I$35</f>
        <v>14.149702727272729</v>
      </c>
      <c r="M7" s="840">
        <f>'Parcel breakdown'!$I$33+'Parcel breakdown'!$I$34+'Parcel breakdown'!$I$35</f>
        <v>14.149702727272729</v>
      </c>
    </row>
    <row r="8" spans="1:13" ht="14" customHeight="1">
      <c r="A8" s="227" t="s">
        <v>167</v>
      </c>
      <c r="B8" s="89"/>
      <c r="C8" s="89"/>
      <c r="D8" s="89"/>
      <c r="E8" s="90">
        <f>'Parcel breakdown'!$K$33</f>
        <v>6.0889126666666673</v>
      </c>
      <c r="F8" s="90">
        <f>'Parcel breakdown'!$K$33</f>
        <v>6.0889126666666673</v>
      </c>
      <c r="G8" s="90">
        <f>'Parcel breakdown'!$K$33+'Parcel breakdown'!$K$34</f>
        <v>8.0130406666666669</v>
      </c>
      <c r="H8" s="90">
        <f>'Parcel breakdown'!$K$33+'Parcel breakdown'!$K$34</f>
        <v>8.0130406666666669</v>
      </c>
      <c r="I8" s="90">
        <f>'Parcel breakdown'!$K$33+'Parcel breakdown'!$K$34+'Parcel breakdown'!$K$35</f>
        <v>10.376448666666667</v>
      </c>
      <c r="J8" s="90">
        <f>'Parcel breakdown'!$K$33+'Parcel breakdown'!$K$34+'Parcel breakdown'!$K$35</f>
        <v>10.376448666666667</v>
      </c>
      <c r="K8" s="90">
        <f>'Parcel breakdown'!$K$33+'Parcel breakdown'!$K$34+'Parcel breakdown'!$K$35</f>
        <v>10.376448666666667</v>
      </c>
      <c r="L8" s="90">
        <f>'Parcel breakdown'!$K$33+'Parcel breakdown'!$K$34+'Parcel breakdown'!$K$35</f>
        <v>10.376448666666667</v>
      </c>
      <c r="M8" s="840">
        <f>'Parcel breakdown'!$K$33+'Parcel breakdown'!$K$34+'Parcel breakdown'!$K$35</f>
        <v>10.376448666666667</v>
      </c>
    </row>
    <row r="9" spans="1:13" ht="14" customHeight="1">
      <c r="A9" s="227" t="s">
        <v>168</v>
      </c>
      <c r="B9" s="89"/>
      <c r="C9" s="89"/>
      <c r="D9" s="89"/>
      <c r="E9" s="90">
        <f>'Parcel breakdown'!$G$33*0.15</f>
        <v>8.220032100000001</v>
      </c>
      <c r="F9" s="90">
        <f>'Parcel breakdown'!$G$33*0.1</f>
        <v>5.4800214000000009</v>
      </c>
      <c r="G9" s="90">
        <f>('Parcel breakdown'!$G$33+'Parcel breakdown'!$G$34)*0.15</f>
        <v>10.817604900000001</v>
      </c>
      <c r="H9" s="90">
        <f>('Parcel breakdown'!$G$33+'Parcel breakdown'!$G$34)*0.15</f>
        <v>10.817604900000001</v>
      </c>
      <c r="I9" s="90">
        <f>('Parcel breakdown'!$G$33+'Parcel breakdown'!$G$34+'Parcel breakdown'!$G$35)*0.15</f>
        <v>14.008205700000001</v>
      </c>
      <c r="J9" s="90">
        <f>('Parcel breakdown'!$G$33+'Parcel breakdown'!$G$34+'Parcel breakdown'!$G$35)*0.15</f>
        <v>14.008205700000001</v>
      </c>
      <c r="K9" s="90">
        <f>('Parcel breakdown'!$G$33+'Parcel breakdown'!$G$34+'Parcel breakdown'!$G$35)*0.15</f>
        <v>14.008205700000001</v>
      </c>
      <c r="L9" s="90">
        <f>('Parcel breakdown'!$G$33+'Parcel breakdown'!$G$34+'Parcel breakdown'!$G$35)*0.15</f>
        <v>14.008205700000001</v>
      </c>
      <c r="M9" s="840">
        <f>('Parcel breakdown'!$G$33+'Parcel breakdown'!$G$34+'Parcel breakdown'!$G$35)*0.15</f>
        <v>14.008205700000001</v>
      </c>
    </row>
    <row r="10" spans="1:13" ht="14" customHeight="1">
      <c r="A10" s="893" t="s">
        <v>169</v>
      </c>
      <c r="B10" s="305"/>
      <c r="C10" s="305"/>
      <c r="D10" s="305"/>
      <c r="E10" s="306">
        <f>'Parcel breakdown'!$G$33*0.1</f>
        <v>5.4800214000000009</v>
      </c>
      <c r="F10" s="306">
        <f>'Parcel breakdown'!$G$33*0.1</f>
        <v>5.4800214000000009</v>
      </c>
      <c r="G10" s="306">
        <f>('Parcel breakdown'!$G$33+'Parcel breakdown'!$G$34)*0.1</f>
        <v>7.2117366000000009</v>
      </c>
      <c r="H10" s="306">
        <f>('Parcel breakdown'!$G$33+'Parcel breakdown'!$G$34)*0.1</f>
        <v>7.2117366000000009</v>
      </c>
      <c r="I10" s="306">
        <f>('Parcel breakdown'!$G$33+'Parcel breakdown'!$G$34+'Parcel breakdown'!$G$35)*0.1</f>
        <v>9.3388038000000009</v>
      </c>
      <c r="J10" s="306">
        <f>('Parcel breakdown'!$G$33+'Parcel breakdown'!$G$34+'Parcel breakdown'!$G$35)*0.1</f>
        <v>9.3388038000000009</v>
      </c>
      <c r="K10" s="306">
        <f>('Parcel breakdown'!$G$33+'Parcel breakdown'!$G$34+'Parcel breakdown'!$G$35)*0.1</f>
        <v>9.3388038000000009</v>
      </c>
      <c r="L10" s="306">
        <f>('Parcel breakdown'!$G$33+'Parcel breakdown'!$G$34+'Parcel breakdown'!$G$35)*0.1</f>
        <v>9.3388038000000009</v>
      </c>
      <c r="M10" s="894">
        <f>('Parcel breakdown'!$G$33+'Parcel breakdown'!$G$34+'Parcel breakdown'!$G$35)*0.1</f>
        <v>9.3388038000000009</v>
      </c>
    </row>
    <row r="11" spans="1:13" ht="14" customHeight="1">
      <c r="A11" s="449" t="s">
        <v>147</v>
      </c>
      <c r="B11" s="89"/>
      <c r="C11" s="89"/>
      <c r="D11" s="89"/>
      <c r="E11" s="91">
        <f t="shared" ref="E11:M11" si="1">SUM(E5:E10)</f>
        <v>127.31362848484849</v>
      </c>
      <c r="F11" s="91">
        <f t="shared" si="1"/>
        <v>124.57361778484849</v>
      </c>
      <c r="G11" s="91">
        <f t="shared" si="1"/>
        <v>167.54539575757573</v>
      </c>
      <c r="H11" s="91">
        <f t="shared" si="1"/>
        <v>167.54539575757573</v>
      </c>
      <c r="I11" s="91">
        <f t="shared" si="1"/>
        <v>216.9621084848485</v>
      </c>
      <c r="J11" s="91">
        <f t="shared" si="1"/>
        <v>216.9621084848485</v>
      </c>
      <c r="K11" s="91">
        <f t="shared" si="1"/>
        <v>216.9621084848485</v>
      </c>
      <c r="L11" s="91">
        <f t="shared" si="1"/>
        <v>216.9621084848485</v>
      </c>
      <c r="M11" s="844">
        <f t="shared" si="1"/>
        <v>216.9621084848485</v>
      </c>
    </row>
    <row r="12" spans="1:13" ht="14" customHeight="1">
      <c r="A12" s="449" t="s">
        <v>148</v>
      </c>
      <c r="B12" s="89"/>
      <c r="C12" s="89"/>
      <c r="D12" s="89"/>
      <c r="E12" s="91">
        <f>'Parcel breakdown'!$N$33</f>
        <v>91333.69</v>
      </c>
      <c r="F12" s="91">
        <f>'Parcel breakdown'!$N$33</f>
        <v>91333.69</v>
      </c>
      <c r="G12" s="91">
        <f>'Parcel breakdown'!$N$33+'Parcel breakdown'!$N$34</f>
        <v>120195.61</v>
      </c>
      <c r="H12" s="91">
        <f>'Parcel breakdown'!$N$33+'Parcel breakdown'!$N$34</f>
        <v>120195.61</v>
      </c>
      <c r="I12" s="91">
        <f>'Parcel breakdown'!$N$33+'Parcel breakdown'!$N$34+'Parcel breakdown'!$N$35</f>
        <v>155646.73000000001</v>
      </c>
      <c r="J12" s="91">
        <f>'Parcel breakdown'!$N$33+'Parcel breakdown'!$N$34+'Parcel breakdown'!$N$35</f>
        <v>155646.73000000001</v>
      </c>
      <c r="K12" s="91">
        <f>'Parcel breakdown'!$N$33+'Parcel breakdown'!$N$34+'Parcel breakdown'!$N$35</f>
        <v>155646.73000000001</v>
      </c>
      <c r="L12" s="91">
        <f>'Parcel breakdown'!$N$33+'Parcel breakdown'!$N$34+'Parcel breakdown'!$N$35</f>
        <v>155646.73000000001</v>
      </c>
      <c r="M12" s="844">
        <f>'Parcel breakdown'!$N$33+'Parcel breakdown'!$N$34+'Parcel breakdown'!$N$35</f>
        <v>155646.73000000001</v>
      </c>
    </row>
    <row r="13" spans="1:13" ht="18" customHeight="1">
      <c r="A13" s="573" t="s">
        <v>170</v>
      </c>
      <c r="B13" s="62"/>
      <c r="C13" s="62"/>
      <c r="D13" s="19"/>
      <c r="E13" s="19"/>
      <c r="F13" s="19"/>
      <c r="G13" s="19"/>
      <c r="H13" s="19"/>
      <c r="I13" s="19"/>
      <c r="J13" s="19"/>
      <c r="K13" s="19"/>
      <c r="L13" s="19"/>
      <c r="M13" s="749"/>
    </row>
    <row r="14" spans="1:13">
      <c r="A14" s="709" t="s">
        <v>153</v>
      </c>
      <c r="B14" s="36">
        <v>0.02</v>
      </c>
      <c r="C14" s="57">
        <v>0</v>
      </c>
      <c r="D14" s="57">
        <v>0</v>
      </c>
      <c r="E14" s="39">
        <f>E5*Assumptions!O29*12+E6*Assumptions!P29*12+E7*Assumptions!Q29*12+E8*Assumptions!R29*12+E9*Assumptions!O28*12+E10*Assumptions!O28*12</f>
        <v>1464474.2764858184</v>
      </c>
      <c r="F14" s="92">
        <f>E14*(1+B14)</f>
        <v>1493763.7620155348</v>
      </c>
      <c r="G14" s="92">
        <f>((G5*Assumptions!O29+G6*Assumptions!P29+G7*Assumptions!Q29+G8*Assumptions!R29+Assumptions!P28*G9+Assumptions!P28*G10)*12)*(1.02^2)</f>
        <v>2046759.0333939404</v>
      </c>
      <c r="H14" s="92">
        <f>G14*(1+$B$14)</f>
        <v>2087694.2140618192</v>
      </c>
      <c r="I14" s="92">
        <f>((I5*Assumptions!O29+I6*Assumptions!P29+I7*Assumptions!Q29+I8*Assumptions!R29+I9*Assumptions!P28+I10*Assumptions!P28)*12)*(1.02^4)</f>
        <v>2757518.6249465775</v>
      </c>
      <c r="J14" s="92">
        <f t="shared" ref="J14" si="2">I14*(1+$B$14)</f>
        <v>2812668.9974455093</v>
      </c>
      <c r="K14" s="92">
        <f t="shared" ref="K14" si="3">J14*(1+$B$14)</f>
        <v>2868922.3773944196</v>
      </c>
      <c r="L14" s="92">
        <f t="shared" ref="L14" si="4">K14*(1+$B$14)</f>
        <v>2926300.824942308</v>
      </c>
      <c r="M14" s="847">
        <f t="shared" ref="M14" si="5">L14*(1+$B$14)</f>
        <v>2984826.841441154</v>
      </c>
    </row>
    <row r="15" spans="1:13" ht="14" customHeight="1">
      <c r="A15" s="709" t="s">
        <v>154</v>
      </c>
      <c r="B15" s="33"/>
      <c r="C15" s="33"/>
      <c r="D15" s="35"/>
      <c r="E15" s="46">
        <f>E14/E12</f>
        <v>16.034327272727275</v>
      </c>
      <c r="F15" s="46">
        <f t="shared" ref="F15:M15" si="6">F14/F12</f>
        <v>16.355013818181821</v>
      </c>
      <c r="G15" s="46">
        <f t="shared" si="6"/>
        <v>17.028567294545454</v>
      </c>
      <c r="H15" s="46">
        <f t="shared" si="6"/>
        <v>17.369138640436361</v>
      </c>
      <c r="I15" s="46">
        <f t="shared" si="6"/>
        <v>17.716521413245093</v>
      </c>
      <c r="J15" s="46">
        <f t="shared" si="6"/>
        <v>18.070851841509995</v>
      </c>
      <c r="K15" s="46">
        <f t="shared" si="6"/>
        <v>18.432268878340196</v>
      </c>
      <c r="L15" s="46">
        <f t="shared" si="6"/>
        <v>18.800914255906999</v>
      </c>
      <c r="M15" s="856">
        <f t="shared" si="6"/>
        <v>19.176932541025138</v>
      </c>
    </row>
    <row r="16" spans="1:13" ht="14" customHeight="1">
      <c r="A16" s="709" t="s">
        <v>155</v>
      </c>
      <c r="B16" s="94">
        <v>-0.05</v>
      </c>
      <c r="C16" s="57">
        <f>C14*B16</f>
        <v>0</v>
      </c>
      <c r="D16" s="57">
        <f t="shared" ref="D16:M16" si="7">D14*C16</f>
        <v>0</v>
      </c>
      <c r="E16" s="57">
        <f t="shared" si="7"/>
        <v>0</v>
      </c>
      <c r="F16" s="57">
        <f t="shared" si="7"/>
        <v>0</v>
      </c>
      <c r="G16" s="57">
        <f t="shared" si="7"/>
        <v>0</v>
      </c>
      <c r="H16" s="57">
        <f t="shared" si="7"/>
        <v>0</v>
      </c>
      <c r="I16" s="57">
        <f t="shared" si="7"/>
        <v>0</v>
      </c>
      <c r="J16" s="57">
        <f t="shared" si="7"/>
        <v>0</v>
      </c>
      <c r="K16" s="57">
        <f t="shared" si="7"/>
        <v>0</v>
      </c>
      <c r="L16" s="57">
        <f t="shared" si="7"/>
        <v>0</v>
      </c>
      <c r="M16" s="850">
        <f t="shared" si="7"/>
        <v>0</v>
      </c>
    </row>
    <row r="17" spans="1:14" ht="14" customHeight="1">
      <c r="A17" s="851" t="s">
        <v>156</v>
      </c>
      <c r="B17" s="307"/>
      <c r="C17" s="308"/>
      <c r="D17" s="308"/>
      <c r="E17" s="308">
        <f>Assumptions!$P$42*'Detailed Uses'!$L$6</f>
        <v>9995.7591937467078</v>
      </c>
      <c r="F17" s="308">
        <f>Assumptions!$P$42*'Detailed Uses'!$L$6</f>
        <v>9995.7591937467078</v>
      </c>
      <c r="G17" s="308">
        <f>(Assumptions!$P$42*'Detailed Uses'!$L$6)+(Assumptions!$R$42*'Detailed Uses'!$V$6)</f>
        <v>14697.025939969306</v>
      </c>
      <c r="H17" s="308">
        <f>(Assumptions!$P$42*'Detailed Uses'!$L$6)+(Assumptions!$R$42*'Detailed Uses'!$V$6)</f>
        <v>14697.025939969306</v>
      </c>
      <c r="I17" s="308">
        <f>(Assumptions!$P$42*'Detailed Uses'!$L$6)+(Assumptions!$R$42*'Detailed Uses'!$V$6)+(Assumptions!$T$42*'Detailed Uses'!$AF$6)</f>
        <v>18962.357856766797</v>
      </c>
      <c r="J17" s="308">
        <f>(Assumptions!$P$42*'Detailed Uses'!$L$6)+(Assumptions!$R$42*'Detailed Uses'!$V$6)+(Assumptions!$T$42*'Detailed Uses'!$AF$6)</f>
        <v>18962.357856766797</v>
      </c>
      <c r="K17" s="308">
        <f>(Assumptions!$P$42*'Detailed Uses'!$L$6)+(Assumptions!$R$42*'Detailed Uses'!$V$6)+(Assumptions!$T$42*'Detailed Uses'!$AF$6)</f>
        <v>18962.357856766797</v>
      </c>
      <c r="L17" s="308">
        <f>(Assumptions!$P$42*'Detailed Uses'!$L$6)+(Assumptions!$R$42*'Detailed Uses'!$V$6)+(Assumptions!$T$42*'Detailed Uses'!$AF$6)</f>
        <v>18962.357856766797</v>
      </c>
      <c r="M17" s="895">
        <f>(Assumptions!$P$42*'Detailed Uses'!$L$6)+(Assumptions!$R$42*'Detailed Uses'!$V$6)+(Assumptions!$T$42*'Detailed Uses'!$AF$6)</f>
        <v>18962.357856766797</v>
      </c>
    </row>
    <row r="18" spans="1:14" ht="14" customHeight="1">
      <c r="A18" s="896" t="s">
        <v>157</v>
      </c>
      <c r="B18" s="310"/>
      <c r="C18" s="311">
        <f>C16+C14</f>
        <v>0</v>
      </c>
      <c r="D18" s="311">
        <f t="shared" ref="D18:M18" si="8">D16+D14</f>
        <v>0</v>
      </c>
      <c r="E18" s="311">
        <f t="shared" si="8"/>
        <v>1464474.2764858184</v>
      </c>
      <c r="F18" s="311">
        <f t="shared" si="8"/>
        <v>1493763.7620155348</v>
      </c>
      <c r="G18" s="311">
        <f t="shared" si="8"/>
        <v>2046759.0333939404</v>
      </c>
      <c r="H18" s="311">
        <f t="shared" si="8"/>
        <v>2087694.2140618192</v>
      </c>
      <c r="I18" s="311">
        <f t="shared" si="8"/>
        <v>2757518.6249465775</v>
      </c>
      <c r="J18" s="311">
        <f t="shared" si="8"/>
        <v>2812668.9974455093</v>
      </c>
      <c r="K18" s="311">
        <f t="shared" si="8"/>
        <v>2868922.3773944196</v>
      </c>
      <c r="L18" s="311">
        <f t="shared" si="8"/>
        <v>2926300.824942308</v>
      </c>
      <c r="M18" s="897">
        <f t="shared" si="8"/>
        <v>2984826.841441154</v>
      </c>
    </row>
    <row r="19" spans="1:14" ht="14" customHeight="1">
      <c r="A19" s="852"/>
      <c r="B19" s="94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850"/>
    </row>
    <row r="20" spans="1:14" ht="27" customHeight="1">
      <c r="A20" s="721" t="s">
        <v>171</v>
      </c>
      <c r="B20" s="95">
        <v>0.03</v>
      </c>
      <c r="C20" s="96"/>
      <c r="D20" s="96"/>
      <c r="E20" s="96">
        <f>E12*-7.9</f>
        <v>-721536.15100000007</v>
      </c>
      <c r="F20" s="96">
        <f>E20*(1+$B$20)</f>
        <v>-743182.23553000006</v>
      </c>
      <c r="G20" s="96">
        <f>F20*(1+$B$20)+((G12-F12)*-7.9)</f>
        <v>-993486.87059590011</v>
      </c>
      <c r="H20" s="96">
        <f>G20*(1+$B$20)</f>
        <v>-1023291.4767137772</v>
      </c>
      <c r="I20" s="96">
        <f>H20*(1+$B$20)+((I12-H12)*-7.9)</f>
        <v>-1334054.0690151905</v>
      </c>
      <c r="J20" s="96">
        <f t="shared" ref="J20:M20" si="9">I20*(1+$B$20)</f>
        <v>-1374075.6910856462</v>
      </c>
      <c r="K20" s="96">
        <f t="shared" si="9"/>
        <v>-1415297.9618182157</v>
      </c>
      <c r="L20" s="96">
        <f t="shared" si="9"/>
        <v>-1457756.9006727622</v>
      </c>
      <c r="M20" s="1029">
        <f t="shared" si="9"/>
        <v>-1501489.6076929451</v>
      </c>
      <c r="N20" s="13"/>
    </row>
    <row r="21" spans="1:14" ht="18" customHeight="1">
      <c r="A21" s="733" t="s">
        <v>9</v>
      </c>
      <c r="B21" s="279"/>
      <c r="C21" s="51">
        <f>C20+C18</f>
        <v>0</v>
      </c>
      <c r="D21" s="51">
        <f t="shared" ref="D21:M21" si="10">D20+D18</f>
        <v>0</v>
      </c>
      <c r="E21" s="51">
        <f t="shared" si="10"/>
        <v>742938.12548581837</v>
      </c>
      <c r="F21" s="51">
        <f t="shared" si="10"/>
        <v>750581.52648553473</v>
      </c>
      <c r="G21" s="51">
        <f t="shared" si="10"/>
        <v>1053272.1627980403</v>
      </c>
      <c r="H21" s="51">
        <f t="shared" si="10"/>
        <v>1064402.737348042</v>
      </c>
      <c r="I21" s="51">
        <f t="shared" si="10"/>
        <v>1423464.555931387</v>
      </c>
      <c r="J21" s="51">
        <f t="shared" si="10"/>
        <v>1438593.3063598631</v>
      </c>
      <c r="K21" s="51">
        <f t="shared" si="10"/>
        <v>1453624.415576204</v>
      </c>
      <c r="L21" s="51">
        <f t="shared" si="10"/>
        <v>1468543.9242695458</v>
      </c>
      <c r="M21" s="898">
        <f t="shared" si="10"/>
        <v>1483337.233748209</v>
      </c>
    </row>
    <row r="22" spans="1:14" ht="14" hidden="1" customHeight="1">
      <c r="A22" s="733" t="s">
        <v>9</v>
      </c>
      <c r="B22" s="280">
        <f>B21</f>
        <v>0</v>
      </c>
      <c r="C22" s="280">
        <f t="shared" ref="C22:M22" si="11">C21</f>
        <v>0</v>
      </c>
      <c r="D22" s="280">
        <f t="shared" si="11"/>
        <v>0</v>
      </c>
      <c r="E22" s="280">
        <f t="shared" si="11"/>
        <v>742938.12548581837</v>
      </c>
      <c r="F22" s="280">
        <f t="shared" si="11"/>
        <v>750581.52648553473</v>
      </c>
      <c r="G22" s="280">
        <f t="shared" si="11"/>
        <v>1053272.1627980403</v>
      </c>
      <c r="H22" s="280">
        <f t="shared" si="11"/>
        <v>1064402.737348042</v>
      </c>
      <c r="I22" s="280">
        <f t="shared" si="11"/>
        <v>1423464.555931387</v>
      </c>
      <c r="J22" s="280">
        <f t="shared" si="11"/>
        <v>1438593.3063598631</v>
      </c>
      <c r="K22" s="280">
        <f t="shared" si="11"/>
        <v>1453624.415576204</v>
      </c>
      <c r="L22" s="280">
        <f t="shared" si="11"/>
        <v>1468543.9242695458</v>
      </c>
      <c r="M22" s="280">
        <f t="shared" si="11"/>
        <v>1483337.233748209</v>
      </c>
    </row>
    <row r="23" spans="1:14" ht="18" customHeight="1">
      <c r="A23" s="900" t="s">
        <v>172</v>
      </c>
      <c r="B23" s="281"/>
      <c r="C23" s="281"/>
      <c r="D23" s="282"/>
      <c r="E23" s="282"/>
      <c r="F23" s="282"/>
      <c r="G23" s="282"/>
      <c r="H23" s="282"/>
      <c r="I23" s="282"/>
      <c r="J23" s="282"/>
      <c r="K23" s="282"/>
      <c r="L23" s="282"/>
      <c r="M23" s="901"/>
    </row>
    <row r="24" spans="1:14" ht="18" customHeight="1">
      <c r="A24" s="842" t="s">
        <v>20</v>
      </c>
      <c r="B24" s="283"/>
      <c r="C24" s="283"/>
      <c r="D24" s="284"/>
      <c r="E24" s="284"/>
      <c r="F24" s="284"/>
      <c r="G24" s="284"/>
      <c r="H24" s="284"/>
      <c r="I24" s="284"/>
      <c r="J24" s="284"/>
      <c r="K24" s="284"/>
      <c r="L24" s="284"/>
      <c r="M24" s="902"/>
    </row>
    <row r="25" spans="1:14" ht="14" customHeight="1">
      <c r="A25" s="727" t="s">
        <v>159</v>
      </c>
      <c r="B25" s="42"/>
      <c r="C25" s="42"/>
      <c r="D25" s="55"/>
      <c r="E25" s="285">
        <f t="shared" ref="E25:M25" si="12">E12/$M$12</f>
        <v>0.58680121323461143</v>
      </c>
      <c r="F25" s="285">
        <f t="shared" si="12"/>
        <v>0.58680121323461143</v>
      </c>
      <c r="G25" s="285">
        <f t="shared" si="12"/>
        <v>0.77223344171766406</v>
      </c>
      <c r="H25" s="285">
        <f t="shared" si="12"/>
        <v>0.77223344171766406</v>
      </c>
      <c r="I25" s="285">
        <f t="shared" si="12"/>
        <v>1</v>
      </c>
      <c r="J25" s="285">
        <f t="shared" si="12"/>
        <v>1</v>
      </c>
      <c r="K25" s="285">
        <f t="shared" si="12"/>
        <v>1</v>
      </c>
      <c r="L25" s="285">
        <f t="shared" si="12"/>
        <v>1</v>
      </c>
      <c r="M25" s="903">
        <f t="shared" si="12"/>
        <v>1</v>
      </c>
    </row>
    <row r="26" spans="1:14" ht="14" customHeight="1">
      <c r="A26" s="709" t="s">
        <v>160</v>
      </c>
      <c r="B26" s="33"/>
      <c r="C26" s="93">
        <f>'Detailed Uses'!$L$25/2</f>
        <v>11551230.540143285</v>
      </c>
      <c r="D26" s="93">
        <f>'Detailed Uses'!$L$25/2</f>
        <v>11551230.540143285</v>
      </c>
      <c r="E26" s="93">
        <f>'Detailed Uses'!$V$25/2</f>
        <v>3506459.4050234072</v>
      </c>
      <c r="F26" s="93">
        <f>'Detailed Uses'!$V$25/2</f>
        <v>3506459.4050234072</v>
      </c>
      <c r="G26" s="47">
        <f ca="1">'Detailed Uses'!$AF$25/2</f>
        <v>4555521.4261288848</v>
      </c>
      <c r="H26" s="47">
        <f ca="1">'Detailed Uses'!$AF$25/2</f>
        <v>4555521.4261288848</v>
      </c>
      <c r="I26" s="93"/>
      <c r="J26" s="93"/>
      <c r="K26" s="93"/>
      <c r="L26" s="93"/>
      <c r="M26" s="907"/>
    </row>
    <row r="27" spans="1:14" ht="14" customHeight="1">
      <c r="A27" s="709" t="s">
        <v>161</v>
      </c>
      <c r="B27" s="33"/>
      <c r="C27" s="93">
        <f ca="1">'Detailed Uses'!$L$44/2</f>
        <v>1099237.2521668328</v>
      </c>
      <c r="D27" s="93">
        <f ca="1">'Detailed Uses'!$L$44/2</f>
        <v>1099237.2521668328</v>
      </c>
      <c r="E27" s="93">
        <f ca="1">'Detailed Uses'!$V$44/2</f>
        <v>414039.97860103729</v>
      </c>
      <c r="F27" s="93">
        <f ca="1">'Detailed Uses'!$V$44/2</f>
        <v>414039.97860103729</v>
      </c>
      <c r="G27" s="47">
        <f ca="1">'Detailed Uses'!$AF$44/2</f>
        <v>545629.61044722283</v>
      </c>
      <c r="H27" s="47">
        <f ca="1">'Detailed Uses'!$AF$44/2</f>
        <v>545629.61044722283</v>
      </c>
      <c r="I27" s="93"/>
      <c r="J27" s="93"/>
      <c r="K27" s="93"/>
      <c r="L27" s="93"/>
      <c r="M27" s="907"/>
    </row>
    <row r="28" spans="1:14" ht="14" customHeight="1">
      <c r="A28" s="709" t="s">
        <v>26</v>
      </c>
      <c r="B28" s="33"/>
      <c r="C28" s="93">
        <f>'Detailed Uses'!$L$60/2</f>
        <v>36040.4157222043</v>
      </c>
      <c r="D28" s="93">
        <f>'Detailed Uses'!$L$60/2</f>
        <v>36040.4157222043</v>
      </c>
      <c r="E28" s="93">
        <f>'Detailed Uses'!$V$60/2</f>
        <v>20920.871088222415</v>
      </c>
      <c r="F28" s="93">
        <f>'Detailed Uses'!$V$60/2</f>
        <v>20920.871088222415</v>
      </c>
      <c r="G28" s="47">
        <f>'Detailed Uses'!$AF$60/2</f>
        <v>12144.223042920299</v>
      </c>
      <c r="H28" s="47">
        <f>'Detailed Uses'!$AF$60/2</f>
        <v>12144.223042920299</v>
      </c>
      <c r="I28" s="93"/>
      <c r="J28" s="93"/>
      <c r="K28" s="93"/>
      <c r="L28" s="93"/>
      <c r="M28" s="907"/>
    </row>
    <row r="29" spans="1:14" ht="14" customHeight="1">
      <c r="A29" s="709" t="s">
        <v>27</v>
      </c>
      <c r="B29" s="33"/>
      <c r="C29" s="93">
        <f ca="1">'Detailed Uses'!$L$64/2</f>
        <v>447159.16879658779</v>
      </c>
      <c r="D29" s="93">
        <f ca="1">'Detailed Uses'!$L$64/2</f>
        <v>447159.16879658779</v>
      </c>
      <c r="E29" s="93">
        <f ca="1">'Detailed Uses'!$V$64/2</f>
        <v>172728.98193678437</v>
      </c>
      <c r="F29" s="93">
        <f ca="1">'Detailed Uses'!$V$64/2</f>
        <v>172728.98193678437</v>
      </c>
      <c r="G29" s="47">
        <f ca="1">'Detailed Uses'!$AF$64/2</f>
        <v>107996.42307796417</v>
      </c>
      <c r="H29" s="47">
        <f ca="1">'Detailed Uses'!$AF$64/2</f>
        <v>107996.42307796417</v>
      </c>
      <c r="I29" s="93"/>
      <c r="J29" s="93"/>
      <c r="K29" s="93"/>
      <c r="L29" s="93"/>
      <c r="M29" s="907"/>
    </row>
    <row r="30" spans="1:14" ht="14" customHeight="1">
      <c r="A30" s="709" t="s">
        <v>28</v>
      </c>
      <c r="B30" s="33"/>
      <c r="C30" s="93">
        <f>'Detailed Uses'!$L$11/2</f>
        <v>306452.658037438</v>
      </c>
      <c r="D30" s="93">
        <f>'Detailed Uses'!$L$11/2</f>
        <v>306452.658037438</v>
      </c>
      <c r="E30" s="93">
        <f>'Detailed Uses'!$V$11/2</f>
        <v>455712.0974782455</v>
      </c>
      <c r="F30" s="93">
        <f>'Detailed Uses'!$V$11/2</f>
        <v>455712.0974782455</v>
      </c>
      <c r="G30" s="47">
        <f>'Detailed Uses'!$AF$11/2</f>
        <v>710663.27621434547</v>
      </c>
      <c r="H30" s="47">
        <f>'Detailed Uses'!$AF$11/2</f>
        <v>710663.27621434547</v>
      </c>
      <c r="I30" s="93"/>
      <c r="J30" s="93"/>
      <c r="K30" s="93"/>
      <c r="L30" s="93"/>
      <c r="M30" s="907"/>
    </row>
    <row r="31" spans="1:14" ht="14" customHeight="1">
      <c r="A31" s="709" t="s">
        <v>29</v>
      </c>
      <c r="B31" s="33"/>
      <c r="C31" s="93">
        <f>'Detailed Uses'!$L$17/2</f>
        <v>1478598.3724644096</v>
      </c>
      <c r="D31" s="93">
        <f>'Detailed Uses'!$L$17/2</f>
        <v>1478598.3724644096</v>
      </c>
      <c r="E31" s="93">
        <f>'Detailed Uses'!$V$17/2</f>
        <v>200855.803174095</v>
      </c>
      <c r="F31" s="93">
        <f>'Detailed Uses'!$V$17/2</f>
        <v>200855.803174095</v>
      </c>
      <c r="G31" s="47">
        <f>'Detailed Uses'!$AF$17/2</f>
        <v>248891.30027872141</v>
      </c>
      <c r="H31" s="47">
        <f>'Detailed Uses'!$AF$17/2</f>
        <v>248891.30027872141</v>
      </c>
      <c r="I31" s="93"/>
      <c r="J31" s="93"/>
      <c r="K31" s="93"/>
      <c r="L31" s="93"/>
      <c r="M31" s="907"/>
    </row>
    <row r="32" spans="1:14" ht="14" customHeight="1">
      <c r="A32" s="852" t="s">
        <v>32</v>
      </c>
      <c r="B32" s="33"/>
      <c r="C32" s="92">
        <f t="shared" ref="C32:H32" ca="1" si="13">SUM(C26:C31)</f>
        <v>14918718.407330757</v>
      </c>
      <c r="D32" s="92">
        <f t="shared" ca="1" si="13"/>
        <v>14918718.407330757</v>
      </c>
      <c r="E32" s="92">
        <f t="shared" ca="1" si="13"/>
        <v>4770717.1373017924</v>
      </c>
      <c r="F32" s="92">
        <f t="shared" ca="1" si="13"/>
        <v>4770717.1373017924</v>
      </c>
      <c r="G32" s="92">
        <f t="shared" ca="1" si="13"/>
        <v>6180846.2591900583</v>
      </c>
      <c r="H32" s="92">
        <f t="shared" ca="1" si="13"/>
        <v>6180846.2591900583</v>
      </c>
      <c r="I32" s="92">
        <f t="shared" ref="I32:M32" si="14">SUM(I26:I31)</f>
        <v>0</v>
      </c>
      <c r="J32" s="92">
        <f t="shared" si="14"/>
        <v>0</v>
      </c>
      <c r="K32" s="92">
        <f t="shared" si="14"/>
        <v>0</v>
      </c>
      <c r="L32" s="92">
        <f t="shared" si="14"/>
        <v>0</v>
      </c>
      <c r="M32" s="847">
        <f t="shared" si="14"/>
        <v>0</v>
      </c>
    </row>
    <row r="33" spans="1:13" ht="18" customHeight="1">
      <c r="A33" s="449" t="s">
        <v>33</v>
      </c>
      <c r="B33" s="33"/>
      <c r="C33" s="92"/>
      <c r="D33" s="93"/>
      <c r="E33" s="93"/>
      <c r="F33" s="93"/>
      <c r="G33" s="93"/>
      <c r="H33" s="93"/>
      <c r="I33" s="93"/>
      <c r="J33" s="93"/>
      <c r="K33" s="93"/>
      <c r="L33" s="93"/>
      <c r="M33" s="907"/>
    </row>
    <row r="34" spans="1:13" ht="14" customHeight="1">
      <c r="A34" s="709" t="s">
        <v>34</v>
      </c>
      <c r="B34" s="33"/>
      <c r="C34" s="92"/>
      <c r="D34" s="93"/>
      <c r="E34" s="93">
        <f>E22</f>
        <v>742938.12548581837</v>
      </c>
      <c r="F34" s="93">
        <f>F22</f>
        <v>750581.52648553473</v>
      </c>
      <c r="G34" s="93">
        <f t="shared" ref="G34:M34" si="15">G22</f>
        <v>1053272.1627980403</v>
      </c>
      <c r="H34" s="93">
        <f t="shared" si="15"/>
        <v>1064402.737348042</v>
      </c>
      <c r="I34" s="93">
        <f t="shared" si="15"/>
        <v>1423464.555931387</v>
      </c>
      <c r="J34" s="93">
        <f t="shared" si="15"/>
        <v>1438593.3063598631</v>
      </c>
      <c r="K34" s="93">
        <f t="shared" si="15"/>
        <v>1453624.415576204</v>
      </c>
      <c r="L34" s="93">
        <f t="shared" si="15"/>
        <v>1468543.9242695458</v>
      </c>
      <c r="M34" s="907">
        <f t="shared" si="15"/>
        <v>1483337.233748209</v>
      </c>
    </row>
    <row r="35" spans="1:13" ht="14" customHeight="1">
      <c r="A35" s="709" t="s">
        <v>162</v>
      </c>
      <c r="B35" s="36"/>
      <c r="C35" s="92"/>
      <c r="D35" s="93"/>
      <c r="E35" s="93"/>
      <c r="F35" s="93"/>
      <c r="G35" s="93"/>
      <c r="H35" s="93"/>
      <c r="I35" s="93"/>
      <c r="J35" s="93"/>
      <c r="K35" s="93"/>
      <c r="L35" s="93"/>
      <c r="M35" s="908">
        <f>M34/6.5%</f>
        <v>22820572.82689552</v>
      </c>
    </row>
    <row r="36" spans="1:13" ht="14" customHeight="1">
      <c r="A36" s="709" t="s">
        <v>163</v>
      </c>
      <c r="B36" s="36"/>
      <c r="C36" s="92"/>
      <c r="D36" s="93"/>
      <c r="E36" s="93"/>
      <c r="F36" s="93"/>
      <c r="G36" s="93"/>
      <c r="H36" s="93"/>
      <c r="I36" s="93"/>
      <c r="J36" s="93"/>
      <c r="K36" s="93"/>
      <c r="L36" s="93"/>
      <c r="M36" s="907">
        <f>M35*-0.02</f>
        <v>-456411.45653791039</v>
      </c>
    </row>
    <row r="37" spans="1:13" ht="14" customHeight="1">
      <c r="A37" s="852" t="s">
        <v>32</v>
      </c>
      <c r="B37" s="33"/>
      <c r="C37" s="92">
        <f ca="1">-C32</f>
        <v>-14918718.407330757</v>
      </c>
      <c r="D37" s="92">
        <f t="shared" ref="D37:L37" ca="1" si="16">-D32</f>
        <v>-14918718.407330757</v>
      </c>
      <c r="E37" s="92">
        <f t="shared" ca="1" si="16"/>
        <v>-4770717.1373017924</v>
      </c>
      <c r="F37" s="92">
        <f t="shared" ca="1" si="16"/>
        <v>-4770717.1373017924</v>
      </c>
      <c r="G37" s="92">
        <f t="shared" ca="1" si="16"/>
        <v>-6180846.2591900583</v>
      </c>
      <c r="H37" s="92">
        <f ca="1">-H32</f>
        <v>-6180846.2591900583</v>
      </c>
      <c r="I37" s="92">
        <f t="shared" si="16"/>
        <v>0</v>
      </c>
      <c r="J37" s="92">
        <f t="shared" si="16"/>
        <v>0</v>
      </c>
      <c r="K37" s="92">
        <f t="shared" si="16"/>
        <v>0</v>
      </c>
      <c r="L37" s="92">
        <f t="shared" si="16"/>
        <v>0</v>
      </c>
      <c r="M37" s="847">
        <f t="shared" ref="M37" si="17">M32</f>
        <v>0</v>
      </c>
    </row>
    <row r="38" spans="1:13" ht="18" customHeight="1">
      <c r="A38" s="733" t="s">
        <v>37</v>
      </c>
      <c r="B38" s="279"/>
      <c r="C38" s="909">
        <f ca="1">SUM(C34:C37)</f>
        <v>-14918718.407330757</v>
      </c>
      <c r="D38" s="909">
        <f t="shared" ref="D38:L38" ca="1" si="18">SUM(D34:D37)</f>
        <v>-14918718.407330757</v>
      </c>
      <c r="E38" s="909">
        <f t="shared" ca="1" si="18"/>
        <v>-4027779.011815974</v>
      </c>
      <c r="F38" s="909">
        <f t="shared" ca="1" si="18"/>
        <v>-4020135.6108162575</v>
      </c>
      <c r="G38" s="909">
        <f t="shared" ca="1" si="18"/>
        <v>-5127574.0963920178</v>
      </c>
      <c r="H38" s="909">
        <f t="shared" ca="1" si="18"/>
        <v>-5116443.5218420159</v>
      </c>
      <c r="I38" s="909">
        <f t="shared" si="18"/>
        <v>1423464.555931387</v>
      </c>
      <c r="J38" s="909">
        <f t="shared" si="18"/>
        <v>1438593.3063598631</v>
      </c>
      <c r="K38" s="909">
        <f t="shared" si="18"/>
        <v>1453624.415576204</v>
      </c>
      <c r="L38" s="909">
        <f t="shared" si="18"/>
        <v>1468543.9242695458</v>
      </c>
      <c r="M38" s="910">
        <f>SUM(M34:M37)</f>
        <v>23847498.604105819</v>
      </c>
    </row>
    <row r="39" spans="1:13" ht="18" customHeight="1">
      <c r="A39" s="864" t="s">
        <v>40</v>
      </c>
      <c r="B39" s="263">
        <f ca="1">C38+NPV(B43,D38:M38)</f>
        <v>-18497644.24928496</v>
      </c>
      <c r="C39" s="262"/>
      <c r="D39" s="822"/>
      <c r="E39" s="822"/>
      <c r="F39" s="822"/>
      <c r="G39" s="822"/>
      <c r="H39" s="822"/>
      <c r="I39" s="822"/>
      <c r="J39" s="822"/>
      <c r="K39" s="822"/>
      <c r="L39" s="822"/>
      <c r="M39" s="899"/>
    </row>
    <row r="40" spans="1:13" ht="18" customHeight="1">
      <c r="A40" s="735" t="s">
        <v>42</v>
      </c>
      <c r="B40" s="50">
        <f ca="1">IRR(C38:M38)</f>
        <v>-6.0505238656559102E-2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736"/>
    </row>
    <row r="41" spans="1:13" ht="18" customHeight="1">
      <c r="A41" s="735" t="s">
        <v>173</v>
      </c>
      <c r="B41" s="50"/>
      <c r="C41" s="260">
        <f ca="1">C37-(SUM('Summary Board II -  S+U'!F31:F33)*C37/'Summary Board II -  S+U'!F39)</f>
        <v>-4609738.6885299198</v>
      </c>
      <c r="D41" s="260">
        <f ca="1">C41</f>
        <v>-4609738.6885299198</v>
      </c>
      <c r="E41" s="260">
        <f ca="1">E37-(SUM('Summary Board II -  S+U'!H31:H33)*E37/'Summary Board II -  S+U'!H39)</f>
        <v>-669715.01331629837</v>
      </c>
      <c r="F41" s="260">
        <f ca="1">D41</f>
        <v>-4609738.6885299198</v>
      </c>
      <c r="G41" s="260">
        <f ca="1">G37-(SUM('Summary Board II -  S+U'!J31:J33)*G37/'Summary Board II -  S+U'!J39)</f>
        <v>-1052602.7778502274</v>
      </c>
      <c r="H41" s="339">
        <f ca="1">G41</f>
        <v>-1052602.7778502274</v>
      </c>
      <c r="I41" s="260">
        <f>I38</f>
        <v>1423464.555931387</v>
      </c>
      <c r="J41" s="260">
        <f>J38</f>
        <v>1438593.3063598631</v>
      </c>
      <c r="K41" s="260">
        <f>K38</f>
        <v>1453624.415576204</v>
      </c>
      <c r="L41" s="260">
        <f>L38</f>
        <v>1468543.9242695458</v>
      </c>
      <c r="M41" s="905">
        <f>M38</f>
        <v>23847498.604105819</v>
      </c>
    </row>
    <row r="42" spans="1:13" ht="18" customHeight="1" thickBot="1">
      <c r="A42" s="738" t="s">
        <v>44</v>
      </c>
      <c r="B42" s="739">
        <f ca="1">IRR(C41:M41)</f>
        <v>7.7148307474925737E-2</v>
      </c>
      <c r="C42" s="740"/>
      <c r="D42" s="740"/>
      <c r="E42" s="740"/>
      <c r="F42" s="740"/>
      <c r="G42" s="740"/>
      <c r="H42" s="740"/>
      <c r="I42" s="740"/>
      <c r="J42" s="740"/>
      <c r="K42" s="740"/>
      <c r="L42" s="740"/>
      <c r="M42" s="741"/>
    </row>
    <row r="43" spans="1:13">
      <c r="F43" s="16">
        <f>F35</f>
        <v>0</v>
      </c>
      <c r="H43" s="16">
        <f>H35-F43</f>
        <v>0</v>
      </c>
      <c r="J43" s="16">
        <f>J35-F43</f>
        <v>0</v>
      </c>
    </row>
  </sheetData>
  <phoneticPr fontId="2" type="noConversion"/>
  <pageMargins left="0.5" right="0.5" top="1" bottom="0.5" header="0.5" footer="0.5"/>
  <pageSetup orientation="landscape" r:id="rId1"/>
  <headerFooter alignWithMargins="0">
    <oddHeader>&amp;L&amp;"Arial,Bold"4. Income Statement: Affordable Rental Housing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61"/>
  <sheetViews>
    <sheetView zoomScaleNormal="100" workbookViewId="0">
      <selection activeCell="M1" sqref="L1:M1"/>
    </sheetView>
  </sheetViews>
  <sheetFormatPr baseColWidth="10" defaultColWidth="9.1640625" defaultRowHeight="13"/>
  <cols>
    <col min="1" max="1" width="23.5" style="2" customWidth="1"/>
    <col min="2" max="3" width="15.33203125" style="3" customWidth="1"/>
    <col min="4" max="12" width="15.33203125" style="2" customWidth="1"/>
    <col min="13" max="13" width="16.1640625" style="2" customWidth="1"/>
    <col min="14" max="14" width="11.5" style="2" bestFit="1" customWidth="1"/>
    <col min="15" max="16384" width="9.1640625" style="2"/>
  </cols>
  <sheetData>
    <row r="1" spans="1:13" ht="14" customHeight="1" thickBot="1">
      <c r="L1" s="1063" t="s">
        <v>1</v>
      </c>
      <c r="M1" s="1064" t="s">
        <v>2</v>
      </c>
    </row>
    <row r="2" spans="1:13" ht="14" customHeight="1" thickBot="1">
      <c r="L2" s="100"/>
      <c r="M2" s="101"/>
    </row>
    <row r="3" spans="1:13" ht="14" customHeight="1">
      <c r="A3" s="570"/>
      <c r="B3" s="703"/>
      <c r="C3" s="703" t="s">
        <v>3</v>
      </c>
      <c r="D3" s="571"/>
      <c r="E3" s="742" t="s">
        <v>4</v>
      </c>
      <c r="F3" s="571"/>
      <c r="G3" s="742" t="s">
        <v>5</v>
      </c>
      <c r="H3" s="571"/>
      <c r="I3" s="742" t="s">
        <v>6</v>
      </c>
      <c r="J3" s="742"/>
      <c r="K3" s="742"/>
      <c r="L3" s="742"/>
      <c r="M3" s="743"/>
    </row>
    <row r="4" spans="1:13" ht="14" customHeight="1">
      <c r="A4" s="573"/>
      <c r="B4" s="823" t="s">
        <v>94</v>
      </c>
      <c r="C4" s="823" t="s">
        <v>8</v>
      </c>
      <c r="D4" s="823">
        <v>2022</v>
      </c>
      <c r="E4" s="823">
        <f t="shared" ref="E4:M4" si="0">D4+1</f>
        <v>2023</v>
      </c>
      <c r="F4" s="823">
        <f t="shared" si="0"/>
        <v>2024</v>
      </c>
      <c r="G4" s="823">
        <f t="shared" si="0"/>
        <v>2025</v>
      </c>
      <c r="H4" s="823">
        <f t="shared" si="0"/>
        <v>2026</v>
      </c>
      <c r="I4" s="823">
        <f t="shared" si="0"/>
        <v>2027</v>
      </c>
      <c r="J4" s="823">
        <f t="shared" si="0"/>
        <v>2028</v>
      </c>
      <c r="K4" s="823">
        <f t="shared" si="0"/>
        <v>2029</v>
      </c>
      <c r="L4" s="823">
        <f t="shared" si="0"/>
        <v>2030</v>
      </c>
      <c r="M4" s="824">
        <f t="shared" si="0"/>
        <v>2031</v>
      </c>
    </row>
    <row r="5" spans="1:13" ht="18" customHeight="1">
      <c r="A5" s="449" t="s">
        <v>174</v>
      </c>
      <c r="B5" s="33"/>
      <c r="C5" s="33"/>
      <c r="D5" s="34"/>
      <c r="E5" s="34"/>
      <c r="F5" s="34"/>
      <c r="G5" s="34"/>
      <c r="H5" s="34"/>
      <c r="I5" s="34"/>
      <c r="J5" s="34"/>
      <c r="K5" s="34"/>
      <c r="L5" s="34"/>
      <c r="M5" s="229"/>
    </row>
    <row r="6" spans="1:13" ht="14" customHeight="1">
      <c r="A6" s="709" t="s">
        <v>100</v>
      </c>
      <c r="B6" s="36">
        <v>0.02</v>
      </c>
      <c r="C6" s="58">
        <v>42.4</v>
      </c>
      <c r="D6" s="58">
        <f>C6*(1.02)</f>
        <v>43.247999999999998</v>
      </c>
      <c r="E6" s="58">
        <f t="shared" ref="E6:M6" si="1">D6*(1.02)</f>
        <v>44.112960000000001</v>
      </c>
      <c r="F6" s="58">
        <f t="shared" si="1"/>
        <v>44.995219200000001</v>
      </c>
      <c r="G6" s="58">
        <f t="shared" si="1"/>
        <v>45.895123584000004</v>
      </c>
      <c r="H6" s="58">
        <f t="shared" si="1"/>
        <v>46.813026055680005</v>
      </c>
      <c r="I6" s="58">
        <f t="shared" si="1"/>
        <v>47.749286576793608</v>
      </c>
      <c r="J6" s="58">
        <f t="shared" si="1"/>
        <v>48.704272308329479</v>
      </c>
      <c r="K6" s="58">
        <f t="shared" si="1"/>
        <v>49.678357754496069</v>
      </c>
      <c r="L6" s="58">
        <f t="shared" si="1"/>
        <v>50.671924909585989</v>
      </c>
      <c r="M6" s="711">
        <f t="shared" si="1"/>
        <v>51.685363407777707</v>
      </c>
    </row>
    <row r="7" spans="1:13" ht="14" customHeight="1">
      <c r="A7" s="709" t="s">
        <v>175</v>
      </c>
      <c r="B7" s="33" t="s">
        <v>54</v>
      </c>
      <c r="C7" s="37">
        <f>C42</f>
        <v>0</v>
      </c>
      <c r="D7" s="37">
        <f>D42</f>
        <v>0</v>
      </c>
      <c r="E7" s="292">
        <f>'Parcel breakdown'!AH19</f>
        <v>682049</v>
      </c>
      <c r="F7" s="292">
        <f>E7</f>
        <v>682049</v>
      </c>
      <c r="G7" s="292">
        <f>'Parcel breakdown'!AH19+'Parcel breakdown'!AH20</f>
        <v>866508</v>
      </c>
      <c r="H7" s="292">
        <f>G7</f>
        <v>866508</v>
      </c>
      <c r="I7" s="292">
        <f>'Parcel breakdown'!AH19+'Parcel breakdown'!AH20+'Parcel breakdown'!AH21</f>
        <v>866508</v>
      </c>
      <c r="J7" s="292">
        <f>I7</f>
        <v>866508</v>
      </c>
      <c r="K7" s="292">
        <f>J7</f>
        <v>866508</v>
      </c>
      <c r="L7" s="292">
        <f>K7</f>
        <v>866508</v>
      </c>
      <c r="M7" s="911">
        <f>L7</f>
        <v>866508</v>
      </c>
    </row>
    <row r="8" spans="1:13" ht="14" customHeight="1">
      <c r="A8" s="709" t="s">
        <v>176</v>
      </c>
      <c r="B8" s="33" t="s">
        <v>54</v>
      </c>
      <c r="C8" s="33"/>
      <c r="D8" s="35"/>
      <c r="E8" s="293">
        <f>E47</f>
        <v>341024.5</v>
      </c>
      <c r="F8" s="293">
        <f>F47</f>
        <v>682049</v>
      </c>
      <c r="G8" s="293">
        <f>G47</f>
        <v>774278.5</v>
      </c>
      <c r="H8" s="293">
        <f>H47</f>
        <v>866508</v>
      </c>
      <c r="I8" s="293">
        <f>I47</f>
        <v>866508</v>
      </c>
      <c r="J8" s="293">
        <f>I8</f>
        <v>866508</v>
      </c>
      <c r="K8" s="293">
        <f>K47</f>
        <v>866508</v>
      </c>
      <c r="L8" s="293">
        <f>L47</f>
        <v>866508</v>
      </c>
      <c r="M8" s="912">
        <f>M47</f>
        <v>866508</v>
      </c>
    </row>
    <row r="9" spans="1:13" ht="14" customHeight="1">
      <c r="A9" s="709" t="s">
        <v>177</v>
      </c>
      <c r="B9" s="36">
        <v>0.9</v>
      </c>
      <c r="C9" s="36"/>
      <c r="D9" s="35"/>
      <c r="E9" s="293">
        <f>E8*0.9</f>
        <v>306922.05</v>
      </c>
      <c r="F9" s="293">
        <f t="shared" ref="F9:M10" si="2">F8*0.9</f>
        <v>613844.1</v>
      </c>
      <c r="G9" s="293">
        <f t="shared" si="2"/>
        <v>696850.65</v>
      </c>
      <c r="H9" s="293">
        <f t="shared" si="2"/>
        <v>779857.20000000007</v>
      </c>
      <c r="I9" s="293">
        <f t="shared" si="2"/>
        <v>779857.20000000007</v>
      </c>
      <c r="J9" s="293">
        <f t="shared" si="2"/>
        <v>779857.20000000007</v>
      </c>
      <c r="K9" s="293">
        <f t="shared" si="2"/>
        <v>779857.20000000007</v>
      </c>
      <c r="L9" s="293">
        <f t="shared" si="2"/>
        <v>779857.20000000007</v>
      </c>
      <c r="M9" s="912">
        <f t="shared" si="2"/>
        <v>779857.20000000007</v>
      </c>
    </row>
    <row r="10" spans="1:13" s="9" customFormat="1" ht="14.25" customHeight="1">
      <c r="A10" s="709" t="s">
        <v>178</v>
      </c>
      <c r="B10" s="36">
        <v>0.1</v>
      </c>
      <c r="C10" s="36"/>
      <c r="D10" s="35"/>
      <c r="E10" s="293">
        <f>E9*0.9</f>
        <v>276229.84499999997</v>
      </c>
      <c r="F10" s="293">
        <f t="shared" si="2"/>
        <v>552459.68999999994</v>
      </c>
      <c r="G10" s="293">
        <f t="shared" si="2"/>
        <v>627165.58500000008</v>
      </c>
      <c r="H10" s="293">
        <f t="shared" si="2"/>
        <v>701871.4800000001</v>
      </c>
      <c r="I10" s="293">
        <f t="shared" si="2"/>
        <v>701871.4800000001</v>
      </c>
      <c r="J10" s="293">
        <f t="shared" si="2"/>
        <v>701871.4800000001</v>
      </c>
      <c r="K10" s="293">
        <f t="shared" si="2"/>
        <v>701871.4800000001</v>
      </c>
      <c r="L10" s="293">
        <f t="shared" si="2"/>
        <v>701871.4800000001</v>
      </c>
      <c r="M10" s="912">
        <f t="shared" si="2"/>
        <v>701871.4800000001</v>
      </c>
    </row>
    <row r="11" spans="1:13" ht="14" customHeight="1">
      <c r="A11" s="851" t="s">
        <v>156</v>
      </c>
      <c r="B11" s="307"/>
      <c r="C11" s="308"/>
      <c r="D11" s="308"/>
      <c r="E11" s="308">
        <f>Assumptions!$P$42*'Detailed Uses'!$Q$6</f>
        <v>63448.196694838305</v>
      </c>
      <c r="F11" s="308">
        <f>Assumptions!$P$42*'Detailed Uses'!$Q$6</f>
        <v>63448.196694838305</v>
      </c>
      <c r="G11" s="308">
        <f>(Assumptions!$P$42*'Detailed Uses'!$Q$6)+(Assumptions!$R$42*'Detailed Uses'!$AA$6)</f>
        <v>88987.464987808868</v>
      </c>
      <c r="H11" s="308">
        <f>(Assumptions!$P$42*'Detailed Uses'!$Q$6)+(Assumptions!$R$42*'Detailed Uses'!$AA$6)</f>
        <v>88987.464987808868</v>
      </c>
      <c r="I11" s="308">
        <f>(Assumptions!$P$42*'Detailed Uses'!$Q$6)+(Assumptions!$R$42*'Detailed Uses'!$AA$6)+(Assumptions!$T$42*'Detailed Uses'!$AK$6)</f>
        <v>88987.464987808868</v>
      </c>
      <c r="J11" s="308">
        <f>(Assumptions!$P$42*'Detailed Uses'!$Q$6)+(Assumptions!$R$42*'Detailed Uses'!$AA$6)+(Assumptions!$T$42*'Detailed Uses'!$AK$6)</f>
        <v>88987.464987808868</v>
      </c>
      <c r="K11" s="308">
        <f>(Assumptions!$P$42*'Detailed Uses'!$Q$6)+(Assumptions!$R$42*'Detailed Uses'!$AA$6)+(Assumptions!$T$42*'Detailed Uses'!$AK$6)</f>
        <v>88987.464987808868</v>
      </c>
      <c r="L11" s="308">
        <f>(Assumptions!$P$42*'Detailed Uses'!$Q$6)+(Assumptions!$R$42*'Detailed Uses'!$AA$6)+(Assumptions!$T$42*'Detailed Uses'!$AK$6)</f>
        <v>88987.464987808868</v>
      </c>
      <c r="M11" s="895">
        <f>(Assumptions!$P$42*'Detailed Uses'!$Q$6)+(Assumptions!$R$42*'Detailed Uses'!$AA$6)+(Assumptions!$T$42*'Detailed Uses'!$AK$6)</f>
        <v>88987.464987808868</v>
      </c>
    </row>
    <row r="12" spans="1:13" ht="14" customHeight="1">
      <c r="A12" s="709" t="s">
        <v>179</v>
      </c>
      <c r="B12" s="33"/>
      <c r="C12" s="58">
        <v>0</v>
      </c>
      <c r="D12" s="294">
        <v>0</v>
      </c>
      <c r="E12" s="294">
        <f>E6*E10</f>
        <v>12185316.103291199</v>
      </c>
      <c r="F12" s="294">
        <f t="shared" ref="F12:M12" si="3">F6*F10</f>
        <v>24858044.850714047</v>
      </c>
      <c r="G12" s="294">
        <f t="shared" si="3"/>
        <v>28783842.031206664</v>
      </c>
      <c r="H12" s="294">
        <f t="shared" si="3"/>
        <v>32856727.880978692</v>
      </c>
      <c r="I12" s="294">
        <f t="shared" si="3"/>
        <v>33513862.438598268</v>
      </c>
      <c r="J12" s="294">
        <f t="shared" si="3"/>
        <v>34184139.687370233</v>
      </c>
      <c r="K12" s="294">
        <f t="shared" si="3"/>
        <v>34867822.481117636</v>
      </c>
      <c r="L12" s="294">
        <f t="shared" si="3"/>
        <v>35565178.930739991</v>
      </c>
      <c r="M12" s="906">
        <f t="shared" si="3"/>
        <v>36276482.509354785</v>
      </c>
    </row>
    <row r="13" spans="1:13" ht="18" customHeight="1">
      <c r="A13" s="449" t="s">
        <v>9</v>
      </c>
      <c r="B13" s="33"/>
      <c r="C13" s="58"/>
      <c r="D13" s="294"/>
      <c r="E13" s="294"/>
      <c r="F13" s="294"/>
      <c r="G13" s="294"/>
      <c r="H13" s="294"/>
      <c r="I13" s="294"/>
      <c r="J13" s="294"/>
      <c r="K13" s="294"/>
      <c r="L13" s="294"/>
      <c r="M13" s="906"/>
    </row>
    <row r="14" spans="1:13" ht="14" customHeight="1">
      <c r="A14" s="709" t="s">
        <v>180</v>
      </c>
      <c r="B14" s="33"/>
      <c r="C14" s="58">
        <v>0</v>
      </c>
      <c r="D14" s="294">
        <f>D12</f>
        <v>0</v>
      </c>
      <c r="E14" s="294">
        <f t="shared" ref="E14:M14" si="4">E12</f>
        <v>12185316.103291199</v>
      </c>
      <c r="F14" s="294">
        <f t="shared" si="4"/>
        <v>24858044.850714047</v>
      </c>
      <c r="G14" s="294">
        <f t="shared" si="4"/>
        <v>28783842.031206664</v>
      </c>
      <c r="H14" s="294">
        <f t="shared" si="4"/>
        <v>32856727.880978692</v>
      </c>
      <c r="I14" s="294">
        <f t="shared" si="4"/>
        <v>33513862.438598268</v>
      </c>
      <c r="J14" s="294">
        <f t="shared" si="4"/>
        <v>34184139.687370233</v>
      </c>
      <c r="K14" s="294">
        <f t="shared" si="4"/>
        <v>34867822.481117636</v>
      </c>
      <c r="L14" s="294">
        <f t="shared" si="4"/>
        <v>35565178.930739991</v>
      </c>
      <c r="M14" s="906">
        <f t="shared" si="4"/>
        <v>36276482.509354785</v>
      </c>
    </row>
    <row r="15" spans="1:13" s="23" customFormat="1" ht="28" customHeight="1">
      <c r="A15" s="721" t="s">
        <v>181</v>
      </c>
      <c r="B15" s="142"/>
      <c r="C15" s="1004">
        <v>7.5</v>
      </c>
      <c r="D15" s="1005">
        <f>C15*(1.02)</f>
        <v>7.65</v>
      </c>
      <c r="E15" s="1005">
        <f t="shared" ref="E15:M15" si="5">D15*(1.02)</f>
        <v>7.8030000000000008</v>
      </c>
      <c r="F15" s="1005">
        <f t="shared" si="5"/>
        <v>7.9590600000000009</v>
      </c>
      <c r="G15" s="1005">
        <f t="shared" si="5"/>
        <v>8.1182412000000017</v>
      </c>
      <c r="H15" s="1005">
        <f t="shared" si="5"/>
        <v>8.2806060240000026</v>
      </c>
      <c r="I15" s="1005">
        <f t="shared" si="5"/>
        <v>8.4462181444800031</v>
      </c>
      <c r="J15" s="1005">
        <f t="shared" si="5"/>
        <v>8.6151425073696029</v>
      </c>
      <c r="K15" s="1005">
        <f t="shared" si="5"/>
        <v>8.7874453575169955</v>
      </c>
      <c r="L15" s="1005">
        <f t="shared" si="5"/>
        <v>8.9631942646673348</v>
      </c>
      <c r="M15" s="1006">
        <f t="shared" si="5"/>
        <v>9.1424581499606816</v>
      </c>
    </row>
    <row r="16" spans="1:13" ht="14" customHeight="1">
      <c r="A16" s="852" t="s">
        <v>34</v>
      </c>
      <c r="B16" s="89"/>
      <c r="C16" s="552">
        <f>C14</f>
        <v>0</v>
      </c>
      <c r="D16" s="552">
        <f>D14</f>
        <v>0</v>
      </c>
      <c r="E16" s="553">
        <f>E14-E8*E15</f>
        <v>9524301.9297911972</v>
      </c>
      <c r="F16" s="553">
        <f t="shared" ref="F16:M16" si="6">F14-F8*F15</f>
        <v>19429575.936774045</v>
      </c>
      <c r="G16" s="553">
        <f t="shared" si="6"/>
        <v>22498062.412232462</v>
      </c>
      <c r="H16" s="553">
        <f t="shared" si="6"/>
        <v>25681516.516334496</v>
      </c>
      <c r="I16" s="553">
        <f t="shared" si="6"/>
        <v>26195146.846661188</v>
      </c>
      <c r="J16" s="553">
        <f t="shared" si="6"/>
        <v>26719049.783594415</v>
      </c>
      <c r="K16" s="553">
        <f t="shared" si="6"/>
        <v>27253430.779266298</v>
      </c>
      <c r="L16" s="553">
        <f t="shared" si="6"/>
        <v>27798499.394851629</v>
      </c>
      <c r="M16" s="913">
        <f t="shared" si="6"/>
        <v>28354469.382748656</v>
      </c>
    </row>
    <row r="17" spans="1:13" ht="18" customHeight="1">
      <c r="A17" s="573" t="s">
        <v>20</v>
      </c>
      <c r="B17" s="62"/>
      <c r="C17" s="62"/>
      <c r="D17" s="63"/>
      <c r="E17" s="63"/>
      <c r="F17" s="63"/>
      <c r="G17" s="629">
        <f>G16-E16</f>
        <v>12973760.482441265</v>
      </c>
      <c r="H17" s="63"/>
      <c r="I17" s="63"/>
      <c r="J17" s="63"/>
      <c r="K17" s="63"/>
      <c r="L17" s="63"/>
      <c r="M17" s="717"/>
    </row>
    <row r="18" spans="1:13" ht="14" customHeight="1">
      <c r="A18" s="709" t="s">
        <v>159</v>
      </c>
      <c r="B18" s="33"/>
      <c r="C18" s="36">
        <v>0</v>
      </c>
      <c r="D18" s="44">
        <v>0</v>
      </c>
      <c r="E18" s="44">
        <v>0.79</v>
      </c>
      <c r="F18" s="44">
        <v>0.79</v>
      </c>
      <c r="G18" s="44">
        <v>1</v>
      </c>
      <c r="H18" s="44">
        <v>1</v>
      </c>
      <c r="I18" s="44">
        <v>1</v>
      </c>
      <c r="J18" s="44">
        <v>1</v>
      </c>
      <c r="K18" s="44">
        <v>1</v>
      </c>
      <c r="L18" s="44">
        <v>1</v>
      </c>
      <c r="M18" s="725">
        <v>1</v>
      </c>
    </row>
    <row r="19" spans="1:13" ht="14" customHeight="1">
      <c r="A19" s="709" t="s">
        <v>160</v>
      </c>
      <c r="B19" s="33"/>
      <c r="C19" s="46">
        <f>'Detailed Uses'!$Q$25/2</f>
        <v>59065141.013821259</v>
      </c>
      <c r="D19" s="46">
        <f>'Detailed Uses'!$Q$25/2</f>
        <v>59065141.013821259</v>
      </c>
      <c r="E19" s="46">
        <f>'Detailed Uses'!$AA$25/2</f>
        <v>19048569.744581468</v>
      </c>
      <c r="F19" s="46">
        <f>'Detailed Uses'!$AA$25/2</f>
        <v>19048569.744581468</v>
      </c>
      <c r="G19" s="47">
        <f ca="1">'Detailed Uses'!$AK$25/2</f>
        <v>0</v>
      </c>
      <c r="H19" s="47">
        <f ca="1">'Detailed Uses'!$AK$25/2</f>
        <v>0</v>
      </c>
      <c r="I19" s="294">
        <v>0</v>
      </c>
      <c r="J19" s="294">
        <v>0</v>
      </c>
      <c r="K19" s="294">
        <v>0</v>
      </c>
      <c r="L19" s="294">
        <v>0</v>
      </c>
      <c r="M19" s="906">
        <v>0</v>
      </c>
    </row>
    <row r="20" spans="1:13" ht="14" customHeight="1">
      <c r="A20" s="709" t="s">
        <v>161</v>
      </c>
      <c r="B20" s="33"/>
      <c r="C20" s="46">
        <f ca="1">'Detailed Uses'!$Q$44/2</f>
        <v>6977421.1280926643</v>
      </c>
      <c r="D20" s="46">
        <f ca="1">'Detailed Uses'!$Q$44/2</f>
        <v>6977421.1280926643</v>
      </c>
      <c r="E20" s="46">
        <f ca="1">'Detailed Uses'!$AA$44/2</f>
        <v>2249240.1874460685</v>
      </c>
      <c r="F20" s="46">
        <f ca="1">'Detailed Uses'!$AA$44/2</f>
        <v>2249240.1874460685</v>
      </c>
      <c r="G20" s="47">
        <f ca="1">'Detailed Uses'!$AK$44/2</f>
        <v>0</v>
      </c>
      <c r="H20" s="47">
        <f ca="1">'Detailed Uses'!$AK$44/2</f>
        <v>0</v>
      </c>
      <c r="I20" s="294">
        <v>0</v>
      </c>
      <c r="J20" s="294">
        <v>0</v>
      </c>
      <c r="K20" s="294">
        <v>0</v>
      </c>
      <c r="L20" s="294">
        <v>0</v>
      </c>
      <c r="M20" s="906">
        <v>0</v>
      </c>
    </row>
    <row r="21" spans="1:13" ht="14" customHeight="1">
      <c r="A21" s="709" t="s">
        <v>26</v>
      </c>
      <c r="B21" s="33"/>
      <c r="C21" s="46">
        <f>'Detailed Uses'!$Q$60/2</f>
        <v>228766.95420360944</v>
      </c>
      <c r="D21" s="46">
        <f>'Detailed Uses'!$Q$60/2</f>
        <v>228766.95420360944</v>
      </c>
      <c r="E21" s="46">
        <f>'Detailed Uses'!$AA$60/2</f>
        <v>88836.259560565304</v>
      </c>
      <c r="F21" s="46">
        <f>'Detailed Uses'!$AA$60/2</f>
        <v>88836.259560565304</v>
      </c>
      <c r="G21" s="47">
        <f>'Detailed Uses'!$AK$60/2</f>
        <v>0</v>
      </c>
      <c r="H21" s="47">
        <f>'Detailed Uses'!$AK$60/2</f>
        <v>0</v>
      </c>
      <c r="I21" s="294">
        <v>0</v>
      </c>
      <c r="J21" s="294">
        <v>0</v>
      </c>
      <c r="K21" s="294">
        <v>0</v>
      </c>
      <c r="L21" s="294">
        <v>0</v>
      </c>
      <c r="M21" s="906">
        <v>0</v>
      </c>
    </row>
    <row r="22" spans="1:13" ht="14" customHeight="1">
      <c r="A22" s="709" t="s">
        <v>27</v>
      </c>
      <c r="B22" s="33"/>
      <c r="C22" s="46">
        <f ca="1">'Detailed Uses'!$Q$64/2</f>
        <v>2838347.977956024</v>
      </c>
      <c r="D22" s="46">
        <f ca="1">'Detailed Uses'!$Q$64/2</f>
        <v>2838347.977956024</v>
      </c>
      <c r="E22" s="46">
        <f ca="1">'Detailed Uses'!$AA$64/2</f>
        <v>733458.78420936048</v>
      </c>
      <c r="F22" s="46">
        <f ca="1">'Detailed Uses'!$AA$64/2</f>
        <v>733458.78420936048</v>
      </c>
      <c r="G22" s="47">
        <f ca="1">'Detailed Uses'!$AK$64/2</f>
        <v>0</v>
      </c>
      <c r="H22" s="47">
        <f ca="1">'Detailed Uses'!$AK$64/2</f>
        <v>0</v>
      </c>
      <c r="I22" s="294">
        <v>0</v>
      </c>
      <c r="J22" s="294">
        <v>0</v>
      </c>
      <c r="K22" s="294">
        <v>0</v>
      </c>
      <c r="L22" s="294">
        <v>0</v>
      </c>
      <c r="M22" s="906">
        <v>0</v>
      </c>
    </row>
    <row r="23" spans="1:13" ht="14" customHeight="1">
      <c r="A23" s="709" t="s">
        <v>28</v>
      </c>
      <c r="B23" s="33"/>
      <c r="C23" s="46">
        <f>'Detailed Uses'!$Q$11/2</f>
        <v>1945211.779109221</v>
      </c>
      <c r="D23" s="46">
        <f>'Detailed Uses'!$Q$11/2</f>
        <v>1945211.779109221</v>
      </c>
      <c r="E23" s="46">
        <f>'Detailed Uses'!$AA$11/2</f>
        <v>2475620.7528961599</v>
      </c>
      <c r="F23" s="46">
        <f>'Detailed Uses'!$AA$11/2</f>
        <v>2475620.7528961599</v>
      </c>
      <c r="G23" s="47">
        <f>'Detailed Uses'!$AK$11/2</f>
        <v>0</v>
      </c>
      <c r="H23" s="47">
        <f>'Detailed Uses'!$AK$11/2</f>
        <v>0</v>
      </c>
      <c r="I23" s="294">
        <v>0</v>
      </c>
      <c r="J23" s="294">
        <v>0</v>
      </c>
      <c r="K23" s="294">
        <v>0</v>
      </c>
      <c r="L23" s="294">
        <v>0</v>
      </c>
      <c r="M23" s="906">
        <v>0</v>
      </c>
    </row>
    <row r="24" spans="1:13" ht="14.25" customHeight="1">
      <c r="A24" s="727" t="s">
        <v>29</v>
      </c>
      <c r="B24" s="42"/>
      <c r="C24" s="59">
        <f>'Detailed Uses'!$Q$17/2</f>
        <v>9385420.2117513418</v>
      </c>
      <c r="D24" s="59">
        <f>'Detailed Uses'!$Q$17/2</f>
        <v>9385420.2117513418</v>
      </c>
      <c r="E24" s="59">
        <f>'Detailed Uses'!$AA$17/2</f>
        <v>1091133.6289490385</v>
      </c>
      <c r="F24" s="59">
        <f>'Detailed Uses'!$AA$17/2</f>
        <v>1091133.6289490385</v>
      </c>
      <c r="G24" s="60">
        <f>'Detailed Uses'!$AK$17/2</f>
        <v>0</v>
      </c>
      <c r="H24" s="60">
        <f>'Detailed Uses'!$AK$17/2</f>
        <v>0</v>
      </c>
      <c r="I24" s="551">
        <v>0</v>
      </c>
      <c r="J24" s="551">
        <v>0</v>
      </c>
      <c r="K24" s="551">
        <v>0</v>
      </c>
      <c r="L24" s="551">
        <v>0</v>
      </c>
      <c r="M24" s="914">
        <v>0</v>
      </c>
    </row>
    <row r="25" spans="1:13" ht="14" customHeight="1">
      <c r="A25" s="852" t="s">
        <v>32</v>
      </c>
      <c r="B25" s="33"/>
      <c r="C25" s="58">
        <f ca="1">SUM(C19:C24)</f>
        <v>80440309.06493412</v>
      </c>
      <c r="D25" s="58">
        <f t="shared" ref="D25:L25" ca="1" si="7">SUM(D19:D24)</f>
        <v>80440309.06493412</v>
      </c>
      <c r="E25" s="58">
        <f t="shared" ca="1" si="7"/>
        <v>25686859.357642662</v>
      </c>
      <c r="F25" s="58">
        <f t="shared" ca="1" si="7"/>
        <v>25686859.357642662</v>
      </c>
      <c r="G25" s="58">
        <f t="shared" ca="1" si="7"/>
        <v>0</v>
      </c>
      <c r="H25" s="58">
        <f t="shared" ca="1" si="7"/>
        <v>0</v>
      </c>
      <c r="I25" s="58">
        <f t="shared" si="7"/>
        <v>0</v>
      </c>
      <c r="J25" s="58">
        <f t="shared" si="7"/>
        <v>0</v>
      </c>
      <c r="K25" s="58">
        <f t="shared" si="7"/>
        <v>0</v>
      </c>
      <c r="L25" s="58">
        <f t="shared" si="7"/>
        <v>0</v>
      </c>
      <c r="M25" s="711">
        <f t="shared" ref="M25" si="8">SUM(M19:M24)</f>
        <v>0</v>
      </c>
    </row>
    <row r="26" spans="1:13" ht="18" customHeight="1">
      <c r="A26" s="573" t="s">
        <v>33</v>
      </c>
      <c r="B26" s="62"/>
      <c r="C26" s="549"/>
      <c r="D26" s="550"/>
      <c r="E26" s="550"/>
      <c r="F26" s="550"/>
      <c r="G26" s="550"/>
      <c r="H26" s="550"/>
      <c r="I26" s="550"/>
      <c r="J26" s="550"/>
      <c r="K26" s="550"/>
      <c r="L26" s="550"/>
      <c r="M26" s="915"/>
    </row>
    <row r="27" spans="1:13" ht="14" customHeight="1">
      <c r="A27" s="709" t="s">
        <v>34</v>
      </c>
      <c r="B27" s="266"/>
      <c r="C27" s="266">
        <f>C16</f>
        <v>0</v>
      </c>
      <c r="D27" s="266">
        <f t="shared" ref="D27:L27" si="9">D16</f>
        <v>0</v>
      </c>
      <c r="E27" s="266">
        <f t="shared" si="9"/>
        <v>9524301.9297911972</v>
      </c>
      <c r="F27" s="266">
        <f t="shared" si="9"/>
        <v>19429575.936774045</v>
      </c>
      <c r="G27" s="266">
        <f t="shared" si="9"/>
        <v>22498062.412232462</v>
      </c>
      <c r="H27" s="266">
        <f t="shared" si="9"/>
        <v>25681516.516334496</v>
      </c>
      <c r="I27" s="266">
        <f t="shared" si="9"/>
        <v>26195146.846661188</v>
      </c>
      <c r="J27" s="266">
        <f t="shared" si="9"/>
        <v>26719049.783594415</v>
      </c>
      <c r="K27" s="266">
        <f t="shared" si="9"/>
        <v>27253430.779266298</v>
      </c>
      <c r="L27" s="266">
        <f t="shared" si="9"/>
        <v>27798499.394851629</v>
      </c>
      <c r="M27" s="730">
        <f>M16</f>
        <v>28354469.382748656</v>
      </c>
    </row>
    <row r="28" spans="1:13" ht="14" customHeight="1">
      <c r="A28" s="709" t="s">
        <v>162</v>
      </c>
      <c r="B28" s="266"/>
      <c r="C28" s="266"/>
      <c r="D28" s="267"/>
      <c r="E28" s="267"/>
      <c r="F28" s="267">
        <f>F27/6.5%</f>
        <v>298916552.87344682</v>
      </c>
      <c r="G28" s="267"/>
      <c r="H28" s="267">
        <f>H27/6.5%</f>
        <v>395100254.09745377</v>
      </c>
      <c r="I28" s="267"/>
      <c r="J28" s="267">
        <f>J27/6.5%</f>
        <v>411062304.36299098</v>
      </c>
      <c r="K28" s="267"/>
      <c r="L28" s="267"/>
      <c r="M28" s="726">
        <f>M27/6.5%</f>
        <v>436222605.88844085</v>
      </c>
    </row>
    <row r="29" spans="1:13" ht="14" customHeight="1">
      <c r="A29" s="709" t="s">
        <v>163</v>
      </c>
      <c r="B29" s="266"/>
      <c r="C29" s="266"/>
      <c r="D29" s="267"/>
      <c r="E29" s="267"/>
      <c r="F29" s="267"/>
      <c r="G29" s="267"/>
      <c r="H29" s="267"/>
      <c r="I29" s="267"/>
      <c r="J29" s="267"/>
      <c r="K29" s="267"/>
      <c r="L29" s="267"/>
      <c r="M29" s="726">
        <f>M28*-0.02</f>
        <v>-8724452.1177688166</v>
      </c>
    </row>
    <row r="30" spans="1:13" ht="14" customHeight="1">
      <c r="A30" s="727" t="s">
        <v>32</v>
      </c>
      <c r="B30" s="109"/>
      <c r="C30" s="109">
        <f ca="1">-C25</f>
        <v>-80440309.06493412</v>
      </c>
      <c r="D30" s="109">
        <f t="shared" ref="D30:L30" ca="1" si="10">-D25</f>
        <v>-80440309.06493412</v>
      </c>
      <c r="E30" s="109">
        <f t="shared" ca="1" si="10"/>
        <v>-25686859.357642662</v>
      </c>
      <c r="F30" s="109">
        <f t="shared" ca="1" si="10"/>
        <v>-25686859.357642662</v>
      </c>
      <c r="G30" s="109">
        <f t="shared" ca="1" si="10"/>
        <v>0</v>
      </c>
      <c r="H30" s="109">
        <f t="shared" ca="1" si="10"/>
        <v>0</v>
      </c>
      <c r="I30" s="109">
        <f t="shared" si="10"/>
        <v>0</v>
      </c>
      <c r="J30" s="109">
        <f t="shared" si="10"/>
        <v>0</v>
      </c>
      <c r="K30" s="109">
        <f t="shared" si="10"/>
        <v>0</v>
      </c>
      <c r="L30" s="109">
        <f t="shared" si="10"/>
        <v>0</v>
      </c>
      <c r="M30" s="731">
        <f>-M25</f>
        <v>0</v>
      </c>
    </row>
    <row r="31" spans="1:13" ht="14" customHeight="1" thickBot="1">
      <c r="A31" s="916" t="s">
        <v>37</v>
      </c>
      <c r="B31" s="295"/>
      <c r="C31" s="295">
        <f ca="1">C27+C30</f>
        <v>-80440309.06493412</v>
      </c>
      <c r="D31" s="295">
        <f t="shared" ref="D31:K31" ca="1" si="11">D27+D30</f>
        <v>-80440309.06493412</v>
      </c>
      <c r="E31" s="295">
        <f t="shared" ca="1" si="11"/>
        <v>-16162557.427851465</v>
      </c>
      <c r="F31" s="295">
        <f t="shared" ca="1" si="11"/>
        <v>-6257283.4208686166</v>
      </c>
      <c r="G31" s="295">
        <f t="shared" ca="1" si="11"/>
        <v>22498062.412232462</v>
      </c>
      <c r="H31" s="295">
        <f t="shared" ca="1" si="11"/>
        <v>25681516.516334496</v>
      </c>
      <c r="I31" s="295">
        <f t="shared" si="11"/>
        <v>26195146.846661188</v>
      </c>
      <c r="J31" s="295">
        <f t="shared" si="11"/>
        <v>26719049.783594415</v>
      </c>
      <c r="K31" s="295">
        <f t="shared" si="11"/>
        <v>27253430.779266298</v>
      </c>
      <c r="L31" s="295">
        <f>L27+L30</f>
        <v>27798499.394851629</v>
      </c>
      <c r="M31" s="917">
        <f>SUM(M27:M30)</f>
        <v>455852623.15342069</v>
      </c>
    </row>
    <row r="32" spans="1:13" ht="18" customHeight="1">
      <c r="A32" s="733" t="s">
        <v>40</v>
      </c>
      <c r="B32" s="261">
        <f ca="1">C31+NPV(B36,D31:M31)</f>
        <v>157440110.37302268</v>
      </c>
      <c r="C32" s="52"/>
      <c r="D32" s="49"/>
      <c r="E32" s="49"/>
      <c r="F32" s="49"/>
      <c r="G32" s="49"/>
      <c r="H32" s="49"/>
      <c r="I32" s="49"/>
      <c r="J32" s="49"/>
      <c r="K32" s="49"/>
      <c r="L32" s="49"/>
      <c r="M32" s="918"/>
    </row>
    <row r="33" spans="1:14" ht="18" customHeight="1">
      <c r="A33" s="735" t="s">
        <v>42</v>
      </c>
      <c r="B33" s="50">
        <f ca="1">IRR(C31:M31)</f>
        <v>0.15824090747354336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736"/>
    </row>
    <row r="34" spans="1:14" ht="18" customHeight="1">
      <c r="A34" s="735" t="s">
        <v>173</v>
      </c>
      <c r="B34" s="50"/>
      <c r="C34" s="260">
        <f ca="1">C30-(SUM('Summary Board II -  S+U'!F31:F33)*C30/'Summary Board II -  S+U'!F39)</f>
        <v>-24855272.060884453</v>
      </c>
      <c r="D34" s="260">
        <f ca="1">C34</f>
        <v>-24855272.060884453</v>
      </c>
      <c r="E34" s="260">
        <f ca="1">E30-(SUM('Summary Board II -  S+U'!H31:H33)*E30/'Summary Board II -  S+U'!H39)</f>
        <v>-3605930.6937839277</v>
      </c>
      <c r="F34" s="260">
        <f ca="1">E34</f>
        <v>-3605930.6937839277</v>
      </c>
      <c r="G34" s="260">
        <f t="shared" ref="G34:H34" ca="1" si="12">G31</f>
        <v>22498062.412232462</v>
      </c>
      <c r="H34" s="260">
        <f t="shared" ca="1" si="12"/>
        <v>25681516.516334496</v>
      </c>
      <c r="I34" s="260">
        <f>I31</f>
        <v>26195146.846661188</v>
      </c>
      <c r="J34" s="260">
        <f>J31</f>
        <v>26719049.783594415</v>
      </c>
      <c r="K34" s="260">
        <f>K31</f>
        <v>27253430.779266298</v>
      </c>
      <c r="L34" s="260">
        <f>L31</f>
        <v>27798499.394851629</v>
      </c>
      <c r="M34" s="905">
        <f>M31</f>
        <v>455852623.15342069</v>
      </c>
    </row>
    <row r="35" spans="1:14" ht="18" customHeight="1" thickBot="1">
      <c r="A35" s="738" t="s">
        <v>44</v>
      </c>
      <c r="B35" s="739">
        <f ca="1">IRR(C34:M34)</f>
        <v>0.35157442951714413</v>
      </c>
      <c r="C35" s="740"/>
      <c r="D35" s="740"/>
      <c r="E35" s="740"/>
      <c r="F35" s="740"/>
      <c r="G35" s="740"/>
      <c r="H35" s="740"/>
      <c r="I35" s="740"/>
      <c r="J35" s="740"/>
      <c r="K35" s="740"/>
      <c r="L35" s="740"/>
      <c r="M35" s="741"/>
    </row>
    <row r="36" spans="1:14" ht="14" hidden="1" thickBot="1">
      <c r="A36" s="73"/>
      <c r="B36" s="138">
        <v>7.0000000000000007E-2</v>
      </c>
      <c r="C36" s="139"/>
      <c r="D36" s="73"/>
      <c r="E36" s="73"/>
      <c r="F36" s="144">
        <f>F28</f>
        <v>298916552.87344682</v>
      </c>
      <c r="G36" s="73"/>
      <c r="H36" s="144">
        <f>H28-(F36*1.02^2)</f>
        <v>84107472.487919688</v>
      </c>
      <c r="I36" s="73"/>
      <c r="J36" s="144">
        <f>J28-H28</f>
        <v>15962050.265537202</v>
      </c>
      <c r="K36" s="73"/>
      <c r="L36" s="73"/>
      <c r="M36" s="73"/>
    </row>
    <row r="37" spans="1:14" hidden="1">
      <c r="A37" s="145"/>
      <c r="B37" s="1017"/>
      <c r="C37" s="1017"/>
      <c r="D37" s="654"/>
      <c r="E37" s="654"/>
      <c r="F37" s="654"/>
      <c r="G37" s="654"/>
      <c r="H37" s="654"/>
      <c r="I37" s="654"/>
      <c r="J37" s="654"/>
      <c r="K37" s="654"/>
      <c r="L37" s="654"/>
      <c r="M37" s="654"/>
      <c r="N37" s="146"/>
    </row>
    <row r="38" spans="1:14" hidden="1">
      <c r="A38" s="147" t="s">
        <v>182</v>
      </c>
      <c r="B38" s="614"/>
      <c r="C38" s="823" t="s">
        <v>8</v>
      </c>
      <c r="D38" s="823">
        <v>2022</v>
      </c>
      <c r="E38" s="823">
        <f t="shared" ref="E38" si="13">D38+1</f>
        <v>2023</v>
      </c>
      <c r="F38" s="823">
        <f t="shared" ref="F38" si="14">E38+1</f>
        <v>2024</v>
      </c>
      <c r="G38" s="823">
        <f t="shared" ref="G38" si="15">F38+1</f>
        <v>2025</v>
      </c>
      <c r="H38" s="823">
        <f t="shared" ref="H38" si="16">G38+1</f>
        <v>2026</v>
      </c>
      <c r="I38" s="823">
        <f t="shared" ref="I38" si="17">H38+1</f>
        <v>2027</v>
      </c>
      <c r="J38" s="823">
        <f t="shared" ref="J38" si="18">I38+1</f>
        <v>2028</v>
      </c>
      <c r="K38" s="823">
        <f t="shared" ref="K38" si="19">J38+1</f>
        <v>2029</v>
      </c>
      <c r="L38" s="823">
        <f t="shared" ref="L38" si="20">K38+1</f>
        <v>2030</v>
      </c>
      <c r="M38" s="824">
        <f t="shared" ref="M38:N38" si="21">L38+1</f>
        <v>2031</v>
      </c>
      <c r="N38" s="824">
        <f t="shared" si="21"/>
        <v>2032</v>
      </c>
    </row>
    <row r="39" spans="1:14" hidden="1">
      <c r="A39" s="151" t="s">
        <v>4</v>
      </c>
      <c r="B39" s="614"/>
      <c r="C39" s="1018">
        <v>0</v>
      </c>
      <c r="D39" s="1018">
        <v>0</v>
      </c>
      <c r="E39" s="1019">
        <v>682049</v>
      </c>
      <c r="F39" s="1019">
        <v>682049</v>
      </c>
      <c r="G39" s="1019">
        <v>682049</v>
      </c>
      <c r="H39" s="1019">
        <v>682049</v>
      </c>
      <c r="I39" s="1019">
        <v>682049</v>
      </c>
      <c r="J39" s="1019">
        <v>682049</v>
      </c>
      <c r="K39" s="1019">
        <v>682049</v>
      </c>
      <c r="L39" s="1019">
        <v>682049</v>
      </c>
      <c r="M39" s="1019">
        <v>682049</v>
      </c>
      <c r="N39" s="1020">
        <v>682049</v>
      </c>
    </row>
    <row r="40" spans="1:14" hidden="1">
      <c r="A40" s="147" t="s">
        <v>5</v>
      </c>
      <c r="B40" s="614"/>
      <c r="C40" s="1018">
        <v>0</v>
      </c>
      <c r="D40" s="1018">
        <v>0</v>
      </c>
      <c r="E40" s="1019">
        <v>0</v>
      </c>
      <c r="F40" s="1019">
        <v>0</v>
      </c>
      <c r="G40" s="1019">
        <v>184459</v>
      </c>
      <c r="H40" s="1019">
        <v>184459</v>
      </c>
      <c r="I40" s="1019">
        <v>184459</v>
      </c>
      <c r="J40" s="1019">
        <v>184459</v>
      </c>
      <c r="K40" s="1019">
        <v>184459</v>
      </c>
      <c r="L40" s="1019">
        <v>184459</v>
      </c>
      <c r="M40" s="1019">
        <v>184459</v>
      </c>
      <c r="N40" s="1020">
        <v>184459</v>
      </c>
    </row>
    <row r="41" spans="1:14" hidden="1">
      <c r="A41" s="147" t="s">
        <v>6</v>
      </c>
      <c r="B41" s="614"/>
      <c r="C41" s="1018">
        <v>0</v>
      </c>
      <c r="D41" s="1018">
        <v>0</v>
      </c>
      <c r="E41" s="1019">
        <v>0</v>
      </c>
      <c r="F41" s="1019">
        <v>0</v>
      </c>
      <c r="G41" s="1019">
        <v>0</v>
      </c>
      <c r="H41" s="1019">
        <v>0</v>
      </c>
      <c r="I41" s="1019">
        <v>0</v>
      </c>
      <c r="J41" s="1019">
        <v>0</v>
      </c>
      <c r="K41" s="1019">
        <v>0</v>
      </c>
      <c r="L41" s="1019">
        <v>0</v>
      </c>
      <c r="M41" s="1019">
        <v>0</v>
      </c>
      <c r="N41" s="1020">
        <v>0</v>
      </c>
    </row>
    <row r="42" spans="1:14" hidden="1">
      <c r="A42" s="151" t="s">
        <v>183</v>
      </c>
      <c r="B42" s="614"/>
      <c r="C42" s="1018">
        <f>SUM(C39:C41)</f>
        <v>0</v>
      </c>
      <c r="D42" s="1018">
        <f t="shared" ref="D42:N42" si="22">SUM(D39:D41)</f>
        <v>0</v>
      </c>
      <c r="E42" s="1018">
        <f t="shared" si="22"/>
        <v>682049</v>
      </c>
      <c r="F42" s="1018">
        <f t="shared" si="22"/>
        <v>682049</v>
      </c>
      <c r="G42" s="1018">
        <f t="shared" si="22"/>
        <v>866508</v>
      </c>
      <c r="H42" s="1018">
        <f t="shared" si="22"/>
        <v>866508</v>
      </c>
      <c r="I42" s="1018">
        <f t="shared" si="22"/>
        <v>866508</v>
      </c>
      <c r="J42" s="1018">
        <f t="shared" si="22"/>
        <v>866508</v>
      </c>
      <c r="K42" s="1018">
        <f t="shared" si="22"/>
        <v>866508</v>
      </c>
      <c r="L42" s="1018">
        <f t="shared" si="22"/>
        <v>866508</v>
      </c>
      <c r="M42" s="1018">
        <f t="shared" si="22"/>
        <v>866508</v>
      </c>
      <c r="N42" s="1021">
        <f t="shared" si="22"/>
        <v>866508</v>
      </c>
    </row>
    <row r="43" spans="1:14" hidden="1">
      <c r="A43" s="151" t="s">
        <v>184</v>
      </c>
      <c r="B43" s="614"/>
      <c r="C43" s="1018"/>
      <c r="D43" s="1019"/>
      <c r="E43" s="1019"/>
      <c r="F43" s="1019"/>
      <c r="G43" s="1019"/>
      <c r="H43" s="1019"/>
      <c r="I43" s="1019"/>
      <c r="J43" s="1019"/>
      <c r="K43" s="1019"/>
      <c r="L43" s="1019"/>
      <c r="M43" s="1019"/>
      <c r="N43" s="1020"/>
    </row>
    <row r="44" spans="1:14" hidden="1">
      <c r="A44" s="147" t="s">
        <v>4</v>
      </c>
      <c r="B44" s="614"/>
      <c r="C44" s="1018">
        <v>0</v>
      </c>
      <c r="D44" s="1018">
        <v>0</v>
      </c>
      <c r="E44" s="1019">
        <f>E39/2</f>
        <v>341024.5</v>
      </c>
      <c r="F44" s="1019">
        <v>682049</v>
      </c>
      <c r="G44" s="1019">
        <v>682049</v>
      </c>
      <c r="H44" s="1019">
        <v>682049</v>
      </c>
      <c r="I44" s="1019">
        <v>682049</v>
      </c>
      <c r="J44" s="1019">
        <v>682049</v>
      </c>
      <c r="K44" s="1019">
        <v>682049</v>
      </c>
      <c r="L44" s="1019">
        <v>682049</v>
      </c>
      <c r="M44" s="1019">
        <v>682049</v>
      </c>
      <c r="N44" s="1020">
        <v>682049</v>
      </c>
    </row>
    <row r="45" spans="1:14" hidden="1">
      <c r="A45" s="147" t="s">
        <v>5</v>
      </c>
      <c r="B45" s="614"/>
      <c r="C45" s="1018">
        <v>0</v>
      </c>
      <c r="D45" s="1018">
        <v>0</v>
      </c>
      <c r="E45" s="1019">
        <v>0</v>
      </c>
      <c r="F45" s="1019">
        <v>0</v>
      </c>
      <c r="G45" s="1019">
        <f>G40/2</f>
        <v>92229.5</v>
      </c>
      <c r="H45" s="1019">
        <v>184459</v>
      </c>
      <c r="I45" s="1019">
        <v>184459</v>
      </c>
      <c r="J45" s="1019">
        <v>184459</v>
      </c>
      <c r="K45" s="1019">
        <v>184459</v>
      </c>
      <c r="L45" s="1019">
        <v>184459</v>
      </c>
      <c r="M45" s="1019">
        <v>184459</v>
      </c>
      <c r="N45" s="1020">
        <v>184459</v>
      </c>
    </row>
    <row r="46" spans="1:14" hidden="1">
      <c r="A46" s="147" t="s">
        <v>6</v>
      </c>
      <c r="B46" s="614"/>
      <c r="C46" s="1018">
        <v>0</v>
      </c>
      <c r="D46" s="1018">
        <v>0</v>
      </c>
      <c r="E46" s="1019">
        <v>0</v>
      </c>
      <c r="F46" s="1019">
        <v>0</v>
      </c>
      <c r="G46" s="1019">
        <v>0</v>
      </c>
      <c r="H46" s="1019">
        <v>0</v>
      </c>
      <c r="I46" s="1019">
        <v>0</v>
      </c>
      <c r="J46" s="1019">
        <v>0</v>
      </c>
      <c r="K46" s="1019">
        <v>0</v>
      </c>
      <c r="L46" s="1019">
        <v>0</v>
      </c>
      <c r="M46" s="1019">
        <v>0</v>
      </c>
      <c r="N46" s="1020">
        <v>0</v>
      </c>
    </row>
    <row r="47" spans="1:14" ht="14" hidden="1" thickBot="1">
      <c r="A47" s="598" t="s">
        <v>55</v>
      </c>
      <c r="B47" s="1022"/>
      <c r="C47" s="1023">
        <f>SUM(C44:C46)</f>
        <v>0</v>
      </c>
      <c r="D47" s="1023">
        <f t="shared" ref="D47" si="23">SUM(D44:D46)</f>
        <v>0</v>
      </c>
      <c r="E47" s="1023">
        <f t="shared" ref="E47" si="24">SUM(E44:E46)</f>
        <v>341024.5</v>
      </c>
      <c r="F47" s="1023">
        <f t="shared" ref="F47" si="25">SUM(F44:F46)</f>
        <v>682049</v>
      </c>
      <c r="G47" s="1023">
        <f t="shared" ref="G47" si="26">SUM(G44:G46)</f>
        <v>774278.5</v>
      </c>
      <c r="H47" s="1023">
        <f t="shared" ref="H47" si="27">SUM(H44:H46)</f>
        <v>866508</v>
      </c>
      <c r="I47" s="1023">
        <f t="shared" ref="I47" si="28">SUM(I44:I46)</f>
        <v>866508</v>
      </c>
      <c r="J47" s="1023">
        <f t="shared" ref="J47" si="29">SUM(J44:J46)</f>
        <v>866508</v>
      </c>
      <c r="K47" s="1023">
        <f t="shared" ref="K47" si="30">SUM(K44:K46)</f>
        <v>866508</v>
      </c>
      <c r="L47" s="1023">
        <f t="shared" ref="L47" si="31">SUM(L44:L46)</f>
        <v>866508</v>
      </c>
      <c r="M47" s="1023">
        <f t="shared" ref="M47" si="32">SUM(M44:M46)</f>
        <v>866508</v>
      </c>
      <c r="N47" s="1024">
        <f t="shared" ref="N47" si="33">SUM(N44:N46)</f>
        <v>866508</v>
      </c>
    </row>
    <row r="48" spans="1:14" hidden="1"/>
    <row r="49" spans="2:5" hidden="1"/>
    <row r="50" spans="2:5" hidden="1">
      <c r="E50" s="2">
        <f>E42/G42</f>
        <v>0.78712371957327576</v>
      </c>
    </row>
    <row r="51" spans="2:5" ht="14" hidden="1" thickBot="1"/>
    <row r="52" spans="2:5" hidden="1">
      <c r="B52" s="1007" t="s">
        <v>185</v>
      </c>
      <c r="C52" s="1025">
        <v>223237127</v>
      </c>
    </row>
    <row r="53" spans="2:5" hidden="1">
      <c r="B53" s="1010" t="s">
        <v>186</v>
      </c>
      <c r="C53" s="1026">
        <v>176531611</v>
      </c>
    </row>
    <row r="54" spans="2:5" hidden="1">
      <c r="B54" s="1010" t="s">
        <v>187</v>
      </c>
      <c r="C54" s="1026">
        <v>46705516</v>
      </c>
    </row>
    <row r="55" spans="2:5" hidden="1">
      <c r="B55" s="1010"/>
      <c r="C55" s="1015"/>
    </row>
    <row r="56" spans="2:5" hidden="1">
      <c r="B56" s="1010" t="s">
        <v>188</v>
      </c>
      <c r="C56" s="1015">
        <f>26102130</f>
        <v>26102130</v>
      </c>
    </row>
    <row r="57" spans="2:5" hidden="1">
      <c r="B57" s="1010" t="s">
        <v>189</v>
      </c>
      <c r="C57" s="1015">
        <f>5452230</f>
        <v>5452230</v>
      </c>
    </row>
    <row r="58" spans="2:5" hidden="1">
      <c r="B58" s="1010" t="s">
        <v>190</v>
      </c>
      <c r="C58" s="1015">
        <v>4613265</v>
      </c>
    </row>
    <row r="59" spans="2:5" hidden="1">
      <c r="B59" s="1010"/>
      <c r="C59" s="1015"/>
    </row>
    <row r="60" spans="2:5" hidden="1">
      <c r="B60" s="1010"/>
      <c r="C60" s="1015"/>
    </row>
    <row r="61" spans="2:5" ht="14" hidden="1" thickBot="1">
      <c r="B61" s="1012" t="s">
        <v>183</v>
      </c>
      <c r="C61" s="1016">
        <v>2981484</v>
      </c>
    </row>
  </sheetData>
  <phoneticPr fontId="2" type="noConversion"/>
  <pageMargins left="0.5" right="0.5" top="1" bottom="0.5" header="0.5" footer="0.5"/>
  <pageSetup orientation="landscape" r:id="rId1"/>
  <headerFooter alignWithMargins="0">
    <oddHeader>&amp;L&amp;"Arial,Bold"6. Income Statement: Office/Commercial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53"/>
  <sheetViews>
    <sheetView zoomScaleNormal="100" workbookViewId="0">
      <selection activeCell="M1" sqref="L1:M1"/>
    </sheetView>
  </sheetViews>
  <sheetFormatPr baseColWidth="10" defaultColWidth="9.1640625" defaultRowHeight="13"/>
  <cols>
    <col min="1" max="1" width="23" style="2" customWidth="1"/>
    <col min="2" max="3" width="15.6640625" style="3" customWidth="1"/>
    <col min="4" max="13" width="15.6640625" style="2" customWidth="1"/>
    <col min="14" max="16384" width="9.1640625" style="2"/>
  </cols>
  <sheetData>
    <row r="1" spans="1:13" ht="14" customHeight="1" thickBot="1">
      <c r="L1" s="1065" t="s">
        <v>1</v>
      </c>
      <c r="M1" s="1064" t="s">
        <v>2</v>
      </c>
    </row>
    <row r="2" spans="1:13" ht="14" customHeight="1" thickBot="1">
      <c r="A2" s="8"/>
      <c r="B2" s="7"/>
      <c r="C2" s="7"/>
      <c r="D2" s="8"/>
      <c r="E2" s="8"/>
      <c r="F2" s="8"/>
      <c r="G2" s="8"/>
      <c r="H2" s="8"/>
      <c r="I2" s="8"/>
      <c r="J2" s="8"/>
      <c r="K2" s="8"/>
      <c r="L2" s="20"/>
      <c r="M2" s="21"/>
    </row>
    <row r="3" spans="1:13" ht="14" customHeight="1">
      <c r="A3" s="570"/>
      <c r="B3" s="703"/>
      <c r="C3" s="703" t="s">
        <v>3</v>
      </c>
      <c r="D3" s="571" t="s">
        <v>4</v>
      </c>
      <c r="E3" s="571" t="s">
        <v>4</v>
      </c>
      <c r="F3" s="571"/>
      <c r="G3" s="571" t="s">
        <v>5</v>
      </c>
      <c r="H3" s="571"/>
      <c r="I3" s="571" t="s">
        <v>6</v>
      </c>
      <c r="J3" s="571"/>
      <c r="K3" s="571"/>
      <c r="L3" s="571"/>
      <c r="M3" s="572"/>
    </row>
    <row r="4" spans="1:13" ht="14" customHeight="1">
      <c r="A4" s="573"/>
      <c r="B4" s="823" t="s">
        <v>94</v>
      </c>
      <c r="C4" s="823" t="s">
        <v>8</v>
      </c>
      <c r="D4" s="823">
        <v>2022</v>
      </c>
      <c r="E4" s="823">
        <f t="shared" ref="E4:M4" si="0">D4+1</f>
        <v>2023</v>
      </c>
      <c r="F4" s="823">
        <f t="shared" si="0"/>
        <v>2024</v>
      </c>
      <c r="G4" s="823">
        <f t="shared" si="0"/>
        <v>2025</v>
      </c>
      <c r="H4" s="823">
        <f t="shared" si="0"/>
        <v>2026</v>
      </c>
      <c r="I4" s="823">
        <f t="shared" si="0"/>
        <v>2027</v>
      </c>
      <c r="J4" s="823">
        <f t="shared" si="0"/>
        <v>2028</v>
      </c>
      <c r="K4" s="823">
        <f t="shared" si="0"/>
        <v>2029</v>
      </c>
      <c r="L4" s="823">
        <f t="shared" si="0"/>
        <v>2030</v>
      </c>
      <c r="M4" s="824">
        <f t="shared" si="0"/>
        <v>2031</v>
      </c>
    </row>
    <row r="5" spans="1:13" ht="18" customHeight="1">
      <c r="A5" s="449" t="s">
        <v>174</v>
      </c>
      <c r="B5" s="33"/>
      <c r="C5" s="33"/>
      <c r="D5" s="34"/>
      <c r="E5" s="34"/>
      <c r="F5" s="34"/>
      <c r="G5" s="34"/>
      <c r="H5" s="34"/>
      <c r="I5" s="34"/>
      <c r="J5" s="34"/>
      <c r="K5" s="34"/>
      <c r="L5" s="34"/>
      <c r="M5" s="229"/>
    </row>
    <row r="6" spans="1:13" ht="14" customHeight="1">
      <c r="A6" s="709" t="s">
        <v>191</v>
      </c>
      <c r="B6" s="36">
        <v>0.02</v>
      </c>
      <c r="C6" s="37">
        <v>50</v>
      </c>
      <c r="D6" s="37">
        <f>C6*1.02</f>
        <v>51</v>
      </c>
      <c r="E6" s="37">
        <f t="shared" ref="E6:M6" si="1">D6*1.02</f>
        <v>52.02</v>
      </c>
      <c r="F6" s="37">
        <f t="shared" si="1"/>
        <v>53.060400000000001</v>
      </c>
      <c r="G6" s="37">
        <f t="shared" si="1"/>
        <v>54.121608000000002</v>
      </c>
      <c r="H6" s="37">
        <f t="shared" si="1"/>
        <v>55.204040160000005</v>
      </c>
      <c r="I6" s="37">
        <f t="shared" si="1"/>
        <v>56.308120963200004</v>
      </c>
      <c r="J6" s="37">
        <f t="shared" si="1"/>
        <v>57.434283382464002</v>
      </c>
      <c r="K6" s="37">
        <f t="shared" si="1"/>
        <v>58.582969050113284</v>
      </c>
      <c r="L6" s="37">
        <f t="shared" si="1"/>
        <v>59.754628431115549</v>
      </c>
      <c r="M6" s="714">
        <f t="shared" si="1"/>
        <v>60.949720999737863</v>
      </c>
    </row>
    <row r="7" spans="1:13" ht="14" customHeight="1">
      <c r="A7" s="709" t="s">
        <v>176</v>
      </c>
      <c r="B7" s="33" t="s">
        <v>54</v>
      </c>
      <c r="C7" s="33">
        <v>0</v>
      </c>
      <c r="D7" s="35">
        <v>0</v>
      </c>
      <c r="E7" s="38">
        <f>C38-10000</f>
        <v>12489</v>
      </c>
      <c r="F7" s="38">
        <f>E7</f>
        <v>12489</v>
      </c>
      <c r="G7" s="38">
        <f>SUM(C38:C39)-G12</f>
        <v>84202</v>
      </c>
      <c r="H7" s="38">
        <f>G7</f>
        <v>84202</v>
      </c>
      <c r="I7" s="38">
        <f>SUM(C38:C40)-I12</f>
        <v>99094</v>
      </c>
      <c r="J7" s="38">
        <f>I7</f>
        <v>99094</v>
      </c>
      <c r="K7" s="38">
        <f t="shared" ref="K7:M7" si="2">J7</f>
        <v>99094</v>
      </c>
      <c r="L7" s="38">
        <f t="shared" si="2"/>
        <v>99094</v>
      </c>
      <c r="M7" s="919">
        <f t="shared" si="2"/>
        <v>99094</v>
      </c>
    </row>
    <row r="8" spans="1:13" ht="14" customHeight="1">
      <c r="A8" s="709" t="s">
        <v>177</v>
      </c>
      <c r="B8" s="36">
        <v>0.9</v>
      </c>
      <c r="C8" s="33">
        <v>0</v>
      </c>
      <c r="D8" s="35">
        <v>0</v>
      </c>
      <c r="E8" s="314">
        <f>0.9*E7</f>
        <v>11240.1</v>
      </c>
      <c r="F8" s="314">
        <f t="shared" ref="F8:M9" si="3">0.9*F7</f>
        <v>11240.1</v>
      </c>
      <c r="G8" s="314">
        <f t="shared" si="3"/>
        <v>75781.8</v>
      </c>
      <c r="H8" s="314">
        <f t="shared" si="3"/>
        <v>75781.8</v>
      </c>
      <c r="I8" s="314">
        <f t="shared" si="3"/>
        <v>89184.6</v>
      </c>
      <c r="J8" s="314">
        <f t="shared" si="3"/>
        <v>89184.6</v>
      </c>
      <c r="K8" s="314">
        <f t="shared" si="3"/>
        <v>89184.6</v>
      </c>
      <c r="L8" s="314">
        <f t="shared" si="3"/>
        <v>89184.6</v>
      </c>
      <c r="M8" s="920">
        <f t="shared" si="3"/>
        <v>89184.6</v>
      </c>
    </row>
    <row r="9" spans="1:13" ht="14" customHeight="1">
      <c r="A9" s="709" t="s">
        <v>178</v>
      </c>
      <c r="B9" s="36"/>
      <c r="C9" s="36"/>
      <c r="D9" s="35"/>
      <c r="E9" s="314">
        <f>0.5*E8</f>
        <v>5620.05</v>
      </c>
      <c r="F9" s="314">
        <f>0.9*F8</f>
        <v>10116.09</v>
      </c>
      <c r="G9" s="314">
        <f>F8*0.9+C39*0.5</f>
        <v>45972.59</v>
      </c>
      <c r="H9" s="314">
        <f>0.9*H8</f>
        <v>68203.62000000001</v>
      </c>
      <c r="I9" s="314">
        <f>SUM(C38:C39)*0.9+C40*0.5</f>
        <v>92227.8</v>
      </c>
      <c r="J9" s="314">
        <f>0.9*J8</f>
        <v>80266.140000000014</v>
      </c>
      <c r="K9" s="314">
        <f t="shared" si="3"/>
        <v>80266.140000000014</v>
      </c>
      <c r="L9" s="314">
        <f t="shared" si="3"/>
        <v>80266.140000000014</v>
      </c>
      <c r="M9" s="920">
        <f t="shared" si="3"/>
        <v>80266.140000000014</v>
      </c>
    </row>
    <row r="10" spans="1:13" ht="14" customHeight="1">
      <c r="A10" s="709" t="s">
        <v>192</v>
      </c>
      <c r="B10" s="33">
        <v>7</v>
      </c>
      <c r="C10" s="33"/>
      <c r="D10" s="39"/>
      <c r="E10" s="39">
        <f>E6-$B$10*1.02^3</f>
        <v>44.591544000000006</v>
      </c>
      <c r="F10" s="39">
        <f t="shared" ref="F10:M10" si="4">F6-$B$10*1.02^3</f>
        <v>45.631944000000004</v>
      </c>
      <c r="G10" s="39">
        <f t="shared" si="4"/>
        <v>46.693152000000005</v>
      </c>
      <c r="H10" s="39">
        <f t="shared" si="4"/>
        <v>47.775584160000008</v>
      </c>
      <c r="I10" s="39">
        <f t="shared" si="4"/>
        <v>48.879664963200007</v>
      </c>
      <c r="J10" s="39">
        <f t="shared" si="4"/>
        <v>50.005827382464005</v>
      </c>
      <c r="K10" s="39">
        <f t="shared" si="4"/>
        <v>51.154513050113287</v>
      </c>
      <c r="L10" s="39">
        <f t="shared" si="4"/>
        <v>52.326172431115552</v>
      </c>
      <c r="M10" s="848">
        <f t="shared" si="4"/>
        <v>53.521264999737866</v>
      </c>
    </row>
    <row r="11" spans="1:13" ht="14" customHeight="1">
      <c r="A11" s="709" t="s">
        <v>193</v>
      </c>
      <c r="B11" s="36">
        <v>0.02</v>
      </c>
      <c r="C11" s="33">
        <v>30</v>
      </c>
      <c r="D11" s="37">
        <f>C11*1.02</f>
        <v>30.6</v>
      </c>
      <c r="E11" s="37">
        <f t="shared" ref="E11:M11" si="5">D11*1.02</f>
        <v>31.212000000000003</v>
      </c>
      <c r="F11" s="37">
        <f t="shared" si="5"/>
        <v>31.836240000000004</v>
      </c>
      <c r="G11" s="37">
        <f t="shared" si="5"/>
        <v>32.472964800000007</v>
      </c>
      <c r="H11" s="37">
        <f t="shared" si="5"/>
        <v>33.12242409600001</v>
      </c>
      <c r="I11" s="37">
        <f t="shared" si="5"/>
        <v>33.784872577920012</v>
      </c>
      <c r="J11" s="37">
        <f t="shared" si="5"/>
        <v>34.460570029478411</v>
      </c>
      <c r="K11" s="37">
        <f t="shared" si="5"/>
        <v>35.149781430067982</v>
      </c>
      <c r="L11" s="37">
        <f t="shared" si="5"/>
        <v>35.852777058669339</v>
      </c>
      <c r="M11" s="714">
        <f t="shared" si="5"/>
        <v>36.569832599842726</v>
      </c>
    </row>
    <row r="12" spans="1:13" ht="14" customHeight="1">
      <c r="A12" s="709" t="s">
        <v>176</v>
      </c>
      <c r="B12" s="33" t="s">
        <v>54</v>
      </c>
      <c r="C12" s="33"/>
      <c r="D12" s="39"/>
      <c r="E12" s="314">
        <f>10000</f>
        <v>10000</v>
      </c>
      <c r="F12" s="314">
        <f>10000</f>
        <v>10000</v>
      </c>
      <c r="G12" s="314">
        <f>10000</f>
        <v>10000</v>
      </c>
      <c r="H12" s="314">
        <f>10000</f>
        <v>10000</v>
      </c>
      <c r="I12" s="314">
        <f>10000</f>
        <v>10000</v>
      </c>
      <c r="J12" s="314">
        <f>10000</f>
        <v>10000</v>
      </c>
      <c r="K12" s="314">
        <f>10000</f>
        <v>10000</v>
      </c>
      <c r="L12" s="314">
        <f>10000</f>
        <v>10000</v>
      </c>
      <c r="M12" s="920">
        <f>10000</f>
        <v>10000</v>
      </c>
    </row>
    <row r="13" spans="1:13" ht="18" customHeight="1">
      <c r="A13" s="709" t="s">
        <v>177</v>
      </c>
      <c r="B13" s="36">
        <v>0.9</v>
      </c>
      <c r="C13" s="33"/>
      <c r="D13" s="35"/>
      <c r="E13" s="321">
        <f>E12*0.9</f>
        <v>9000</v>
      </c>
      <c r="F13" s="321">
        <f t="shared" ref="F13:M13" si="6">F12*0.9</f>
        <v>9000</v>
      </c>
      <c r="G13" s="321">
        <f t="shared" si="6"/>
        <v>9000</v>
      </c>
      <c r="H13" s="321">
        <f t="shared" si="6"/>
        <v>9000</v>
      </c>
      <c r="I13" s="321">
        <f t="shared" si="6"/>
        <v>9000</v>
      </c>
      <c r="J13" s="321">
        <f t="shared" si="6"/>
        <v>9000</v>
      </c>
      <c r="K13" s="321">
        <f t="shared" si="6"/>
        <v>9000</v>
      </c>
      <c r="L13" s="321">
        <f t="shared" si="6"/>
        <v>9000</v>
      </c>
      <c r="M13" s="921">
        <f t="shared" si="6"/>
        <v>9000</v>
      </c>
    </row>
    <row r="14" spans="1:13" ht="14" customHeight="1">
      <c r="A14" s="709" t="s">
        <v>178</v>
      </c>
      <c r="B14" s="33"/>
      <c r="C14" s="33">
        <f>C10*C9</f>
        <v>0</v>
      </c>
      <c r="D14" s="39"/>
      <c r="E14" s="314">
        <f>0.5*E13</f>
        <v>4500</v>
      </c>
      <c r="F14" s="314">
        <f>F13</f>
        <v>9000</v>
      </c>
      <c r="G14" s="314">
        <f t="shared" ref="G14:M14" si="7">G13</f>
        <v>9000</v>
      </c>
      <c r="H14" s="314">
        <f t="shared" si="7"/>
        <v>9000</v>
      </c>
      <c r="I14" s="314">
        <f t="shared" si="7"/>
        <v>9000</v>
      </c>
      <c r="J14" s="314">
        <f t="shared" si="7"/>
        <v>9000</v>
      </c>
      <c r="K14" s="314">
        <f t="shared" si="7"/>
        <v>9000</v>
      </c>
      <c r="L14" s="314">
        <f t="shared" si="7"/>
        <v>9000</v>
      </c>
      <c r="M14" s="920">
        <f t="shared" si="7"/>
        <v>9000</v>
      </c>
    </row>
    <row r="15" spans="1:13" s="23" customFormat="1">
      <c r="A15" s="709" t="s">
        <v>192</v>
      </c>
      <c r="B15" s="33">
        <v>7</v>
      </c>
      <c r="C15" s="41"/>
      <c r="D15" s="40"/>
      <c r="E15" s="39">
        <f>E11-$B$10*1.02^3</f>
        <v>23.783544000000003</v>
      </c>
      <c r="F15" s="39">
        <f t="shared" ref="F15:M15" si="8">F11-$B$10*1.02^3</f>
        <v>24.407784000000003</v>
      </c>
      <c r="G15" s="39">
        <f t="shared" si="8"/>
        <v>25.044508800000006</v>
      </c>
      <c r="H15" s="39">
        <f t="shared" si="8"/>
        <v>25.69396809600001</v>
      </c>
      <c r="I15" s="39">
        <f t="shared" si="8"/>
        <v>26.356416577920012</v>
      </c>
      <c r="J15" s="39">
        <f t="shared" si="8"/>
        <v>27.032114029478411</v>
      </c>
      <c r="K15" s="39">
        <f t="shared" si="8"/>
        <v>27.721325430067981</v>
      </c>
      <c r="L15" s="39">
        <f t="shared" si="8"/>
        <v>28.424321058669339</v>
      </c>
      <c r="M15" s="848">
        <f t="shared" si="8"/>
        <v>29.141376599842726</v>
      </c>
    </row>
    <row r="16" spans="1:13" s="23" customFormat="1">
      <c r="A16" s="851" t="s">
        <v>156</v>
      </c>
      <c r="B16" s="307"/>
      <c r="C16" s="308"/>
      <c r="D16" s="308"/>
      <c r="E16" s="308">
        <f>Assumptions!$P$42*'Detailed Uses'!$N$6</f>
        <v>2092.0586284419719</v>
      </c>
      <c r="F16" s="308">
        <f>Assumptions!$P$42*'Detailed Uses'!$N$6</f>
        <v>2092.0586284419719</v>
      </c>
      <c r="G16" s="308">
        <f>(Assumptions!$P$42*'Detailed Uses'!$N$6)+(Assumptions!$R$42*'Detailed Uses'!$X$6)</f>
        <v>12021.08105127739</v>
      </c>
      <c r="H16" s="308">
        <f>(Assumptions!$P$42*'Detailed Uses'!$N$6)+(Assumptions!$R$42*'Detailed Uses'!$X$6)</f>
        <v>12021.08105127739</v>
      </c>
      <c r="I16" s="308">
        <f>(Assumptions!$P$42*'Detailed Uses'!$N$6)+(Assumptions!$R$42*'Detailed Uses'!$X$6)+(Assumptions!$T$42*'Detailed Uses'!$AH$6)</f>
        <v>13544.139945278566</v>
      </c>
      <c r="J16" s="308">
        <f>(Assumptions!$P$42*'Detailed Uses'!$N$6)+(Assumptions!$R$42*'Detailed Uses'!$X$6)+(Assumptions!$T$42*'Detailed Uses'!$AH$6)</f>
        <v>13544.139945278566</v>
      </c>
      <c r="K16" s="308">
        <f>(Assumptions!$P$42*'Detailed Uses'!$N$6)+(Assumptions!$R$42*'Detailed Uses'!$X$6)+(Assumptions!$T$42*'Detailed Uses'!$AH$6)</f>
        <v>13544.139945278566</v>
      </c>
      <c r="L16" s="308">
        <f>(Assumptions!$P$42*'Detailed Uses'!$N$6)+(Assumptions!$R$42*'Detailed Uses'!$X$6)+(Assumptions!$T$42*'Detailed Uses'!$AH$6)</f>
        <v>13544.139945278566</v>
      </c>
      <c r="M16" s="895">
        <f>(Assumptions!$P$42*'Detailed Uses'!$N$6)+(Assumptions!$R$42*'Detailed Uses'!$X$6)+(Assumptions!$T$42*'Detailed Uses'!$AH$6)</f>
        <v>13544.139945278566</v>
      </c>
    </row>
    <row r="17" spans="1:13" ht="14" customHeight="1">
      <c r="A17" s="922" t="s">
        <v>34</v>
      </c>
      <c r="B17" s="42"/>
      <c r="C17" s="42">
        <v>0</v>
      </c>
      <c r="D17" s="43">
        <v>0</v>
      </c>
      <c r="E17" s="43">
        <f>E10*E9+E15*E14</f>
        <v>357632.65485720005</v>
      </c>
      <c r="F17" s="43">
        <f t="shared" ref="F17:M17" si="9">F10*F9+F15*F14</f>
        <v>681286.9083789601</v>
      </c>
      <c r="G17" s="43">
        <f t="shared" si="9"/>
        <v>2372005.7119036801</v>
      </c>
      <c r="H17" s="43">
        <f t="shared" si="9"/>
        <v>3489713.5001906599</v>
      </c>
      <c r="I17" s="43">
        <f t="shared" si="9"/>
        <v>4745271.713494298</v>
      </c>
      <c r="J17" s="43">
        <f t="shared" si="9"/>
        <v>4257063.767761996</v>
      </c>
      <c r="K17" s="43">
        <f t="shared" si="9"/>
        <v>4355467.2349828333</v>
      </c>
      <c r="L17" s="43">
        <f t="shared" si="9"/>
        <v>4455838.7715480858</v>
      </c>
      <c r="M17" s="923">
        <f t="shared" si="9"/>
        <v>4558217.7388446443</v>
      </c>
    </row>
    <row r="18" spans="1:13" ht="18" customHeight="1">
      <c r="A18" s="573" t="s">
        <v>20</v>
      </c>
      <c r="B18" s="62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717"/>
    </row>
    <row r="19" spans="1:13" ht="14" customHeight="1">
      <c r="A19" s="709" t="s">
        <v>159</v>
      </c>
      <c r="B19" s="33"/>
      <c r="C19" s="36">
        <v>0</v>
      </c>
      <c r="D19" s="44">
        <v>0</v>
      </c>
      <c r="E19" s="45">
        <f>$C$38/$C$41</f>
        <v>0.2061433259390984</v>
      </c>
      <c r="F19" s="45">
        <f>$C$38/$C$41</f>
        <v>0.2061433259390984</v>
      </c>
      <c r="G19" s="45">
        <f>SUM($C$38:$C$39)/$C$41</f>
        <v>0.86349386767374925</v>
      </c>
      <c r="H19" s="45">
        <f>SUM($C$38:$C$39)/$C$41</f>
        <v>0.86349386767374925</v>
      </c>
      <c r="I19" s="45">
        <f>100%</f>
        <v>1</v>
      </c>
      <c r="J19" s="45">
        <f>100%</f>
        <v>1</v>
      </c>
      <c r="K19" s="45">
        <f>100%</f>
        <v>1</v>
      </c>
      <c r="L19" s="45">
        <f>100%</f>
        <v>1</v>
      </c>
      <c r="M19" s="855">
        <f>100%</f>
        <v>1</v>
      </c>
    </row>
    <row r="20" spans="1:13" ht="14" customHeight="1">
      <c r="A20" s="709" t="s">
        <v>160</v>
      </c>
      <c r="B20" s="33"/>
      <c r="C20" s="46">
        <f>'Detailed Uses'!$N$25/2</f>
        <v>2279948.7440724415</v>
      </c>
      <c r="D20" s="46">
        <f>'Detailed Uses'!$N$25/2</f>
        <v>2279948.7440724415</v>
      </c>
      <c r="E20" s="46">
        <f>'Detailed Uses'!$X$25/2</f>
        <v>7405602.7740211692</v>
      </c>
      <c r="F20" s="46">
        <f>'Detailed Uses'!$X$25/2</f>
        <v>7405602.7740211692</v>
      </c>
      <c r="G20" s="47">
        <f ca="1">'Detailed Uses'!$AH$25/2</f>
        <v>1535516.5398812266</v>
      </c>
      <c r="H20" s="47">
        <f ca="1">'Detailed Uses'!$AH$25/2</f>
        <v>1535516.5398812266</v>
      </c>
      <c r="I20" s="294">
        <v>0</v>
      </c>
      <c r="J20" s="294">
        <v>0</v>
      </c>
      <c r="K20" s="294">
        <v>0</v>
      </c>
      <c r="L20" s="294">
        <v>0</v>
      </c>
      <c r="M20" s="906">
        <v>0</v>
      </c>
    </row>
    <row r="21" spans="1:13" ht="14" customHeight="1">
      <c r="A21" s="709" t="s">
        <v>161</v>
      </c>
      <c r="B21" s="33"/>
      <c r="C21" s="46">
        <f ca="1">'Detailed Uses'!$N$44/2</f>
        <v>230064.44368318978</v>
      </c>
      <c r="D21" s="46">
        <f ca="1">'Detailed Uses'!$N$44/2</f>
        <v>230064.44368318978</v>
      </c>
      <c r="E21" s="46">
        <f ca="1">'Detailed Uses'!$X$44/2</f>
        <v>874447.77192937129</v>
      </c>
      <c r="F21" s="46">
        <f ca="1">'Detailed Uses'!$X$44/2</f>
        <v>874447.77192937129</v>
      </c>
      <c r="G21" s="47">
        <f ca="1">'Detailed Uses'!$AH$44/2</f>
        <v>194832.6759165774</v>
      </c>
      <c r="H21" s="47">
        <f ca="1">'Detailed Uses'!$AH$44/2</f>
        <v>194832.6759165774</v>
      </c>
      <c r="I21" s="294">
        <v>0</v>
      </c>
      <c r="J21" s="294">
        <v>0</v>
      </c>
      <c r="K21" s="294">
        <v>0</v>
      </c>
      <c r="L21" s="294">
        <v>0</v>
      </c>
      <c r="M21" s="906">
        <v>0</v>
      </c>
    </row>
    <row r="22" spans="1:13" ht="14" customHeight="1">
      <c r="A22" s="709" t="s">
        <v>26</v>
      </c>
      <c r="B22" s="33"/>
      <c r="C22" s="46">
        <f>'Detailed Uses'!$N$60/2</f>
        <v>7543.0651362071831</v>
      </c>
      <c r="D22" s="46">
        <f>'Detailed Uses'!$N$60/2</f>
        <v>7543.0651362071831</v>
      </c>
      <c r="E22" s="46">
        <f>'Detailed Uses'!$X$60/2</f>
        <v>4378.6257778217305</v>
      </c>
      <c r="F22" s="46">
        <f>'Detailed Uses'!$X$60/2</f>
        <v>4378.6257778217305</v>
      </c>
      <c r="G22" s="47">
        <f>'Detailed Uses'!$AH$60/2</f>
        <v>2541.720554708776</v>
      </c>
      <c r="H22" s="47">
        <f>'Detailed Uses'!$AH$60/2</f>
        <v>2541.720554708776</v>
      </c>
      <c r="I22" s="294">
        <v>0</v>
      </c>
      <c r="J22" s="294">
        <v>0</v>
      </c>
      <c r="K22" s="294">
        <v>0</v>
      </c>
      <c r="L22" s="294">
        <v>0</v>
      </c>
      <c r="M22" s="906">
        <v>0</v>
      </c>
    </row>
    <row r="23" spans="1:13" ht="14" customHeight="1">
      <c r="A23" s="709" t="s">
        <v>27</v>
      </c>
      <c r="B23" s="33"/>
      <c r="C23" s="46">
        <f ca="1">'Detailed Uses'!$N$64/2</f>
        <v>93588.008597993728</v>
      </c>
      <c r="D23" s="46">
        <f ca="1">'Detailed Uses'!$N$64/2</f>
        <v>93588.008597993728</v>
      </c>
      <c r="E23" s="46">
        <f ca="1">'Detailed Uses'!$X$64/2</f>
        <v>36151.246747611884</v>
      </c>
      <c r="F23" s="46">
        <f ca="1">'Detailed Uses'!$X$64/2</f>
        <v>36151.246747611884</v>
      </c>
      <c r="G23" s="47">
        <f ca="1">'Detailed Uses'!$AH$64/2</f>
        <v>22603.070398341351</v>
      </c>
      <c r="H23" s="47">
        <f ca="1">'Detailed Uses'!$AH$64/2</f>
        <v>22603.070398341351</v>
      </c>
      <c r="I23" s="294">
        <v>0</v>
      </c>
      <c r="J23" s="294">
        <v>0</v>
      </c>
      <c r="K23" s="294">
        <v>0</v>
      </c>
      <c r="L23" s="294">
        <v>0</v>
      </c>
      <c r="M23" s="906">
        <v>0</v>
      </c>
    </row>
    <row r="24" spans="1:13" ht="14" customHeight="1">
      <c r="A24" s="709" t="s">
        <v>28</v>
      </c>
      <c r="B24" s="33"/>
      <c r="C24" s="46">
        <f>'Detailed Uses'!$N$11/2</f>
        <v>64138.892807389602</v>
      </c>
      <c r="D24" s="46">
        <f>'Detailed Uses'!$N$11/2</f>
        <v>64138.892807389602</v>
      </c>
      <c r="E24" s="46">
        <f>'Detailed Uses'!$X$11/2</f>
        <v>962458.81769088143</v>
      </c>
      <c r="F24" s="46">
        <f>'Detailed Uses'!$X$11/2</f>
        <v>962458.81769088143</v>
      </c>
      <c r="G24" s="47">
        <f>'Detailed Uses'!$AH$11/2</f>
        <v>253762.67183702553</v>
      </c>
      <c r="H24" s="47">
        <f>'Detailed Uses'!$AH$11/2</f>
        <v>253762.67183702553</v>
      </c>
      <c r="I24" s="294">
        <v>0</v>
      </c>
      <c r="J24" s="294">
        <v>0</v>
      </c>
      <c r="K24" s="294">
        <v>0</v>
      </c>
      <c r="L24" s="294">
        <v>0</v>
      </c>
      <c r="M24" s="906">
        <v>0</v>
      </c>
    </row>
    <row r="25" spans="1:13" ht="14" customHeight="1">
      <c r="A25" s="727" t="s">
        <v>29</v>
      </c>
      <c r="B25" s="42"/>
      <c r="C25" s="59">
        <f>'Detailed Uses'!$N$17/2</f>
        <v>309462.68544060021</v>
      </c>
      <c r="D25" s="59">
        <f>'Detailed Uses'!$N$17/2</f>
        <v>309462.68544060021</v>
      </c>
      <c r="E25" s="59">
        <f>'Detailed Uses'!$X$17/2</f>
        <v>424205.19428611448</v>
      </c>
      <c r="F25" s="59">
        <f>'Detailed Uses'!$X$17/2</f>
        <v>424205.19428611448</v>
      </c>
      <c r="G25" s="60">
        <f>'Detailed Uses'!$AH$17/2</f>
        <v>88873.765494349354</v>
      </c>
      <c r="H25" s="60">
        <f>'Detailed Uses'!$AH$17/2</f>
        <v>88873.765494349354</v>
      </c>
      <c r="I25" s="551">
        <v>0</v>
      </c>
      <c r="J25" s="551">
        <v>0</v>
      </c>
      <c r="K25" s="551">
        <v>0</v>
      </c>
      <c r="L25" s="551">
        <v>0</v>
      </c>
      <c r="M25" s="914">
        <v>0</v>
      </c>
    </row>
    <row r="26" spans="1:13" ht="14" customHeight="1">
      <c r="A26" s="852" t="s">
        <v>32</v>
      </c>
      <c r="B26" s="34"/>
      <c r="C26" s="57">
        <f ca="1">SUM(C20:C25)</f>
        <v>2984745.8397378223</v>
      </c>
      <c r="D26" s="54">
        <f t="shared" ref="D26:M26" ca="1" si="10">SUM(D20:D25)</f>
        <v>2984745.8397378223</v>
      </c>
      <c r="E26" s="54">
        <f t="shared" ca="1" si="10"/>
        <v>9707244.4304529689</v>
      </c>
      <c r="F26" s="54">
        <f t="shared" ca="1" si="10"/>
        <v>9707244.4304529689</v>
      </c>
      <c r="G26" s="54">
        <f t="shared" ca="1" si="10"/>
        <v>2098130.4440822289</v>
      </c>
      <c r="H26" s="54">
        <f t="shared" ca="1" si="10"/>
        <v>2098130.4440822289</v>
      </c>
      <c r="I26" s="54">
        <f t="shared" si="10"/>
        <v>0</v>
      </c>
      <c r="J26" s="54">
        <f t="shared" si="10"/>
        <v>0</v>
      </c>
      <c r="K26" s="54">
        <f t="shared" si="10"/>
        <v>0</v>
      </c>
      <c r="L26" s="54">
        <f t="shared" si="10"/>
        <v>0</v>
      </c>
      <c r="M26" s="924">
        <f t="shared" si="10"/>
        <v>0</v>
      </c>
    </row>
    <row r="27" spans="1:13" ht="18" customHeight="1">
      <c r="A27" s="573" t="s">
        <v>33</v>
      </c>
      <c r="B27" s="62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717"/>
    </row>
    <row r="28" spans="1:13" ht="14" customHeight="1">
      <c r="A28" s="709" t="s">
        <v>34</v>
      </c>
      <c r="B28" s="33"/>
      <c r="C28" s="92">
        <f>C17</f>
        <v>0</v>
      </c>
      <c r="D28" s="92">
        <f t="shared" ref="D28:M28" si="11">D17</f>
        <v>0</v>
      </c>
      <c r="E28" s="92">
        <f t="shared" si="11"/>
        <v>357632.65485720005</v>
      </c>
      <c r="F28" s="92">
        <f t="shared" si="11"/>
        <v>681286.9083789601</v>
      </c>
      <c r="G28" s="92">
        <f t="shared" si="11"/>
        <v>2372005.7119036801</v>
      </c>
      <c r="H28" s="92">
        <f t="shared" si="11"/>
        <v>3489713.5001906599</v>
      </c>
      <c r="I28" s="92">
        <f t="shared" si="11"/>
        <v>4745271.713494298</v>
      </c>
      <c r="J28" s="92">
        <f t="shared" si="11"/>
        <v>4257063.767761996</v>
      </c>
      <c r="K28" s="92">
        <f t="shared" si="11"/>
        <v>4355467.2349828333</v>
      </c>
      <c r="L28" s="92">
        <f t="shared" si="11"/>
        <v>4455838.7715480858</v>
      </c>
      <c r="M28" s="847">
        <f t="shared" si="11"/>
        <v>4558217.7388446443</v>
      </c>
    </row>
    <row r="29" spans="1:13" ht="14" customHeight="1">
      <c r="A29" s="709" t="s">
        <v>162</v>
      </c>
      <c r="B29" s="33"/>
      <c r="C29" s="92"/>
      <c r="D29" s="93"/>
      <c r="E29" s="93"/>
      <c r="F29" s="93">
        <f t="shared" ref="F29" si="12">F28/7.5%</f>
        <v>9083825.4450528026</v>
      </c>
      <c r="G29" s="93"/>
      <c r="H29" s="93">
        <f t="shared" ref="H29" si="13">H28/7.5%</f>
        <v>46529513.335875466</v>
      </c>
      <c r="I29" s="93"/>
      <c r="J29" s="93">
        <f t="shared" ref="J29" si="14">J28/7.5%</f>
        <v>56760850.236826614</v>
      </c>
      <c r="K29" s="93"/>
      <c r="L29" s="93"/>
      <c r="M29" s="907">
        <f t="shared" ref="M29" si="15">M28/7.5%</f>
        <v>60776236.517928593</v>
      </c>
    </row>
    <row r="30" spans="1:13" s="1" customFormat="1" ht="14" customHeight="1">
      <c r="A30" s="925" t="s">
        <v>163</v>
      </c>
      <c r="B30" s="67"/>
      <c r="C30" s="67"/>
      <c r="D30" s="141"/>
      <c r="E30" s="141"/>
      <c r="F30" s="141"/>
      <c r="G30" s="141"/>
      <c r="H30" s="141"/>
      <c r="I30" s="141"/>
      <c r="J30" s="141"/>
      <c r="K30" s="141"/>
      <c r="L30" s="141"/>
      <c r="M30" s="926">
        <f>M29*-0.02</f>
        <v>-1215524.730358572</v>
      </c>
    </row>
    <row r="31" spans="1:13" ht="14" customHeight="1">
      <c r="A31" s="709" t="s">
        <v>32</v>
      </c>
      <c r="B31" s="36"/>
      <c r="C31" s="264">
        <f ca="1">-C26</f>
        <v>-2984745.8397378223</v>
      </c>
      <c r="D31" s="264">
        <f t="shared" ref="D31:H31" ca="1" si="16">-D26</f>
        <v>-2984745.8397378223</v>
      </c>
      <c r="E31" s="264">
        <f t="shared" ca="1" si="16"/>
        <v>-9707244.4304529689</v>
      </c>
      <c r="F31" s="264">
        <f t="shared" ca="1" si="16"/>
        <v>-9707244.4304529689</v>
      </c>
      <c r="G31" s="264">
        <f t="shared" ca="1" si="16"/>
        <v>-2098130.4440822289</v>
      </c>
      <c r="H31" s="264">
        <f t="shared" ca="1" si="16"/>
        <v>-2098130.4440822289</v>
      </c>
      <c r="I31" s="93"/>
      <c r="J31" s="93"/>
      <c r="K31" s="93"/>
      <c r="L31" s="93"/>
      <c r="M31" s="907"/>
    </row>
    <row r="32" spans="1:13" ht="14" customHeight="1">
      <c r="A32" s="727" t="s">
        <v>37</v>
      </c>
      <c r="B32" s="56"/>
      <c r="C32" s="265">
        <f ca="1">C28+C31</f>
        <v>-2984745.8397378223</v>
      </c>
      <c r="D32" s="265">
        <f t="shared" ref="D32:L32" ca="1" si="17">D28+D31</f>
        <v>-2984745.8397378223</v>
      </c>
      <c r="E32" s="265">
        <f t="shared" ca="1" si="17"/>
        <v>-9349611.7755957693</v>
      </c>
      <c r="F32" s="265">
        <f t="shared" ca="1" si="17"/>
        <v>-9025957.5220740084</v>
      </c>
      <c r="G32" s="265">
        <f t="shared" ca="1" si="17"/>
        <v>273875.26782145118</v>
      </c>
      <c r="H32" s="265">
        <f ca="1">H28+H31</f>
        <v>1391583.056108431</v>
      </c>
      <c r="I32" s="265">
        <f t="shared" si="17"/>
        <v>4745271.713494298</v>
      </c>
      <c r="J32" s="265">
        <f t="shared" si="17"/>
        <v>4257063.767761996</v>
      </c>
      <c r="K32" s="265">
        <f t="shared" si="17"/>
        <v>4355467.2349828333</v>
      </c>
      <c r="L32" s="265">
        <f t="shared" si="17"/>
        <v>4455838.7715480858</v>
      </c>
      <c r="M32" s="927">
        <f>SUM(M28:M31)</f>
        <v>64118929.526414663</v>
      </c>
    </row>
    <row r="33" spans="1:13" ht="18" customHeight="1">
      <c r="A33" s="733" t="s">
        <v>40</v>
      </c>
      <c r="B33" s="51">
        <f ca="1">C32+NPV(B37,D32:M32)</f>
        <v>23259182.053563364</v>
      </c>
      <c r="C33" s="52"/>
      <c r="D33" s="49"/>
      <c r="E33" s="49"/>
      <c r="F33" s="49"/>
      <c r="G33" s="49"/>
      <c r="H33" s="49"/>
      <c r="I33" s="49"/>
      <c r="J33" s="49"/>
      <c r="K33" s="49"/>
      <c r="L33" s="49"/>
      <c r="M33" s="918"/>
    </row>
    <row r="34" spans="1:13" ht="18" customHeight="1">
      <c r="A34" s="735" t="s">
        <v>42</v>
      </c>
      <c r="B34" s="50">
        <f ca="1">IRR(C32:M32)</f>
        <v>0.18491139996856321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736"/>
    </row>
    <row r="35" spans="1:13" ht="18" customHeight="1">
      <c r="A35" s="735" t="s">
        <v>173</v>
      </c>
      <c r="B35" s="50"/>
      <c r="C35" s="260">
        <f ca="1">C31-(SUM('Summary Board II -  S+U'!F31:F33)*C31/'Summary Board II -  S+U'!F39)</f>
        <v>-922257.39485151228</v>
      </c>
      <c r="D35" s="260">
        <f ca="1">C35</f>
        <v>-922257.39485151228</v>
      </c>
      <c r="E35" s="260">
        <f ca="1">E31-(SUM('Summary Board II -  S+U'!H31:H33)*E31/'Summary Board II -  S+U'!H39)</f>
        <v>-1362706.5168408277</v>
      </c>
      <c r="F35" s="260">
        <f ca="1">E35</f>
        <v>-1362706.5168408277</v>
      </c>
      <c r="G35" s="340">
        <f t="shared" ref="G35:H35" ca="1" si="18">G32</f>
        <v>273875.26782145118</v>
      </c>
      <c r="H35" s="340">
        <f t="shared" ca="1" si="18"/>
        <v>1391583.056108431</v>
      </c>
      <c r="I35" s="340">
        <f>I32</f>
        <v>4745271.713494298</v>
      </c>
      <c r="J35" s="340">
        <f t="shared" ref="J35:M35" si="19">J32</f>
        <v>4257063.767761996</v>
      </c>
      <c r="K35" s="340">
        <f t="shared" si="19"/>
        <v>4355467.2349828333</v>
      </c>
      <c r="L35" s="340">
        <f t="shared" si="19"/>
        <v>4455838.7715480858</v>
      </c>
      <c r="M35" s="737">
        <f t="shared" si="19"/>
        <v>64118929.526414663</v>
      </c>
    </row>
    <row r="36" spans="1:13" ht="18" customHeight="1" thickBot="1">
      <c r="A36" s="738" t="s">
        <v>44</v>
      </c>
      <c r="B36" s="739">
        <f ca="1">IRR(C35:M35)</f>
        <v>0.47854191265947521</v>
      </c>
      <c r="C36" s="740"/>
      <c r="D36" s="740"/>
      <c r="E36" s="740"/>
      <c r="F36" s="740"/>
      <c r="G36" s="740"/>
      <c r="H36" s="740"/>
      <c r="I36" s="740"/>
      <c r="J36" s="740"/>
      <c r="K36" s="740"/>
      <c r="L36" s="740"/>
      <c r="M36" s="741"/>
    </row>
    <row r="37" spans="1:13" ht="14" hidden="1" thickBot="1">
      <c r="B37" s="24">
        <v>7.0000000000000007E-2</v>
      </c>
      <c r="F37" s="25">
        <f>F29</f>
        <v>9083825.4450528026</v>
      </c>
      <c r="H37" s="25">
        <f>H29-F37</f>
        <v>37445687.890822664</v>
      </c>
      <c r="J37" s="25">
        <f>J29-(H37*1.02^2)</f>
        <v>17802356.555214718</v>
      </c>
    </row>
    <row r="38" spans="1:13" hidden="1">
      <c r="B38" s="1007" t="s">
        <v>194</v>
      </c>
      <c r="C38" s="1008">
        <v>22489</v>
      </c>
      <c r="D38" s="654"/>
      <c r="E38" s="1009">
        <v>5720255</v>
      </c>
    </row>
    <row r="39" spans="1:13" hidden="1">
      <c r="B39" s="1010" t="s">
        <v>195</v>
      </c>
      <c r="C39" s="1011">
        <v>71713</v>
      </c>
      <c r="D39" s="9">
        <f>C39*0.5</f>
        <v>35856.5</v>
      </c>
      <c r="E39" s="150">
        <v>18022905</v>
      </c>
    </row>
    <row r="40" spans="1:13" hidden="1">
      <c r="B40" s="1010" t="s">
        <v>196</v>
      </c>
      <c r="C40" s="1011">
        <v>14892</v>
      </c>
      <c r="D40" s="9"/>
      <c r="E40" s="150">
        <v>3670527</v>
      </c>
    </row>
    <row r="41" spans="1:13" ht="14" hidden="1" thickBot="1">
      <c r="B41" s="1012"/>
      <c r="C41" s="1013">
        <f>SUM(C38:C40)</f>
        <v>109094</v>
      </c>
      <c r="D41" s="258"/>
      <c r="E41" s="660"/>
    </row>
    <row r="42" spans="1:13" hidden="1"/>
    <row r="43" spans="1:13" hidden="1"/>
    <row r="44" spans="1:13" hidden="1">
      <c r="C44" s="26"/>
    </row>
    <row r="45" spans="1:13" hidden="1">
      <c r="C45" s="26"/>
    </row>
    <row r="46" spans="1:13" hidden="1">
      <c r="C46" s="26"/>
    </row>
    <row r="47" spans="1:13" ht="14" hidden="1" thickBot="1">
      <c r="B47" s="614"/>
      <c r="C47" s="614"/>
    </row>
    <row r="48" spans="1:13" hidden="1">
      <c r="B48" s="1007" t="s">
        <v>188</v>
      </c>
      <c r="C48" s="1014">
        <f>26102130</f>
        <v>26102130</v>
      </c>
    </row>
    <row r="49" spans="2:3" hidden="1">
      <c r="B49" s="1010" t="s">
        <v>189</v>
      </c>
      <c r="C49" s="1015">
        <f>5452230</f>
        <v>5452230</v>
      </c>
    </row>
    <row r="50" spans="2:3" hidden="1">
      <c r="B50" s="1010" t="s">
        <v>190</v>
      </c>
      <c r="C50" s="1015">
        <v>4613265</v>
      </c>
    </row>
    <row r="51" spans="2:3" hidden="1">
      <c r="B51" s="1010"/>
      <c r="C51" s="1015"/>
    </row>
    <row r="52" spans="2:3" hidden="1">
      <c r="B52" s="1010"/>
      <c r="C52" s="1015"/>
    </row>
    <row r="53" spans="2:3" ht="14" hidden="1" thickBot="1">
      <c r="B53" s="1012" t="s">
        <v>183</v>
      </c>
      <c r="C53" s="1016">
        <v>2981484</v>
      </c>
    </row>
  </sheetData>
  <phoneticPr fontId="2" type="noConversion"/>
  <pageMargins left="0.5" right="0.5" top="1" bottom="0.5" header="0.5" footer="0.5"/>
  <pageSetup orientation="landscape" r:id="rId1"/>
  <headerFooter alignWithMargins="0">
    <oddHeader>&amp;L&amp;"Arial,Bold"7. Income Statement: Retail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10F6F-2F42-4467-887E-02441457C5E5}">
  <dimension ref="A1:M39"/>
  <sheetViews>
    <sheetView workbookViewId="0">
      <selection activeCell="M1" sqref="L1:M1"/>
    </sheetView>
  </sheetViews>
  <sheetFormatPr baseColWidth="10" defaultColWidth="9.1640625" defaultRowHeight="13"/>
  <cols>
    <col min="1" max="1" width="23" style="2" customWidth="1"/>
    <col min="2" max="2" width="16.83203125" style="3" customWidth="1"/>
    <col min="3" max="3" width="15.6640625" style="3" customWidth="1"/>
    <col min="4" max="4" width="16.6640625" style="2" customWidth="1"/>
    <col min="5" max="13" width="14.83203125" style="2" customWidth="1"/>
    <col min="14" max="16384" width="9.1640625" style="2"/>
  </cols>
  <sheetData>
    <row r="1" spans="1:13" ht="14" customHeight="1" thickBot="1">
      <c r="L1" s="1063" t="s">
        <v>1</v>
      </c>
      <c r="M1" s="1064" t="s">
        <v>2</v>
      </c>
    </row>
    <row r="2" spans="1:13" s="11" customFormat="1" ht="14" customHeight="1">
      <c r="A2" s="570"/>
      <c r="B2" s="703"/>
      <c r="C2" s="703" t="s">
        <v>3</v>
      </c>
      <c r="D2" s="571" t="s">
        <v>4</v>
      </c>
      <c r="E2" s="571" t="s">
        <v>4</v>
      </c>
      <c r="F2" s="571"/>
      <c r="G2" s="571" t="s">
        <v>5</v>
      </c>
      <c r="H2" s="571"/>
      <c r="I2" s="571" t="s">
        <v>6</v>
      </c>
      <c r="J2" s="571"/>
      <c r="K2" s="571"/>
      <c r="L2" s="571"/>
      <c r="M2" s="572"/>
    </row>
    <row r="3" spans="1:13" s="11" customFormat="1" ht="14" customHeight="1">
      <c r="A3" s="631"/>
      <c r="B3" s="278" t="s">
        <v>94</v>
      </c>
      <c r="C3" s="278" t="s">
        <v>8</v>
      </c>
      <c r="D3" s="278">
        <v>2022</v>
      </c>
      <c r="E3" s="278">
        <f t="shared" ref="E3:M3" si="0">D3+1</f>
        <v>2023</v>
      </c>
      <c r="F3" s="278">
        <f t="shared" si="0"/>
        <v>2024</v>
      </c>
      <c r="G3" s="278">
        <f t="shared" si="0"/>
        <v>2025</v>
      </c>
      <c r="H3" s="278">
        <f t="shared" si="0"/>
        <v>2026</v>
      </c>
      <c r="I3" s="278">
        <f t="shared" si="0"/>
        <v>2027</v>
      </c>
      <c r="J3" s="278">
        <f t="shared" si="0"/>
        <v>2028</v>
      </c>
      <c r="K3" s="278">
        <f t="shared" si="0"/>
        <v>2029</v>
      </c>
      <c r="L3" s="278">
        <f t="shared" si="0"/>
        <v>2030</v>
      </c>
      <c r="M3" s="892">
        <f t="shared" si="0"/>
        <v>2031</v>
      </c>
    </row>
    <row r="4" spans="1:13" ht="18" customHeight="1">
      <c r="A4" s="449" t="s">
        <v>174</v>
      </c>
      <c r="B4" s="33"/>
      <c r="C4" s="33"/>
      <c r="D4" s="34"/>
      <c r="E4" s="34"/>
      <c r="F4" s="34"/>
      <c r="G4" s="34"/>
      <c r="H4" s="34"/>
      <c r="I4" s="34"/>
      <c r="J4" s="34"/>
      <c r="K4" s="34"/>
      <c r="L4" s="34"/>
      <c r="M4" s="229"/>
    </row>
    <row r="5" spans="1:13" ht="14" customHeight="1">
      <c r="A5" s="709" t="s">
        <v>100</v>
      </c>
      <c r="B5" s="36">
        <v>0.02</v>
      </c>
      <c r="C5" s="37">
        <v>20</v>
      </c>
      <c r="D5" s="37">
        <f>C5*1.02</f>
        <v>20.399999999999999</v>
      </c>
      <c r="E5" s="37">
        <f t="shared" ref="E5:M5" si="1">D5*1.02</f>
        <v>20.808</v>
      </c>
      <c r="F5" s="37">
        <f t="shared" si="1"/>
        <v>21.224160000000001</v>
      </c>
      <c r="G5" s="37">
        <f t="shared" si="1"/>
        <v>21.648643200000002</v>
      </c>
      <c r="H5" s="37">
        <f t="shared" si="1"/>
        <v>22.081616064000002</v>
      </c>
      <c r="I5" s="37">
        <f t="shared" si="1"/>
        <v>22.523248385280002</v>
      </c>
      <c r="J5" s="37">
        <f t="shared" si="1"/>
        <v>22.973713352985602</v>
      </c>
      <c r="K5" s="37">
        <f t="shared" si="1"/>
        <v>23.433187620045313</v>
      </c>
      <c r="L5" s="37">
        <f t="shared" si="1"/>
        <v>23.90185137244622</v>
      </c>
      <c r="M5" s="714">
        <f t="shared" si="1"/>
        <v>24.379888399895144</v>
      </c>
    </row>
    <row r="6" spans="1:13" ht="14" customHeight="1">
      <c r="A6" s="709" t="s">
        <v>176</v>
      </c>
      <c r="B6" s="33" t="s">
        <v>54</v>
      </c>
      <c r="C6" s="33">
        <v>0</v>
      </c>
      <c r="D6" s="35">
        <v>0</v>
      </c>
      <c r="E6" s="38">
        <f>'Parcel breakdown'!AG19</f>
        <v>149745</v>
      </c>
      <c r="F6" s="38">
        <f>E6</f>
        <v>149745</v>
      </c>
      <c r="G6" s="38">
        <f>'Parcel breakdown'!AG19+'Parcel breakdown'!AG20</f>
        <v>149745</v>
      </c>
      <c r="H6" s="38">
        <f>G6</f>
        <v>149745</v>
      </c>
      <c r="I6" s="38">
        <f>'Parcel breakdown'!AG19+'Parcel breakdown'!AG20+'Parcel breakdown'!AG21</f>
        <v>179530.5</v>
      </c>
      <c r="J6" s="38">
        <f>I6</f>
        <v>179530.5</v>
      </c>
      <c r="K6" s="38">
        <f t="shared" ref="K6:M6" si="2">J6</f>
        <v>179530.5</v>
      </c>
      <c r="L6" s="38">
        <f t="shared" si="2"/>
        <v>179530.5</v>
      </c>
      <c r="M6" s="919">
        <f t="shared" si="2"/>
        <v>179530.5</v>
      </c>
    </row>
    <row r="7" spans="1:13" ht="14" customHeight="1">
      <c r="A7" s="709" t="s">
        <v>177</v>
      </c>
      <c r="B7" s="36">
        <v>0.9</v>
      </c>
      <c r="C7" s="33">
        <v>0</v>
      </c>
      <c r="D7" s="35">
        <v>0</v>
      </c>
      <c r="E7" s="35">
        <f>0.9*E6</f>
        <v>134770.5</v>
      </c>
      <c r="F7" s="35">
        <f t="shared" ref="F7:M8" si="3">0.9*F6</f>
        <v>134770.5</v>
      </c>
      <c r="G7" s="35">
        <f t="shared" si="3"/>
        <v>134770.5</v>
      </c>
      <c r="H7" s="35">
        <f>0.9*H6</f>
        <v>134770.5</v>
      </c>
      <c r="I7" s="35">
        <f t="shared" si="3"/>
        <v>161577.45000000001</v>
      </c>
      <c r="J7" s="35">
        <f t="shared" si="3"/>
        <v>161577.45000000001</v>
      </c>
      <c r="K7" s="35">
        <f t="shared" si="3"/>
        <v>161577.45000000001</v>
      </c>
      <c r="L7" s="35">
        <f t="shared" si="3"/>
        <v>161577.45000000001</v>
      </c>
      <c r="M7" s="904">
        <f t="shared" si="3"/>
        <v>161577.45000000001</v>
      </c>
    </row>
    <row r="8" spans="1:13" ht="14" customHeight="1">
      <c r="A8" s="709" t="s">
        <v>178</v>
      </c>
      <c r="B8" s="36"/>
      <c r="C8" s="36"/>
      <c r="D8" s="35"/>
      <c r="E8" s="35">
        <f>0.5*E7</f>
        <v>67385.25</v>
      </c>
      <c r="F8" s="35">
        <f>0.9*F7</f>
        <v>121293.45</v>
      </c>
      <c r="G8" s="35">
        <f>F7*0.9+C32*0.5</f>
        <v>121293.45</v>
      </c>
      <c r="H8" s="35">
        <f>0.9*H7</f>
        <v>121293.45</v>
      </c>
      <c r="I8" s="35">
        <f>0.9*I7</f>
        <v>145419.70500000002</v>
      </c>
      <c r="J8" s="35">
        <f>0.9*J7</f>
        <v>145419.70500000002</v>
      </c>
      <c r="K8" s="35">
        <f t="shared" si="3"/>
        <v>145419.70500000002</v>
      </c>
      <c r="L8" s="35">
        <f t="shared" si="3"/>
        <v>145419.70500000002</v>
      </c>
      <c r="M8" s="904">
        <f t="shared" si="3"/>
        <v>145419.70500000002</v>
      </c>
    </row>
    <row r="9" spans="1:13" ht="14" customHeight="1">
      <c r="A9" s="727" t="s">
        <v>192</v>
      </c>
      <c r="B9" s="42">
        <v>7</v>
      </c>
      <c r="C9" s="42"/>
      <c r="D9" s="43"/>
      <c r="E9" s="43">
        <f>E5-$B$9*1.02^3</f>
        <v>13.379543999999999</v>
      </c>
      <c r="F9" s="43">
        <f t="shared" ref="F9:M9" si="4">F5-$B$9*1.02^3</f>
        <v>13.795704000000001</v>
      </c>
      <c r="G9" s="43">
        <f t="shared" si="4"/>
        <v>14.220187200000002</v>
      </c>
      <c r="H9" s="43">
        <f t="shared" si="4"/>
        <v>14.653160064000001</v>
      </c>
      <c r="I9" s="43">
        <f t="shared" si="4"/>
        <v>15.094792385280002</v>
      </c>
      <c r="J9" s="43">
        <f t="shared" si="4"/>
        <v>15.545257352985601</v>
      </c>
      <c r="K9" s="43">
        <f t="shared" si="4"/>
        <v>16.004731620045312</v>
      </c>
      <c r="L9" s="43">
        <f t="shared" si="4"/>
        <v>16.47339537244622</v>
      </c>
      <c r="M9" s="923">
        <f t="shared" si="4"/>
        <v>16.951432399895143</v>
      </c>
    </row>
    <row r="10" spans="1:13" ht="14" customHeight="1">
      <c r="A10" s="928" t="s">
        <v>34</v>
      </c>
      <c r="B10" s="22"/>
      <c r="C10" s="22"/>
      <c r="D10" s="31"/>
      <c r="E10" s="31">
        <f t="shared" ref="E10:M10" si="5">E9*E8</f>
        <v>901583.91732599994</v>
      </c>
      <c r="F10" s="31">
        <f t="shared" si="5"/>
        <v>1673328.5333388001</v>
      </c>
      <c r="G10" s="31">
        <f t="shared" si="5"/>
        <v>1724815.5651338401</v>
      </c>
      <c r="H10" s="31">
        <f t="shared" si="5"/>
        <v>1777332.3375647808</v>
      </c>
      <c r="I10" s="31">
        <f t="shared" si="5"/>
        <v>2195080.2557036644</v>
      </c>
      <c r="J10" s="31">
        <f t="shared" si="5"/>
        <v>2260586.7384202471</v>
      </c>
      <c r="K10" s="31">
        <f t="shared" si="5"/>
        <v>2327403.3507911619</v>
      </c>
      <c r="L10" s="31">
        <f t="shared" si="5"/>
        <v>2395556.2954094945</v>
      </c>
      <c r="M10" s="929">
        <f t="shared" si="5"/>
        <v>2465072.2989201942</v>
      </c>
    </row>
    <row r="11" spans="1:13" ht="18" customHeight="1">
      <c r="A11" s="573" t="s">
        <v>20</v>
      </c>
      <c r="B11" s="62"/>
      <c r="C11" s="62"/>
      <c r="D11" s="63"/>
      <c r="E11" s="63"/>
      <c r="F11" s="63"/>
      <c r="G11" s="63"/>
      <c r="H11" s="63"/>
      <c r="I11" s="63"/>
      <c r="J11" s="63"/>
      <c r="K11" s="63"/>
      <c r="L11" s="63"/>
      <c r="M11" s="717"/>
    </row>
    <row r="12" spans="1:13" ht="14" customHeight="1">
      <c r="A12" s="709" t="s">
        <v>159</v>
      </c>
      <c r="B12" s="33"/>
      <c r="C12" s="36">
        <v>0</v>
      </c>
      <c r="D12" s="44">
        <v>0</v>
      </c>
      <c r="E12" s="45">
        <f t="shared" ref="E12:M12" si="6">E6/$M$6</f>
        <v>0.83409225730446912</v>
      </c>
      <c r="F12" s="45">
        <f t="shared" si="6"/>
        <v>0.83409225730446912</v>
      </c>
      <c r="G12" s="45">
        <f t="shared" si="6"/>
        <v>0.83409225730446912</v>
      </c>
      <c r="H12" s="45">
        <f t="shared" si="6"/>
        <v>0.83409225730446912</v>
      </c>
      <c r="I12" s="45">
        <f t="shared" si="6"/>
        <v>1</v>
      </c>
      <c r="J12" s="45">
        <f t="shared" si="6"/>
        <v>1</v>
      </c>
      <c r="K12" s="45">
        <f t="shared" si="6"/>
        <v>1</v>
      </c>
      <c r="L12" s="45">
        <f t="shared" si="6"/>
        <v>1</v>
      </c>
      <c r="M12" s="855">
        <f t="shared" si="6"/>
        <v>1</v>
      </c>
    </row>
    <row r="13" spans="1:13" ht="14" customHeight="1">
      <c r="A13" s="709" t="s">
        <v>160</v>
      </c>
      <c r="B13" s="33"/>
      <c r="C13" s="46">
        <f>'Detailed Uses'!$P$25/2</f>
        <v>14545222.324826879</v>
      </c>
      <c r="D13" s="46">
        <f>'Detailed Uses'!$P$25/2</f>
        <v>14545222.324826879</v>
      </c>
      <c r="E13" s="46">
        <f>'Detailed Uses'!$Z$25/2</f>
        <v>0</v>
      </c>
      <c r="F13" s="46">
        <f>'Detailed Uses'!$Z$25/2</f>
        <v>0</v>
      </c>
      <c r="G13" s="47">
        <f ca="1">'Detailed Uses'!$AJ$25/2</f>
        <v>2944523.8224968282</v>
      </c>
      <c r="H13" s="47">
        <f ca="1">'Detailed Uses'!$AJ$25/2</f>
        <v>2944523.8224968282</v>
      </c>
      <c r="I13" s="35">
        <v>0</v>
      </c>
      <c r="J13" s="35">
        <v>0</v>
      </c>
      <c r="K13" s="35">
        <v>0</v>
      </c>
      <c r="L13" s="35">
        <v>0</v>
      </c>
      <c r="M13" s="904">
        <v>0</v>
      </c>
    </row>
    <row r="14" spans="1:13" ht="14" customHeight="1">
      <c r="A14" s="709" t="s">
        <v>161</v>
      </c>
      <c r="B14" s="33"/>
      <c r="C14" s="46">
        <f ca="1">'Detailed Uses'!$P$44/2</f>
        <v>1531904.4919444732</v>
      </c>
      <c r="D14" s="46">
        <f ca="1">'Detailed Uses'!$P$44/2</f>
        <v>1531904.4919444732</v>
      </c>
      <c r="E14" s="46">
        <f ca="1">'Detailed Uses'!$Z$44/2</f>
        <v>0</v>
      </c>
      <c r="F14" s="46">
        <f ca="1">'Detailed Uses'!$Z$44/2</f>
        <v>0</v>
      </c>
      <c r="G14" s="47">
        <f ca="1">'Detailed Uses'!$AJ$44/2</f>
        <v>389665.3518331548</v>
      </c>
      <c r="H14" s="47">
        <f ca="1">'Detailed Uses'!$AJ$44/2</f>
        <v>389665.3518331548</v>
      </c>
      <c r="I14" s="35"/>
      <c r="J14" s="35"/>
      <c r="K14" s="35"/>
      <c r="L14" s="35"/>
      <c r="M14" s="904"/>
    </row>
    <row r="15" spans="1:13" ht="14" customHeight="1">
      <c r="A15" s="709" t="s">
        <v>26</v>
      </c>
      <c r="B15" s="33"/>
      <c r="C15" s="46">
        <f>'Detailed Uses'!$P$60/2</f>
        <v>50226.167851898463</v>
      </c>
      <c r="D15" s="46">
        <f>'Detailed Uses'!$P$60/2</f>
        <v>50226.167851898463</v>
      </c>
      <c r="E15" s="46">
        <f>'Detailed Uses'!$Z$60/2</f>
        <v>0</v>
      </c>
      <c r="F15" s="46">
        <f>'Detailed Uses'!$Z$60/2</f>
        <v>0</v>
      </c>
      <c r="G15" s="47">
        <f>'Detailed Uses'!$AJ$60/2</f>
        <v>16924.27162011942</v>
      </c>
      <c r="H15" s="47">
        <f>'Detailed Uses'!$AJ$60/2</f>
        <v>16924.27162011942</v>
      </c>
      <c r="I15" s="35"/>
      <c r="J15" s="35"/>
      <c r="K15" s="35"/>
      <c r="L15" s="35"/>
      <c r="M15" s="904"/>
    </row>
    <row r="16" spans="1:13" ht="14" customHeight="1">
      <c r="A16" s="709" t="s">
        <v>27</v>
      </c>
      <c r="B16" s="33"/>
      <c r="C16" s="46">
        <f ca="1">'Detailed Uses'!$P$64/2</f>
        <v>623164.05120310246</v>
      </c>
      <c r="D16" s="46">
        <f ca="1">'Detailed Uses'!$P$64/2</f>
        <v>623164.05120310246</v>
      </c>
      <c r="E16" s="46">
        <f ca="1">'Detailed Uses'!$Z$64/2</f>
        <v>0</v>
      </c>
      <c r="F16" s="46">
        <f ca="1">'Detailed Uses'!$Z$64/2</f>
        <v>0</v>
      </c>
      <c r="G16" s="47">
        <f ca="1">'Detailed Uses'!$AJ$64/2</f>
        <v>150504.54785893662</v>
      </c>
      <c r="H16" s="47">
        <f ca="1">'Detailed Uses'!$AJ$64/2</f>
        <v>150504.54785893662</v>
      </c>
      <c r="I16" s="35"/>
      <c r="J16" s="35"/>
      <c r="K16" s="35"/>
      <c r="L16" s="35"/>
      <c r="M16" s="904"/>
    </row>
    <row r="17" spans="1:13" ht="14" customHeight="1">
      <c r="A17" s="709" t="s">
        <v>28</v>
      </c>
      <c r="B17" s="33"/>
      <c r="C17" s="46">
        <f>'Detailed Uses'!$P$11/2</f>
        <v>427074.50324347703</v>
      </c>
      <c r="D17" s="46">
        <f>'Detailed Uses'!$P$11/2</f>
        <v>427074.50324347703</v>
      </c>
      <c r="E17" s="46">
        <f>'Detailed Uses'!$Z$11/2</f>
        <v>0</v>
      </c>
      <c r="F17" s="46">
        <f>'Detailed Uses'!$Z$11/2</f>
        <v>0</v>
      </c>
      <c r="G17" s="47">
        <f>'Detailed Uses'!$AJ$11/2</f>
        <v>507525.34367405105</v>
      </c>
      <c r="H17" s="47">
        <f>'Detailed Uses'!$AJ$11/2</f>
        <v>507525.34367405105</v>
      </c>
      <c r="I17" s="35"/>
      <c r="J17" s="35"/>
      <c r="K17" s="35"/>
      <c r="L17" s="35"/>
      <c r="M17" s="904"/>
    </row>
    <row r="18" spans="1:13" ht="14" customHeight="1">
      <c r="A18" s="709" t="s">
        <v>29</v>
      </c>
      <c r="B18" s="33"/>
      <c r="C18" s="46">
        <f>'Detailed Uses'!$P$17/2</f>
        <v>2060584.722811271</v>
      </c>
      <c r="D18" s="46">
        <f>'Detailed Uses'!$P$17/2</f>
        <v>2060584.722811271</v>
      </c>
      <c r="E18" s="46">
        <f>'Detailed Uses'!$Z$17/2</f>
        <v>0</v>
      </c>
      <c r="F18" s="46">
        <f>'Detailed Uses'!$Z$17/2</f>
        <v>0</v>
      </c>
      <c r="G18" s="47">
        <f>'Detailed Uses'!$AJ$17/2</f>
        <v>177747.53098869871</v>
      </c>
      <c r="H18" s="47">
        <f>'Detailed Uses'!$AJ$17/2</f>
        <v>177747.53098869871</v>
      </c>
      <c r="I18" s="35"/>
      <c r="J18" s="35"/>
      <c r="K18" s="35"/>
      <c r="L18" s="35"/>
      <c r="M18" s="904"/>
    </row>
    <row r="19" spans="1:13" ht="14" customHeight="1">
      <c r="A19" s="930" t="s">
        <v>32</v>
      </c>
      <c r="B19" s="9"/>
      <c r="C19" s="65">
        <f ca="1">SUM(C13:C18)</f>
        <v>19238176.261881102</v>
      </c>
      <c r="D19" s="65">
        <f t="shared" ref="D19:M19" ca="1" si="7">SUM(D13:D18)</f>
        <v>19238176.261881102</v>
      </c>
      <c r="E19" s="65">
        <f t="shared" ca="1" si="7"/>
        <v>0</v>
      </c>
      <c r="F19" s="65">
        <f t="shared" ca="1" si="7"/>
        <v>0</v>
      </c>
      <c r="G19" s="65">
        <f t="shared" ca="1" si="7"/>
        <v>4186890.8684717892</v>
      </c>
      <c r="H19" s="65">
        <f t="shared" ca="1" si="7"/>
        <v>4186890.8684717892</v>
      </c>
      <c r="I19" s="65">
        <f t="shared" si="7"/>
        <v>0</v>
      </c>
      <c r="J19" s="65">
        <f t="shared" si="7"/>
        <v>0</v>
      </c>
      <c r="K19" s="65">
        <f t="shared" si="7"/>
        <v>0</v>
      </c>
      <c r="L19" s="65">
        <f t="shared" si="7"/>
        <v>0</v>
      </c>
      <c r="M19" s="931">
        <f t="shared" si="7"/>
        <v>0</v>
      </c>
    </row>
    <row r="20" spans="1:13" ht="18" customHeight="1">
      <c r="A20" s="573" t="s">
        <v>33</v>
      </c>
      <c r="B20" s="62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717"/>
    </row>
    <row r="21" spans="1:13" ht="14" customHeight="1">
      <c r="A21" s="709" t="s">
        <v>34</v>
      </c>
      <c r="B21" s="33"/>
      <c r="C21" s="33">
        <f>C10</f>
        <v>0</v>
      </c>
      <c r="D21" s="33">
        <f t="shared" ref="D21:M21" si="8">D10</f>
        <v>0</v>
      </c>
      <c r="E21" s="57">
        <f>E10</f>
        <v>901583.91732599994</v>
      </c>
      <c r="F21" s="57">
        <f t="shared" si="8"/>
        <v>1673328.5333388001</v>
      </c>
      <c r="G21" s="57">
        <f t="shared" si="8"/>
        <v>1724815.5651338401</v>
      </c>
      <c r="H21" s="57">
        <f t="shared" si="8"/>
        <v>1777332.3375647808</v>
      </c>
      <c r="I21" s="57">
        <f t="shared" si="8"/>
        <v>2195080.2557036644</v>
      </c>
      <c r="J21" s="57">
        <f t="shared" si="8"/>
        <v>2260586.7384202471</v>
      </c>
      <c r="K21" s="57">
        <f t="shared" si="8"/>
        <v>2327403.3507911619</v>
      </c>
      <c r="L21" s="57">
        <f t="shared" si="8"/>
        <v>2395556.2954094945</v>
      </c>
      <c r="M21" s="850">
        <f t="shared" si="8"/>
        <v>2465072.2989201942</v>
      </c>
    </row>
    <row r="22" spans="1:13" ht="14" customHeight="1">
      <c r="A22" s="709" t="s">
        <v>162</v>
      </c>
      <c r="B22" s="33"/>
      <c r="C22" s="33"/>
      <c r="D22" s="39"/>
      <c r="E22" s="39"/>
      <c r="F22" s="39">
        <f t="shared" ref="F22" si="9">F21/7.5%</f>
        <v>22311047.111184001</v>
      </c>
      <c r="G22" s="39"/>
      <c r="H22" s="39">
        <f t="shared" ref="H22" si="10">H21/7.5%</f>
        <v>23697764.500863746</v>
      </c>
      <c r="I22" s="39"/>
      <c r="J22" s="39">
        <f t="shared" ref="J22" si="11">J21/7.5%</f>
        <v>30141156.512269963</v>
      </c>
      <c r="K22" s="39"/>
      <c r="L22" s="39"/>
      <c r="M22" s="848">
        <f t="shared" ref="M22" si="12">M21/7.5%</f>
        <v>32867630.652269255</v>
      </c>
    </row>
    <row r="23" spans="1:13" ht="14" customHeight="1">
      <c r="A23" s="925" t="s">
        <v>163</v>
      </c>
      <c r="B23" s="67"/>
      <c r="C23" s="67"/>
      <c r="D23" s="141"/>
      <c r="E23" s="141"/>
      <c r="F23" s="141"/>
      <c r="G23" s="141"/>
      <c r="H23" s="141"/>
      <c r="I23" s="141"/>
      <c r="J23" s="141"/>
      <c r="K23" s="141"/>
      <c r="L23" s="141"/>
      <c r="M23" s="926">
        <f>M22*-0.02</f>
        <v>-657352.61304538511</v>
      </c>
    </row>
    <row r="24" spans="1:13" ht="14" customHeight="1" thickBot="1">
      <c r="A24" s="932" t="s">
        <v>32</v>
      </c>
      <c r="B24" s="296"/>
      <c r="C24" s="296">
        <f ca="1">-C19</f>
        <v>-19238176.261881102</v>
      </c>
      <c r="D24" s="296">
        <f t="shared" ref="D24:H24" ca="1" si="13">-D19</f>
        <v>-19238176.261881102</v>
      </c>
      <c r="E24" s="296">
        <f t="shared" ca="1" si="13"/>
        <v>0</v>
      </c>
      <c r="F24" s="296">
        <f t="shared" ca="1" si="13"/>
        <v>0</v>
      </c>
      <c r="G24" s="296">
        <f t="shared" ca="1" si="13"/>
        <v>-4186890.8684717892</v>
      </c>
      <c r="H24" s="296">
        <f t="shared" ca="1" si="13"/>
        <v>-4186890.8684717892</v>
      </c>
      <c r="I24" s="297"/>
      <c r="J24" s="297"/>
      <c r="K24" s="297"/>
      <c r="L24" s="297"/>
      <c r="M24" s="933"/>
    </row>
    <row r="25" spans="1:13" ht="14" customHeight="1">
      <c r="A25" s="852" t="s">
        <v>37</v>
      </c>
      <c r="B25" s="286"/>
      <c r="C25" s="287">
        <f ca="1">C21+C24</f>
        <v>-19238176.261881102</v>
      </c>
      <c r="D25" s="287">
        <f t="shared" ref="D25:L25" ca="1" si="14">D21+D24</f>
        <v>-19238176.261881102</v>
      </c>
      <c r="E25" s="287">
        <f t="shared" ca="1" si="14"/>
        <v>901583.91732599994</v>
      </c>
      <c r="F25" s="287">
        <f t="shared" ca="1" si="14"/>
        <v>1673328.5333388001</v>
      </c>
      <c r="G25" s="287">
        <f t="shared" ca="1" si="14"/>
        <v>-2462075.3033379493</v>
      </c>
      <c r="H25" s="287">
        <f t="shared" ca="1" si="14"/>
        <v>-2409558.5309070083</v>
      </c>
      <c r="I25" s="287">
        <f t="shared" si="14"/>
        <v>2195080.2557036644</v>
      </c>
      <c r="J25" s="287">
        <f t="shared" si="14"/>
        <v>2260586.7384202471</v>
      </c>
      <c r="K25" s="287">
        <f t="shared" si="14"/>
        <v>2327403.3507911619</v>
      </c>
      <c r="L25" s="287">
        <f t="shared" si="14"/>
        <v>2395556.2954094945</v>
      </c>
      <c r="M25" s="934">
        <f t="shared" ref="M25" si="15">SUM(M21:M24)</f>
        <v>34675350.338144064</v>
      </c>
    </row>
    <row r="26" spans="1:13" ht="18" customHeight="1">
      <c r="A26" s="733" t="s">
        <v>40</v>
      </c>
      <c r="B26" s="51">
        <f ca="1">C25+NPV(B30,D25:M25)</f>
        <v>-15505416.690164208</v>
      </c>
      <c r="C26" s="52"/>
      <c r="D26" s="49"/>
      <c r="E26" s="49"/>
      <c r="F26" s="49"/>
      <c r="G26" s="49"/>
      <c r="H26" s="49"/>
      <c r="I26" s="49"/>
      <c r="J26" s="49"/>
      <c r="K26" s="49"/>
      <c r="L26" s="49"/>
      <c r="M26" s="918"/>
    </row>
    <row r="27" spans="1:13" ht="18" customHeight="1">
      <c r="A27" s="735" t="s">
        <v>42</v>
      </c>
      <c r="B27" s="50">
        <f ca="1">IRR(C25:M25)</f>
        <v>8.4618864346777123E-3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736"/>
    </row>
    <row r="28" spans="1:13" ht="18" customHeight="1">
      <c r="A28" s="935" t="s">
        <v>173</v>
      </c>
      <c r="B28" s="50"/>
      <c r="C28" s="260">
        <f ca="1">C24-(SUM('Summary Board II -  S+U'!F31:F33)*C24/'Summary Board II -  S+U'!F39)</f>
        <v>-5944409.0966670569</v>
      </c>
      <c r="D28" s="260">
        <f ca="1">C28</f>
        <v>-5944409.0966670569</v>
      </c>
      <c r="E28" s="260">
        <f ca="1">E25</f>
        <v>901583.91732599994</v>
      </c>
      <c r="F28" s="260">
        <f ca="1">E28</f>
        <v>901583.91732599994</v>
      </c>
      <c r="G28" s="260">
        <f ca="1">G24-(SUM('Summary Board II -  S+U'!J31:J33)*G24/'Summary Board II -  S+U'!J39)</f>
        <v>-713030.67151304148</v>
      </c>
      <c r="H28" s="340">
        <f ca="1">G28</f>
        <v>-713030.67151304148</v>
      </c>
      <c r="I28" s="340">
        <f>I25</f>
        <v>2195080.2557036644</v>
      </c>
      <c r="J28" s="340">
        <f t="shared" ref="J28:M28" si="16">J25</f>
        <v>2260586.7384202471</v>
      </c>
      <c r="K28" s="340">
        <f t="shared" si="16"/>
        <v>2327403.3507911619</v>
      </c>
      <c r="L28" s="340">
        <f t="shared" si="16"/>
        <v>2395556.2954094945</v>
      </c>
      <c r="M28" s="737">
        <f t="shared" si="16"/>
        <v>34675350.338144064</v>
      </c>
    </row>
    <row r="29" spans="1:13" ht="18" customHeight="1" thickBot="1">
      <c r="A29" s="936" t="s">
        <v>44</v>
      </c>
      <c r="B29" s="739">
        <f ca="1">IRR(C28:M28)</f>
        <v>0.1642868779557134</v>
      </c>
      <c r="C29" s="740"/>
      <c r="D29" s="740"/>
      <c r="E29" s="740"/>
      <c r="F29" s="740"/>
      <c r="G29" s="740"/>
      <c r="H29" s="740"/>
      <c r="I29" s="740"/>
      <c r="J29" s="740"/>
      <c r="K29" s="740"/>
      <c r="L29" s="740"/>
      <c r="M29" s="741"/>
    </row>
    <row r="30" spans="1:13" hidden="1">
      <c r="B30" s="24">
        <v>7.0000000000000007E-2</v>
      </c>
      <c r="F30" s="25">
        <f>F22</f>
        <v>22311047.111184001</v>
      </c>
      <c r="H30" s="25">
        <f>H22-F30</f>
        <v>1386717.3896797448</v>
      </c>
      <c r="J30" s="25">
        <f>J22-(H30*1.02^2)</f>
        <v>28698415.740047157</v>
      </c>
    </row>
    <row r="31" spans="1:13">
      <c r="C31" s="26"/>
      <c r="E31" s="25"/>
    </row>
    <row r="32" spans="1:13">
      <c r="C32" s="26"/>
      <c r="E32" s="25"/>
    </row>
    <row r="33" spans="3:5">
      <c r="C33" s="26"/>
      <c r="E33" s="25"/>
    </row>
    <row r="34" spans="3:5">
      <c r="C34" s="26"/>
    </row>
    <row r="37" spans="3:5">
      <c r="C37" s="26"/>
    </row>
    <row r="38" spans="3:5">
      <c r="C38" s="26"/>
    </row>
    <row r="39" spans="3:5">
      <c r="C39" s="2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FF55D-9FD9-446E-9356-D99D0AE615A6}">
  <dimension ref="A1:M40"/>
  <sheetViews>
    <sheetView workbookViewId="0">
      <selection activeCell="M1" sqref="L1:M1"/>
    </sheetView>
  </sheetViews>
  <sheetFormatPr baseColWidth="10" defaultColWidth="9.1640625" defaultRowHeight="13"/>
  <cols>
    <col min="1" max="1" width="23" style="2" customWidth="1"/>
    <col min="2" max="2" width="16.83203125" style="3" customWidth="1"/>
    <col min="3" max="3" width="14.83203125" style="3" customWidth="1"/>
    <col min="4" max="8" width="14.83203125" style="2" customWidth="1"/>
    <col min="9" max="9" width="12.5" style="2" customWidth="1"/>
    <col min="10" max="10" width="15" style="2" bestFit="1" customWidth="1"/>
    <col min="11" max="12" width="12.33203125" style="2" customWidth="1"/>
    <col min="13" max="13" width="15.1640625" style="2" customWidth="1"/>
    <col min="14" max="16384" width="9.1640625" style="2"/>
  </cols>
  <sheetData>
    <row r="1" spans="1:13" ht="14" customHeight="1" thickBot="1">
      <c r="L1" s="1065" t="s">
        <v>1</v>
      </c>
      <c r="M1" s="1064" t="s">
        <v>2</v>
      </c>
    </row>
    <row r="2" spans="1:13" ht="14" customHeight="1" thickBot="1">
      <c r="A2" s="8"/>
      <c r="B2" s="7"/>
      <c r="C2" s="7"/>
      <c r="D2" s="8"/>
      <c r="E2" s="8"/>
      <c r="F2" s="8"/>
      <c r="G2" s="8"/>
      <c r="H2" s="8"/>
      <c r="I2" s="8"/>
      <c r="J2" s="8"/>
      <c r="K2" s="8"/>
      <c r="L2" s="20"/>
      <c r="M2" s="21"/>
    </row>
    <row r="3" spans="1:13" ht="14" customHeight="1">
      <c r="A3" s="570"/>
      <c r="B3" s="703"/>
      <c r="C3" s="703" t="s">
        <v>3</v>
      </c>
      <c r="D3" s="742" t="s">
        <v>4</v>
      </c>
      <c r="E3" s="742" t="s">
        <v>4</v>
      </c>
      <c r="F3" s="742"/>
      <c r="G3" s="742" t="s">
        <v>5</v>
      </c>
      <c r="H3" s="742"/>
      <c r="I3" s="742" t="s">
        <v>6</v>
      </c>
      <c r="J3" s="742"/>
      <c r="K3" s="742"/>
      <c r="L3" s="742"/>
      <c r="M3" s="743"/>
    </row>
    <row r="4" spans="1:13" ht="14" customHeight="1">
      <c r="A4" s="631"/>
      <c r="B4" s="278" t="s">
        <v>94</v>
      </c>
      <c r="C4" s="278" t="s">
        <v>8</v>
      </c>
      <c r="D4" s="278">
        <v>2022</v>
      </c>
      <c r="E4" s="278">
        <f t="shared" ref="E4:M4" si="0">D4+1</f>
        <v>2023</v>
      </c>
      <c r="F4" s="278">
        <f t="shared" si="0"/>
        <v>2024</v>
      </c>
      <c r="G4" s="278">
        <f t="shared" si="0"/>
        <v>2025</v>
      </c>
      <c r="H4" s="278">
        <f t="shared" si="0"/>
        <v>2026</v>
      </c>
      <c r="I4" s="278">
        <f t="shared" si="0"/>
        <v>2027</v>
      </c>
      <c r="J4" s="278">
        <f t="shared" si="0"/>
        <v>2028</v>
      </c>
      <c r="K4" s="278">
        <f t="shared" si="0"/>
        <v>2029</v>
      </c>
      <c r="L4" s="278">
        <f t="shared" si="0"/>
        <v>2030</v>
      </c>
      <c r="M4" s="892">
        <f t="shared" si="0"/>
        <v>2031</v>
      </c>
    </row>
    <row r="5" spans="1:13" ht="18" customHeight="1">
      <c r="A5" s="449" t="s">
        <v>174</v>
      </c>
      <c r="B5" s="33"/>
      <c r="C5" s="33"/>
      <c r="D5" s="34"/>
      <c r="E5" s="34"/>
      <c r="F5" s="34"/>
      <c r="G5" s="34"/>
      <c r="H5" s="34"/>
      <c r="I5" s="34"/>
      <c r="J5" s="34"/>
      <c r="K5" s="34"/>
      <c r="L5" s="34"/>
      <c r="M5" s="229"/>
    </row>
    <row r="6" spans="1:13" ht="14" customHeight="1">
      <c r="A6" s="709" t="s">
        <v>100</v>
      </c>
      <c r="B6" s="36">
        <v>0.02</v>
      </c>
      <c r="C6" s="58">
        <v>25</v>
      </c>
      <c r="D6" s="58">
        <f>C6*1.02</f>
        <v>25.5</v>
      </c>
      <c r="E6" s="58">
        <f t="shared" ref="E6:M6" si="1">D6*1.02</f>
        <v>26.01</v>
      </c>
      <c r="F6" s="58">
        <f t="shared" si="1"/>
        <v>26.530200000000001</v>
      </c>
      <c r="G6" s="58">
        <f t="shared" si="1"/>
        <v>27.060804000000001</v>
      </c>
      <c r="H6" s="58">
        <f t="shared" si="1"/>
        <v>27.602020080000003</v>
      </c>
      <c r="I6" s="58">
        <f t="shared" si="1"/>
        <v>28.154060481600002</v>
      </c>
      <c r="J6" s="58">
        <f t="shared" si="1"/>
        <v>28.717141691232001</v>
      </c>
      <c r="K6" s="58">
        <f t="shared" si="1"/>
        <v>29.291484525056642</v>
      </c>
      <c r="L6" s="58">
        <f t="shared" si="1"/>
        <v>29.877314215557774</v>
      </c>
      <c r="M6" s="711">
        <f t="shared" si="1"/>
        <v>30.474860499868932</v>
      </c>
    </row>
    <row r="7" spans="1:13" ht="14" customHeight="1">
      <c r="A7" s="709" t="s">
        <v>176</v>
      </c>
      <c r="B7" s="33" t="s">
        <v>54</v>
      </c>
      <c r="C7" s="33">
        <v>0</v>
      </c>
      <c r="D7" s="35">
        <v>0</v>
      </c>
      <c r="E7" s="38">
        <f>'Parcel breakdown'!AI19</f>
        <v>18503.25</v>
      </c>
      <c r="F7" s="38">
        <f>E7</f>
        <v>18503.25</v>
      </c>
      <c r="G7" s="38">
        <f>'Parcel breakdown'!AI19+'Parcel breakdown'!AI20</f>
        <v>49183.25</v>
      </c>
      <c r="H7" s="38">
        <f>G7</f>
        <v>49183.25</v>
      </c>
      <c r="I7" s="38">
        <f>'Parcel breakdown'!AI19+'Parcel breakdown'!AI20+'Parcel breakdown'!AI21</f>
        <v>49183.25</v>
      </c>
      <c r="J7" s="38">
        <f>I7</f>
        <v>49183.25</v>
      </c>
      <c r="K7" s="38">
        <f t="shared" ref="K7:M7" si="2">J7</f>
        <v>49183.25</v>
      </c>
      <c r="L7" s="38">
        <f t="shared" si="2"/>
        <v>49183.25</v>
      </c>
      <c r="M7" s="919">
        <f t="shared" si="2"/>
        <v>49183.25</v>
      </c>
    </row>
    <row r="8" spans="1:13" ht="14" customHeight="1">
      <c r="A8" s="709" t="s">
        <v>177</v>
      </c>
      <c r="B8" s="36">
        <v>0.9</v>
      </c>
      <c r="C8" s="292">
        <f>C7*$B$8</f>
        <v>0</v>
      </c>
      <c r="D8" s="292">
        <f t="shared" ref="D8:M8" si="3">D7*$B$8</f>
        <v>0</v>
      </c>
      <c r="E8" s="292">
        <f>E7*$B$8</f>
        <v>16652.924999999999</v>
      </c>
      <c r="F8" s="292">
        <f t="shared" si="3"/>
        <v>16652.924999999999</v>
      </c>
      <c r="G8" s="292">
        <f t="shared" si="3"/>
        <v>44264.925000000003</v>
      </c>
      <c r="H8" s="292">
        <f t="shared" si="3"/>
        <v>44264.925000000003</v>
      </c>
      <c r="I8" s="292">
        <f t="shared" si="3"/>
        <v>44264.925000000003</v>
      </c>
      <c r="J8" s="292">
        <f t="shared" si="3"/>
        <v>44264.925000000003</v>
      </c>
      <c r="K8" s="292">
        <f t="shared" si="3"/>
        <v>44264.925000000003</v>
      </c>
      <c r="L8" s="292">
        <f t="shared" si="3"/>
        <v>44264.925000000003</v>
      </c>
      <c r="M8" s="911">
        <f t="shared" si="3"/>
        <v>44264.925000000003</v>
      </c>
    </row>
    <row r="9" spans="1:13" ht="14" customHeight="1">
      <c r="A9" s="709" t="s">
        <v>178</v>
      </c>
      <c r="B9" s="36">
        <v>0.1</v>
      </c>
      <c r="C9" s="292">
        <f>C8-(C8*$B$9)</f>
        <v>0</v>
      </c>
      <c r="D9" s="292">
        <f t="shared" ref="D9:M9" si="4">D8-(D8*$B$9)</f>
        <v>0</v>
      </c>
      <c r="E9" s="292">
        <f t="shared" si="4"/>
        <v>14987.6325</v>
      </c>
      <c r="F9" s="292">
        <f t="shared" si="4"/>
        <v>14987.6325</v>
      </c>
      <c r="G9" s="292">
        <f t="shared" si="4"/>
        <v>39838.432500000003</v>
      </c>
      <c r="H9" s="292">
        <f t="shared" si="4"/>
        <v>39838.432500000003</v>
      </c>
      <c r="I9" s="292">
        <f t="shared" si="4"/>
        <v>39838.432500000003</v>
      </c>
      <c r="J9" s="292">
        <f t="shared" si="4"/>
        <v>39838.432500000003</v>
      </c>
      <c r="K9" s="292">
        <f t="shared" si="4"/>
        <v>39838.432500000003</v>
      </c>
      <c r="L9" s="292">
        <f t="shared" si="4"/>
        <v>39838.432500000003</v>
      </c>
      <c r="M9" s="911">
        <f t="shared" si="4"/>
        <v>39838.432500000003</v>
      </c>
    </row>
    <row r="10" spans="1:13" ht="14" customHeight="1">
      <c r="A10" s="709" t="s">
        <v>192</v>
      </c>
      <c r="B10" s="33">
        <v>7</v>
      </c>
      <c r="C10" s="58"/>
      <c r="D10" s="294"/>
      <c r="E10" s="294">
        <f>E6-$B$10*1.02^3</f>
        <v>18.581544000000001</v>
      </c>
      <c r="F10" s="294">
        <f t="shared" ref="F10:M10" si="5">F6-$B$10*1.02^3</f>
        <v>19.101744</v>
      </c>
      <c r="G10" s="294">
        <f t="shared" si="5"/>
        <v>19.632348</v>
      </c>
      <c r="H10" s="294">
        <f t="shared" si="5"/>
        <v>20.173564080000002</v>
      </c>
      <c r="I10" s="294">
        <f t="shared" si="5"/>
        <v>20.725604481600001</v>
      </c>
      <c r="J10" s="294">
        <f t="shared" si="5"/>
        <v>21.288685691232001</v>
      </c>
      <c r="K10" s="294">
        <f t="shared" si="5"/>
        <v>21.863028525056642</v>
      </c>
      <c r="L10" s="294">
        <f t="shared" si="5"/>
        <v>22.448858215557774</v>
      </c>
      <c r="M10" s="906">
        <f t="shared" si="5"/>
        <v>23.046404499868931</v>
      </c>
    </row>
    <row r="11" spans="1:13" ht="14" customHeight="1">
      <c r="A11" s="852" t="s">
        <v>34</v>
      </c>
      <c r="B11" s="33"/>
      <c r="C11" s="294">
        <f t="shared" ref="C11:D11" si="6">C10*C9</f>
        <v>0</v>
      </c>
      <c r="D11" s="294">
        <f t="shared" si="6"/>
        <v>0</v>
      </c>
      <c r="E11" s="294">
        <f>E10*E9</f>
        <v>278493.35275458003</v>
      </c>
      <c r="F11" s="294">
        <f t="shared" ref="F11:M11" si="7">F10*F9</f>
        <v>286289.91918108001</v>
      </c>
      <c r="G11" s="294">
        <f t="shared" si="7"/>
        <v>782121.97061451012</v>
      </c>
      <c r="H11" s="294">
        <f t="shared" si="7"/>
        <v>803683.17088550469</v>
      </c>
      <c r="I11" s="294">
        <f t="shared" si="7"/>
        <v>825675.59516191925</v>
      </c>
      <c r="J11" s="294">
        <f t="shared" si="7"/>
        <v>848107.86792386195</v>
      </c>
      <c r="K11" s="294">
        <f t="shared" si="7"/>
        <v>870988.78614104365</v>
      </c>
      <c r="L11" s="294">
        <f t="shared" si="7"/>
        <v>894327.32272256888</v>
      </c>
      <c r="M11" s="906">
        <f t="shared" si="7"/>
        <v>918132.63003572472</v>
      </c>
    </row>
    <row r="12" spans="1:13" ht="18" customHeight="1">
      <c r="A12" s="573" t="s">
        <v>20</v>
      </c>
      <c r="B12" s="62"/>
      <c r="C12" s="62"/>
      <c r="D12" s="63"/>
      <c r="E12" s="63"/>
      <c r="F12" s="63"/>
      <c r="G12" s="66">
        <f>G11-E11</f>
        <v>503628.61785993009</v>
      </c>
      <c r="H12" s="63"/>
      <c r="I12" s="63"/>
      <c r="J12" s="63"/>
      <c r="K12" s="63"/>
      <c r="L12" s="63"/>
      <c r="M12" s="717"/>
    </row>
    <row r="13" spans="1:13" ht="14" customHeight="1">
      <c r="A13" s="709" t="s">
        <v>159</v>
      </c>
      <c r="B13" s="33"/>
      <c r="C13" s="36">
        <f t="shared" ref="C13:M13" si="8">C7/$M$7</f>
        <v>0</v>
      </c>
      <c r="D13" s="36">
        <f t="shared" si="8"/>
        <v>0</v>
      </c>
      <c r="E13" s="36">
        <f t="shared" si="8"/>
        <v>0.37621039683225488</v>
      </c>
      <c r="F13" s="36">
        <f t="shared" si="8"/>
        <v>0.37621039683225488</v>
      </c>
      <c r="G13" s="36">
        <f t="shared" si="8"/>
        <v>1</v>
      </c>
      <c r="H13" s="36">
        <f t="shared" si="8"/>
        <v>1</v>
      </c>
      <c r="I13" s="36">
        <f t="shared" si="8"/>
        <v>1</v>
      </c>
      <c r="J13" s="36">
        <f t="shared" si="8"/>
        <v>1</v>
      </c>
      <c r="K13" s="36">
        <f t="shared" si="8"/>
        <v>1</v>
      </c>
      <c r="L13" s="36">
        <f t="shared" si="8"/>
        <v>1</v>
      </c>
      <c r="M13" s="937">
        <f t="shared" si="8"/>
        <v>1</v>
      </c>
    </row>
    <row r="14" spans="1:13" ht="14" customHeight="1">
      <c r="A14" s="709" t="s">
        <v>160</v>
      </c>
      <c r="B14" s="33"/>
      <c r="C14" s="93">
        <f>'Detailed Uses'!$R$25/2</f>
        <v>1487302.6912938952</v>
      </c>
      <c r="D14" s="93">
        <f>'Detailed Uses'!$R$25/2</f>
        <v>1487302.6912938952</v>
      </c>
      <c r="E14" s="93">
        <f>'Detailed Uses'!$AB$25/2</f>
        <v>3168238.5774820391</v>
      </c>
      <c r="F14" s="93">
        <f>'Detailed Uses'!$AB$25/2</f>
        <v>3168238.5774820391</v>
      </c>
      <c r="G14" s="47">
        <f ca="1">'Detailed Uses'!$AL$25/2</f>
        <v>0</v>
      </c>
      <c r="H14" s="47">
        <f ca="1">'Detailed Uses'!$AL$25/2</f>
        <v>0</v>
      </c>
      <c r="I14" s="35">
        <v>0</v>
      </c>
      <c r="J14" s="35">
        <v>0</v>
      </c>
      <c r="K14" s="35">
        <v>0</v>
      </c>
      <c r="L14" s="35">
        <v>0</v>
      </c>
      <c r="M14" s="904">
        <v>0</v>
      </c>
    </row>
    <row r="15" spans="1:13" ht="14" customHeight="1">
      <c r="A15" s="709" t="s">
        <v>161</v>
      </c>
      <c r="B15" s="33"/>
      <c r="C15" s="93">
        <f ca="1">'Detailed Uses'!$R$44/2</f>
        <v>189289.87138516526</v>
      </c>
      <c r="D15" s="93">
        <f ca="1">'Detailed Uses'!$R$44/2</f>
        <v>189289.87138516526</v>
      </c>
      <c r="E15" s="93">
        <f ca="1">'Detailed Uses'!$AB$44/2</f>
        <v>374103.12834204547</v>
      </c>
      <c r="F15" s="93">
        <f ca="1">'Detailed Uses'!$AB$44/2</f>
        <v>374103.12834204547</v>
      </c>
      <c r="G15" s="47">
        <f ca="1">'Detailed Uses'!$AL$44/2</f>
        <v>0</v>
      </c>
      <c r="H15" s="47">
        <f ca="1">'Detailed Uses'!$AL$44/2</f>
        <v>0</v>
      </c>
      <c r="I15" s="35"/>
      <c r="J15" s="35"/>
      <c r="K15" s="35"/>
      <c r="L15" s="35"/>
      <c r="M15" s="904"/>
    </row>
    <row r="16" spans="1:13" ht="14" customHeight="1">
      <c r="A16" s="709" t="s">
        <v>26</v>
      </c>
      <c r="B16" s="33"/>
      <c r="C16" s="93">
        <f>'Detailed Uses'!$R$60/2</f>
        <v>6206.1994744775466</v>
      </c>
      <c r="D16" s="93">
        <f>'Detailed Uses'!$R$60/2</f>
        <v>6206.1994744775466</v>
      </c>
      <c r="E16" s="93">
        <f>'Detailed Uses'!$AB$60/2</f>
        <v>14775.621917706065</v>
      </c>
      <c r="F16" s="93">
        <f>'Detailed Uses'!$AB$60/2</f>
        <v>14775.621917706065</v>
      </c>
      <c r="G16" s="47">
        <f>'Detailed Uses'!$AL$60/2</f>
        <v>0</v>
      </c>
      <c r="H16" s="47">
        <f>'Detailed Uses'!$AL$60/2</f>
        <v>0</v>
      </c>
      <c r="I16" s="35"/>
      <c r="J16" s="35"/>
      <c r="K16" s="35"/>
      <c r="L16" s="35"/>
      <c r="M16" s="904"/>
    </row>
    <row r="17" spans="1:13" ht="14" customHeight="1">
      <c r="A17" s="709" t="s">
        <v>27</v>
      </c>
      <c r="B17" s="33"/>
      <c r="C17" s="93">
        <f ca="1">'Detailed Uses'!$R$64/2</f>
        <v>77001.303752538006</v>
      </c>
      <c r="D17" s="93">
        <f ca="1">'Detailed Uses'!$R$64/2</f>
        <v>77001.303752538006</v>
      </c>
      <c r="E17" s="93">
        <f ca="1">'Detailed Uses'!$AB$64/2</f>
        <v>121991.9629811675</v>
      </c>
      <c r="F17" s="93">
        <f ca="1">'Detailed Uses'!$AB$64/2</f>
        <v>121991.9629811675</v>
      </c>
      <c r="G17" s="47">
        <f ca="1">'Detailed Uses'!$AL$64/2</f>
        <v>0</v>
      </c>
      <c r="H17" s="47">
        <f ca="1">'Detailed Uses'!$AL$64/2</f>
        <v>0</v>
      </c>
      <c r="I17" s="35"/>
      <c r="J17" s="35"/>
      <c r="K17" s="35"/>
      <c r="L17" s="35"/>
      <c r="M17" s="904"/>
    </row>
    <row r="18" spans="1:13" ht="14" customHeight="1">
      <c r="A18" s="709" t="s">
        <v>28</v>
      </c>
      <c r="B18" s="33"/>
      <c r="C18" s="93">
        <f>'Detailed Uses'!$R$11/2</f>
        <v>52771.486875287097</v>
      </c>
      <c r="D18" s="93">
        <f>'Detailed Uses'!$R$11/2</f>
        <v>52771.486875287097</v>
      </c>
      <c r="E18" s="93">
        <f>'Detailed Uses'!$AB$11/2</f>
        <v>411755.70017648465</v>
      </c>
      <c r="F18" s="93">
        <f>'Detailed Uses'!$AB$11/2</f>
        <v>411755.70017648465</v>
      </c>
      <c r="G18" s="47">
        <f>'Detailed Uses'!$AL$11/2</f>
        <v>0</v>
      </c>
      <c r="H18" s="47">
        <f>'Detailed Uses'!$AL$11/2</f>
        <v>0</v>
      </c>
      <c r="I18" s="35"/>
      <c r="J18" s="35"/>
      <c r="K18" s="35"/>
      <c r="L18" s="35"/>
      <c r="M18" s="904"/>
    </row>
    <row r="19" spans="1:13" ht="14" customHeight="1">
      <c r="A19" s="727" t="s">
        <v>29</v>
      </c>
      <c r="B19" s="42"/>
      <c r="C19" s="555">
        <f>'Detailed Uses'!$R$17/2</f>
        <v>254616.27615184247</v>
      </c>
      <c r="D19" s="555">
        <f>'Detailed Uses'!$R$17/2</f>
        <v>254616.27615184247</v>
      </c>
      <c r="E19" s="555">
        <f>'Detailed Uses'!$AB$17/2</f>
        <v>181481.95390930501</v>
      </c>
      <c r="F19" s="555">
        <f>'Detailed Uses'!$AB$17/2</f>
        <v>181481.95390930501</v>
      </c>
      <c r="G19" s="60">
        <f>'Detailed Uses'!$AL$17/2</f>
        <v>0</v>
      </c>
      <c r="H19" s="60">
        <f>'Detailed Uses'!$AL$17/2</f>
        <v>0</v>
      </c>
      <c r="I19" s="55"/>
      <c r="J19" s="55"/>
      <c r="K19" s="55"/>
      <c r="L19" s="55"/>
      <c r="M19" s="857"/>
    </row>
    <row r="20" spans="1:13" ht="14" customHeight="1">
      <c r="A20" s="930" t="s">
        <v>32</v>
      </c>
      <c r="B20" s="9"/>
      <c r="C20" s="556">
        <f ca="1">SUM(C14:C19)</f>
        <v>2067187.8289332055</v>
      </c>
      <c r="D20" s="556">
        <f t="shared" ref="D20:M20" ca="1" si="9">SUM(D14:D19)</f>
        <v>2067187.8289332055</v>
      </c>
      <c r="E20" s="556">
        <f t="shared" ca="1" si="9"/>
        <v>4272346.9448087476</v>
      </c>
      <c r="F20" s="556">
        <f t="shared" ca="1" si="9"/>
        <v>4272346.9448087476</v>
      </c>
      <c r="G20" s="554">
        <f t="shared" ca="1" si="9"/>
        <v>0</v>
      </c>
      <c r="H20" s="554">
        <f t="shared" ca="1" si="9"/>
        <v>0</v>
      </c>
      <c r="I20" s="554">
        <f t="shared" si="9"/>
        <v>0</v>
      </c>
      <c r="J20" s="554">
        <f t="shared" si="9"/>
        <v>0</v>
      </c>
      <c r="K20" s="554">
        <f t="shared" si="9"/>
        <v>0</v>
      </c>
      <c r="L20" s="554">
        <f t="shared" si="9"/>
        <v>0</v>
      </c>
      <c r="M20" s="938">
        <f t="shared" si="9"/>
        <v>0</v>
      </c>
    </row>
    <row r="21" spans="1:13" ht="18" customHeight="1">
      <c r="A21" s="573" t="s">
        <v>33</v>
      </c>
      <c r="B21" s="62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717"/>
    </row>
    <row r="22" spans="1:13" ht="14" customHeight="1">
      <c r="A22" s="709" t="s">
        <v>34</v>
      </c>
      <c r="B22" s="92"/>
      <c r="C22" s="264">
        <f>C11</f>
        <v>0</v>
      </c>
      <c r="D22" s="264">
        <f t="shared" ref="D22:M22" si="10">D11</f>
        <v>0</v>
      </c>
      <c r="E22" s="92">
        <f t="shared" si="10"/>
        <v>278493.35275458003</v>
      </c>
      <c r="F22" s="92">
        <f t="shared" si="10"/>
        <v>286289.91918108001</v>
      </c>
      <c r="G22" s="92">
        <f t="shared" si="10"/>
        <v>782121.97061451012</v>
      </c>
      <c r="H22" s="92">
        <f t="shared" si="10"/>
        <v>803683.17088550469</v>
      </c>
      <c r="I22" s="92">
        <f>I11</f>
        <v>825675.59516191925</v>
      </c>
      <c r="J22" s="92">
        <f>J11</f>
        <v>848107.86792386195</v>
      </c>
      <c r="K22" s="92">
        <f t="shared" si="10"/>
        <v>870988.78614104365</v>
      </c>
      <c r="L22" s="92">
        <f t="shared" si="10"/>
        <v>894327.32272256888</v>
      </c>
      <c r="M22" s="847">
        <f t="shared" si="10"/>
        <v>918132.63003572472</v>
      </c>
    </row>
    <row r="23" spans="1:13" ht="14" customHeight="1">
      <c r="A23" s="709" t="s">
        <v>162</v>
      </c>
      <c r="B23" s="92"/>
      <c r="C23" s="264"/>
      <c r="D23" s="557"/>
      <c r="E23" s="93"/>
      <c r="F23" s="93">
        <f t="shared" ref="F23" si="11">F22/7.5%</f>
        <v>3817198.9224144001</v>
      </c>
      <c r="G23" s="93"/>
      <c r="H23" s="93">
        <f t="shared" ref="H23" si="12">H22/7.5%</f>
        <v>10715775.61180673</v>
      </c>
      <c r="I23" s="93"/>
      <c r="J23" s="93">
        <f t="shared" ref="J23" si="13">J22/7.5%</f>
        <v>11308104.905651493</v>
      </c>
      <c r="K23" s="93"/>
      <c r="L23" s="93"/>
      <c r="M23" s="907">
        <f t="shared" ref="M23" si="14">M22/7.5%</f>
        <v>12241768.400476331</v>
      </c>
    </row>
    <row r="24" spans="1:13" ht="14" customHeight="1">
      <c r="A24" s="709" t="s">
        <v>163</v>
      </c>
      <c r="B24" s="264"/>
      <c r="C24" s="264"/>
      <c r="D24" s="557"/>
      <c r="E24" s="557"/>
      <c r="F24" s="557"/>
      <c r="G24" s="557"/>
      <c r="H24" s="557"/>
      <c r="I24" s="557"/>
      <c r="J24" s="557"/>
      <c r="K24" s="557"/>
      <c r="L24" s="557"/>
      <c r="M24" s="908">
        <f>M23*-0.02</f>
        <v>-244835.36800952663</v>
      </c>
    </row>
    <row r="25" spans="1:13" ht="14" customHeight="1" thickBot="1">
      <c r="A25" s="932" t="s">
        <v>32</v>
      </c>
      <c r="B25" s="558"/>
      <c r="C25" s="558">
        <f ca="1">-C20</f>
        <v>-2067187.8289332055</v>
      </c>
      <c r="D25" s="558">
        <f t="shared" ref="D25:H25" ca="1" si="15">-D20</f>
        <v>-2067187.8289332055</v>
      </c>
      <c r="E25" s="558">
        <f t="shared" ca="1" si="15"/>
        <v>-4272346.9448087476</v>
      </c>
      <c r="F25" s="558">
        <f t="shared" ca="1" si="15"/>
        <v>-4272346.9448087476</v>
      </c>
      <c r="G25" s="558">
        <f t="shared" ca="1" si="15"/>
        <v>0</v>
      </c>
      <c r="H25" s="558">
        <f t="shared" ca="1" si="15"/>
        <v>0</v>
      </c>
      <c r="I25" s="559"/>
      <c r="J25" s="559"/>
      <c r="K25" s="559"/>
      <c r="L25" s="559"/>
      <c r="M25" s="939"/>
    </row>
    <row r="26" spans="1:13" ht="14" customHeight="1">
      <c r="A26" s="709" t="s">
        <v>37</v>
      </c>
      <c r="B26" s="92"/>
      <c r="C26" s="264">
        <f ca="1">C25+C22</f>
        <v>-2067187.8289332055</v>
      </c>
      <c r="D26" s="264">
        <f t="shared" ref="D26:K26" ca="1" si="16">D25+D22</f>
        <v>-2067187.8289332055</v>
      </c>
      <c r="E26" s="264">
        <f t="shared" ca="1" si="16"/>
        <v>-3993853.5920541678</v>
      </c>
      <c r="F26" s="264">
        <f t="shared" ca="1" si="16"/>
        <v>-3986057.0256276675</v>
      </c>
      <c r="G26" s="264">
        <f t="shared" ca="1" si="16"/>
        <v>782121.97061451012</v>
      </c>
      <c r="H26" s="264">
        <f t="shared" ca="1" si="16"/>
        <v>803683.17088550469</v>
      </c>
      <c r="I26" s="264">
        <f t="shared" si="16"/>
        <v>825675.59516191925</v>
      </c>
      <c r="J26" s="264">
        <f t="shared" si="16"/>
        <v>848107.86792386195</v>
      </c>
      <c r="K26" s="264">
        <f t="shared" si="16"/>
        <v>870988.78614104365</v>
      </c>
      <c r="L26" s="264">
        <f>L25+L22</f>
        <v>894327.32272256888</v>
      </c>
      <c r="M26" s="940">
        <f t="shared" ref="M26" si="17">SUM(M22:M25)</f>
        <v>12915065.662502529</v>
      </c>
    </row>
    <row r="27" spans="1:13" ht="18" customHeight="1">
      <c r="A27" s="941" t="s">
        <v>40</v>
      </c>
      <c r="B27" s="560">
        <f ca="1">C26+NPV(B31,D26:M26)</f>
        <v>-934559.09359227656</v>
      </c>
      <c r="C27" s="560"/>
      <c r="D27" s="561"/>
      <c r="E27" s="561"/>
      <c r="F27" s="561"/>
      <c r="G27" s="561"/>
      <c r="H27" s="561"/>
      <c r="I27" s="561"/>
      <c r="J27" s="561"/>
      <c r="K27" s="561"/>
      <c r="L27" s="561"/>
      <c r="M27" s="942"/>
    </row>
    <row r="28" spans="1:13" ht="18" customHeight="1">
      <c r="A28" s="935" t="s">
        <v>42</v>
      </c>
      <c r="B28" s="15">
        <f ca="1">IRR(C26:M26)</f>
        <v>5.6336276275937847E-2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943"/>
    </row>
    <row r="29" spans="1:13" ht="18" customHeight="1">
      <c r="A29" s="935"/>
      <c r="B29" s="50"/>
      <c r="C29" s="340">
        <f ca="1">C25-(SUM('Summary Board II -  S+U'!F31:F33)*C25/'Summary Board II -  S+U'!F39)</f>
        <v>-638740.90597548336</v>
      </c>
      <c r="D29" s="340">
        <f ca="1">C29</f>
        <v>-638740.90597548336</v>
      </c>
      <c r="E29" s="340">
        <f ca="1">E25-(SUM('Summary Board II -  S+U'!H31:H33)*E25/'Summary Board II -  S+U'!H39)</f>
        <v>-599753.62376078637</v>
      </c>
      <c r="F29" s="340">
        <f ca="1">E29</f>
        <v>-599753.62376078637</v>
      </c>
      <c r="G29" s="340">
        <f t="shared" ref="G29:H29" ca="1" si="18">G26</f>
        <v>782121.97061451012</v>
      </c>
      <c r="H29" s="340">
        <f t="shared" ca="1" si="18"/>
        <v>803683.17088550469</v>
      </c>
      <c r="I29" s="340">
        <f>I26</f>
        <v>825675.59516191925</v>
      </c>
      <c r="J29" s="340">
        <f>J26</f>
        <v>848107.86792386195</v>
      </c>
      <c r="K29" s="340">
        <f>K26</f>
        <v>870988.78614104365</v>
      </c>
      <c r="L29" s="340">
        <f>L26</f>
        <v>894327.32272256888</v>
      </c>
      <c r="M29" s="737">
        <f>M26</f>
        <v>12915065.662502529</v>
      </c>
    </row>
    <row r="30" spans="1:13" ht="18" customHeight="1" thickBot="1">
      <c r="A30" s="936" t="s">
        <v>44</v>
      </c>
      <c r="B30" s="739">
        <f ca="1">IRR(C29:M29)</f>
        <v>0.31772390039470966</v>
      </c>
      <c r="C30" s="740"/>
      <c r="D30" s="740"/>
      <c r="E30" s="740"/>
      <c r="F30" s="740"/>
      <c r="G30" s="740"/>
      <c r="H30" s="740"/>
      <c r="I30" s="740"/>
      <c r="J30" s="740"/>
      <c r="K30" s="740"/>
      <c r="L30" s="740"/>
      <c r="M30" s="741"/>
    </row>
    <row r="31" spans="1:13" hidden="1">
      <c r="B31" s="24">
        <v>7.0000000000000007E-2</v>
      </c>
      <c r="F31" s="25">
        <f>F23</f>
        <v>3817198.9224144001</v>
      </c>
      <c r="H31" s="25">
        <f>H23-F31</f>
        <v>6898576.6893923301</v>
      </c>
      <c r="J31" s="25">
        <f>J23-(H31*1.02^2)</f>
        <v>4130825.7180077126</v>
      </c>
    </row>
    <row r="32" spans="1:13">
      <c r="C32" s="26"/>
      <c r="E32" s="25"/>
    </row>
    <row r="33" spans="3:5">
      <c r="C33" s="26"/>
      <c r="E33" s="25"/>
    </row>
    <row r="34" spans="3:5">
      <c r="C34" s="26"/>
      <c r="E34" s="25"/>
    </row>
    <row r="35" spans="3:5">
      <c r="C35" s="26"/>
    </row>
    <row r="38" spans="3:5">
      <c r="C38" s="26"/>
    </row>
    <row r="39" spans="3:5">
      <c r="C39" s="26"/>
    </row>
    <row r="40" spans="3:5">
      <c r="C40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4</vt:i4>
      </vt:variant>
    </vt:vector>
  </HeadingPairs>
  <TitlesOfParts>
    <vt:vector size="22" baseType="lpstr">
      <vt:lpstr>Summary Board</vt:lpstr>
      <vt:lpstr>Summary Board II -  S+U</vt:lpstr>
      <vt:lpstr>1.Infrastructure Costs</vt:lpstr>
      <vt:lpstr>2.Market-rate Rental Housing</vt:lpstr>
      <vt:lpstr>3.Affordable Rental Housing</vt:lpstr>
      <vt:lpstr>4.Office_Commercial</vt:lpstr>
      <vt:lpstr>5.Market-rate Retail</vt:lpstr>
      <vt:lpstr>6.Community facilities</vt:lpstr>
      <vt:lpstr>7.Affordable Art Space </vt:lpstr>
      <vt:lpstr>8.Hotel</vt:lpstr>
      <vt:lpstr>9.Structured Parking</vt:lpstr>
      <vt:lpstr>Assumptions</vt:lpstr>
      <vt:lpstr>Loan sizing and public sources</vt:lpstr>
      <vt:lpstr>Parcel breakdown</vt:lpstr>
      <vt:lpstr>Detailed Uses</vt:lpstr>
      <vt:lpstr>Parking Backup</vt:lpstr>
      <vt:lpstr>TIF Financing</vt:lpstr>
      <vt:lpstr>Financing Costs</vt:lpstr>
      <vt:lpstr>'1.Infrastructure Costs'!Print_Area</vt:lpstr>
      <vt:lpstr>'8.Hotel'!Print_Area</vt:lpstr>
      <vt:lpstr>'Summary Board'!Print_Area</vt:lpstr>
      <vt:lpstr>'Summary Board II -  S+U'!Print_Area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Annie Finkenbinder-Best</dc:creator>
  <cp:keywords/>
  <dc:description/>
  <cp:lastModifiedBy>Microsoft Office User</cp:lastModifiedBy>
  <cp:revision/>
  <cp:lastPrinted>2020-01-27T21:57:21Z</cp:lastPrinted>
  <dcterms:created xsi:type="dcterms:W3CDTF">2007-12-12T14:49:40Z</dcterms:created>
  <dcterms:modified xsi:type="dcterms:W3CDTF">2020-01-28T01:14:14Z</dcterms:modified>
  <cp:category/>
  <cp:contentStatus/>
</cp:coreProperties>
</file>